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Evreux\BRAINVILLE-LA VENDELEE (50) - IND GRANDIN-SWC-E7\Dossier déposé 22-05-2024\"/>
    </mc:Choice>
  </mc:AlternateContent>
  <xr:revisionPtr revIDLastSave="0" documentId="13_ncr:1_{1CA14ED8-126A-4D01-8B0F-53823B214942}" xr6:coauthVersionLast="36" xr6:coauthVersionMax="36" xr10:uidLastSave="{00000000-0000-0000-0000-000000000000}"/>
  <bookViews>
    <workbookView xWindow="0" yWindow="0" windowWidth="21570" windowHeight="933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V18" i="2"/>
  <c r="EW18" i="2"/>
  <c r="EA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G22" i="2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H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B28" i="2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B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CM35" i="2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X38" i="2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C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A61" i="2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C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V105" i="2"/>
  <c r="EB105" i="2"/>
  <c r="EA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FQ112" i="2"/>
  <c r="EC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C113" i="2"/>
  <c r="FS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EX120" i="2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HI121" i="2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EC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FS124" i="2"/>
  <c r="HH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X130" i="2"/>
  <c r="HI130" i="2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G141" i="2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A145" i="2"/>
  <c r="EB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DI154" i="2"/>
  <c r="EY154" i="2"/>
  <c r="EA155" i="2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EY155" i="2"/>
  <c r="DH156" i="2"/>
  <c r="FS156" i="2"/>
  <c r="EB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CN156" i="2"/>
  <c r="EB157" i="2"/>
  <c r="EA157" i="2"/>
  <c r="ED157" i="2" s="1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DG160" i="2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FS161" i="2" l="1"/>
  <c r="ED160" i="2"/>
  <c r="EX161" i="2"/>
  <c r="EA161" i="2"/>
  <c r="EB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W162" i="2"/>
  <c r="EY161" i="2"/>
  <c r="DI161" i="2"/>
  <c r="EC162" i="2"/>
  <c r="EB162" i="2"/>
  <c r="HH162" i="2"/>
  <c r="HG162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EB163" i="2"/>
  <c r="EA163" i="2"/>
  <c r="EV163" i="2"/>
  <c r="HI163" i="2"/>
  <c r="FS163" i="2"/>
  <c r="EC163" i="2"/>
  <c r="ED163" i="2" s="1"/>
  <c r="EX163" i="2"/>
  <c r="DH163" i="2"/>
  <c r="EW163" i="2"/>
  <c r="EY163" i="2" s="1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FR164" i="2" l="1"/>
  <c r="EX164" i="2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ED165" i="2"/>
  <c r="CN165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EY166" i="2"/>
  <c r="EA167" i="2"/>
  <c r="DG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DI167" i="2"/>
  <c r="EC168" i="2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Y168" i="2"/>
  <c r="EX169" i="2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B172" i="2"/>
  <c r="EY171" i="2"/>
  <c r="HG172" i="2"/>
  <c r="EW172" i="2"/>
  <c r="EC172" i="2"/>
  <c r="ED172" i="2" s="1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W173" i="2"/>
  <c r="HJ172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EB175" i="2"/>
  <c r="AA175" i="2"/>
  <c r="EA175" i="2"/>
  <c r="EW175" i="2"/>
  <c r="FS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EC177" i="2"/>
  <c r="FS177" i="2"/>
  <c r="EW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EW178" i="2"/>
  <c r="FQ178" i="2"/>
  <c r="FS178" i="2"/>
  <c r="EB178" i="2"/>
  <c r="EA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H179" i="2" l="1"/>
  <c r="EV179" i="2"/>
  <c r="DF179" i="2"/>
  <c r="EA179" i="2"/>
  <c r="HG179" i="2"/>
  <c r="FS179" i="2"/>
  <c r="EX179" i="2"/>
  <c r="AW179" i="2"/>
  <c r="EC179" i="2"/>
  <c r="FQ179" i="2"/>
  <c r="EW179" i="2"/>
  <c r="EY179" i="2" s="1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EC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Y182" i="2"/>
  <c r="ED182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Y184" i="2"/>
  <c r="EV185" i="2"/>
  <c r="EW185" i="2"/>
  <c r="EA185" i="2"/>
  <c r="EB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EB186" i="2"/>
  <c r="FS186" i="2"/>
  <c r="HH186" i="2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EC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AA189" i="2"/>
  <c r="EB189" i="2"/>
  <c r="HH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B190" i="2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W192" i="2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EY192" i="2"/>
  <c r="EA193" i="2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FQ194" i="2" l="1"/>
  <c r="ED193" i="2"/>
  <c r="EA194" i="2"/>
  <c r="EB194" i="2"/>
  <c r="CN193" i="2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FQ195" i="2" l="1"/>
  <c r="EA195" i="2"/>
  <c r="EY194" i="2"/>
  <c r="DH195" i="2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FS197" i="2" l="1"/>
  <c r="EW197" i="2"/>
  <c r="EY196" i="2"/>
  <c r="AA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W199" i="2"/>
  <c r="EV199" i="2"/>
  <c r="EB199" i="2"/>
  <c r="EA199" i="2"/>
  <c r="HG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 l="1"/>
  <c r="ED200" i="2"/>
  <c r="DI200" i="2"/>
  <c r="FS201" i="2"/>
  <c r="EB201" i="2"/>
  <c r="EA201" i="2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D201" i="2" l="1"/>
  <c r="FS202" i="2"/>
  <c r="EY201" i="2"/>
  <c r="FZ6" i="2"/>
  <c r="EW202" i="2"/>
  <c r="FR202" i="2"/>
  <c r="HH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BC55" i="2" a="1"/>
  <c r="BC55" i="2" s="1"/>
  <c r="BC192" i="2" a="1"/>
  <c r="BC192" i="2" s="1"/>
  <c r="BC32" i="2" a="1"/>
  <c r="BC32" i="2" s="1"/>
  <c r="BC84" i="2" a="1"/>
  <c r="BC84" i="2" s="1"/>
  <c r="BC31" i="2" a="1"/>
  <c r="BC31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AX200" i="2"/>
  <c r="FD19" i="2" l="1" a="1"/>
  <c r="FD19" i="2" s="1"/>
  <c r="FD159" i="2" a="1"/>
  <c r="FD159" i="2" s="1"/>
  <c r="FD187" i="2" a="1"/>
  <c r="FD187" i="2" s="1"/>
  <c r="FD194" i="2" a="1"/>
  <c r="FD194" i="2" s="1"/>
  <c r="FD107" i="2" a="1"/>
  <c r="FD107" i="2" s="1"/>
  <c r="FD43" i="2" a="1"/>
  <c r="FD43" i="2" s="1"/>
  <c r="FD64" i="2" a="1"/>
  <c r="FD64" i="2" s="1"/>
  <c r="FD48" i="2" a="1"/>
  <c r="FD48" i="2" s="1"/>
  <c r="FD60" i="2" a="1"/>
  <c r="FD60" i="2" s="1"/>
  <c r="FD189" i="2" a="1"/>
  <c r="FD189" i="2" s="1"/>
  <c r="FD14" i="2" a="1"/>
  <c r="FD14" i="2" s="1"/>
  <c r="FD44" i="2" a="1"/>
  <c r="FD44" i="2" s="1"/>
  <c r="FD188" i="2" a="1"/>
  <c r="FD188" i="2" s="1"/>
  <c r="FD160" i="2" a="1"/>
  <c r="FD160" i="2" s="1"/>
  <c r="FD137" i="2" a="1"/>
  <c r="FD137" i="2" s="1"/>
  <c r="EI128" i="2" a="1"/>
  <c r="EI128" i="2" s="1"/>
  <c r="BC164" i="2" a="1"/>
  <c r="BC164" i="2" s="1"/>
  <c r="BC130" i="2" a="1"/>
  <c r="BC130" i="2" s="1"/>
  <c r="BC83" i="2" a="1"/>
  <c r="BC83" i="2" s="1"/>
  <c r="BC151" i="2" a="1"/>
  <c r="BC151" i="2" s="1"/>
  <c r="BC7" i="2" a="1"/>
  <c r="BC7" i="2" s="1"/>
  <c r="BC185" i="2" a="1"/>
  <c r="BC185" i="2" s="1"/>
  <c r="BC143" i="2" a="1"/>
  <c r="BC143" i="2" s="1"/>
  <c r="BC65" i="2" a="1"/>
  <c r="BC65" i="2" s="1"/>
  <c r="BC117" i="2" a="1"/>
  <c r="BC117" i="2" s="1"/>
  <c r="BC181" i="2" a="1"/>
  <c r="BC181" i="2" s="1"/>
  <c r="CS134" i="2" a="1"/>
  <c r="CS134" i="2" s="1"/>
  <c r="CS24" i="2" a="1"/>
  <c r="CS24" i="2" s="1"/>
  <c r="BX107" i="2" a="1"/>
  <c r="BX107" i="2" s="1"/>
  <c r="FD167" i="2" a="1"/>
  <c r="FD167" i="2" s="1"/>
  <c r="FD131" i="2" a="1"/>
  <c r="FD131" i="2" s="1"/>
  <c r="EI178" i="2" a="1"/>
  <c r="EI178" i="2" s="1"/>
  <c r="CS52" i="2" a="1"/>
  <c r="CS52" i="2" s="1"/>
  <c r="CS66" i="2" a="1"/>
  <c r="CS66" i="2" s="1"/>
  <c r="CS116" i="2" a="1"/>
  <c r="CS116" i="2" s="1"/>
  <c r="CS114" i="2" a="1"/>
  <c r="CS114" i="2" s="1"/>
  <c r="CS185" i="2" a="1"/>
  <c r="CS185" i="2" s="1"/>
  <c r="BC114" i="2" a="1"/>
  <c r="BC114" i="2" s="1"/>
  <c r="BC126" i="2" a="1"/>
  <c r="BC126" i="2" s="1"/>
  <c r="BC82" i="2" a="1"/>
  <c r="BC82" i="2" s="1"/>
  <c r="BC47" i="2" a="1"/>
  <c r="BC47" i="2" s="1"/>
  <c r="BC68" i="2" a="1"/>
  <c r="BC68" i="2" s="1"/>
  <c r="CS38" i="2" a="1"/>
  <c r="CS38" i="2" s="1"/>
  <c r="CS105" i="2" a="1"/>
  <c r="CS105" i="2" s="1"/>
  <c r="CS161" i="2" a="1"/>
  <c r="CS161" i="2" s="1"/>
  <c r="CS120" i="2" a="1"/>
  <c r="CS120" i="2" s="1"/>
  <c r="CS77" i="2" a="1"/>
  <c r="CS77" i="2" s="1"/>
  <c r="CS56" i="2" a="1"/>
  <c r="CS56" i="2" s="1"/>
  <c r="CS72" i="2" a="1"/>
  <c r="CS72" i="2" s="1"/>
  <c r="CS137" i="2" a="1"/>
  <c r="CS137" i="2" s="1"/>
  <c r="CS129" i="2" a="1"/>
  <c r="CS129" i="2" s="1"/>
  <c r="BC58" i="2" a="1"/>
  <c r="BC58" i="2" s="1"/>
  <c r="BC34" i="2" a="1"/>
  <c r="BC34" i="2" s="1"/>
  <c r="FS203" i="2"/>
  <c r="FD59" i="2" a="1"/>
  <c r="FD59" i="2" s="1"/>
  <c r="FD144" i="2" a="1"/>
  <c r="FD144" i="2" s="1"/>
  <c r="FD21" i="2" a="1"/>
  <c r="FD21" i="2" s="1"/>
  <c r="AH90" i="2" a="1"/>
  <c r="AH90" i="2" s="1"/>
  <c r="AH62" i="2" a="1"/>
  <c r="AH62" i="2" s="1"/>
  <c r="AH19" i="2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FT203" i="2"/>
  <c r="DI203" i="2"/>
  <c r="CN203" i="2"/>
  <c r="EY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J168" i="2" l="1"/>
  <c r="FJ196" i="2"/>
  <c r="FJ198" i="2"/>
  <c r="FJ143" i="2"/>
  <c r="FJ19" i="2"/>
  <c r="FJ28" i="2"/>
  <c r="FJ88" i="2"/>
  <c r="FJ100" i="2"/>
  <c r="FJ45" i="2"/>
  <c r="FJ54" i="2"/>
  <c r="FJ50" i="2"/>
  <c r="FJ174" i="2"/>
  <c r="FJ76" i="2"/>
  <c r="FJ147" i="2"/>
  <c r="FJ172" i="2"/>
  <c r="FJ121" i="2"/>
  <c r="FJ97" i="2"/>
  <c r="FJ158" i="2"/>
  <c r="FJ120" i="2"/>
  <c r="FJ35" i="2"/>
  <c r="FJ38" i="2"/>
  <c r="FJ42" i="2"/>
  <c r="FJ93" i="2"/>
  <c r="FJ20" i="2"/>
  <c r="FJ144" i="2"/>
  <c r="FJ41" i="2"/>
  <c r="FJ188" i="2"/>
  <c r="FJ199" i="2"/>
  <c r="FJ99" i="2"/>
  <c r="FJ95" i="2"/>
  <c r="FJ142" i="2"/>
  <c r="FJ61" i="2"/>
  <c r="FJ186" i="2"/>
  <c r="FJ165" i="2"/>
  <c r="FJ115" i="2"/>
  <c r="FJ180" i="2"/>
  <c r="FJ16" i="2"/>
  <c r="FJ46" i="2"/>
  <c r="FJ57" i="2"/>
  <c r="FJ137" i="2"/>
  <c r="FJ48" i="2"/>
  <c r="FJ138" i="2"/>
  <c r="FJ15" i="2"/>
  <c r="FJ193" i="2"/>
  <c r="FJ80" i="2"/>
  <c r="FJ13" i="2"/>
  <c r="FJ179" i="2"/>
  <c r="FJ34" i="2"/>
  <c r="FJ8" i="2"/>
  <c r="FJ107" i="2"/>
  <c r="FJ85" i="2"/>
  <c r="FJ185" i="2"/>
  <c r="FJ102" i="2"/>
  <c r="FJ175" i="2"/>
  <c r="FJ129" i="2"/>
  <c r="FJ166" i="2"/>
  <c r="FJ9" i="2"/>
  <c r="FJ98" i="2"/>
  <c r="FJ178" i="2"/>
  <c r="FJ18" i="2"/>
  <c r="FJ104" i="2"/>
  <c r="FJ103" i="2"/>
  <c r="FJ22" i="2"/>
  <c r="FJ70" i="2"/>
  <c r="FJ83" i="2"/>
  <c r="FJ105" i="2"/>
  <c r="FJ72" i="2"/>
  <c r="FJ10" i="2"/>
  <c r="FJ189" i="2"/>
  <c r="FJ201" i="2"/>
  <c r="FJ79" i="2"/>
  <c r="FJ161" i="2"/>
  <c r="FJ96" i="2"/>
  <c r="FJ81" i="2"/>
  <c r="FJ140" i="2"/>
  <c r="FJ21" i="2"/>
  <c r="FJ106" i="2"/>
  <c r="FJ112" i="2"/>
  <c r="FJ122" i="2"/>
  <c r="FJ134" i="2"/>
  <c r="FJ52" i="2"/>
  <c r="FJ39" i="2"/>
  <c r="FJ157" i="2"/>
  <c r="FJ162" i="2"/>
  <c r="FJ7" i="2"/>
  <c r="FJ64" i="2"/>
  <c r="FJ154" i="2"/>
  <c r="FJ181" i="2"/>
  <c r="FJ58" i="2"/>
  <c r="FJ6" i="2"/>
  <c r="FJ67" i="2"/>
  <c r="FJ68" i="2"/>
  <c r="FJ74" i="2"/>
  <c r="FJ167" i="2"/>
  <c r="FJ51" i="2"/>
  <c r="FJ82" i="2"/>
  <c r="FJ56" i="2"/>
  <c r="FJ44" i="2"/>
  <c r="FJ202" i="2"/>
  <c r="FJ187" i="2"/>
  <c r="FJ119" i="2"/>
  <c r="FJ108" i="2"/>
  <c r="FJ25" i="2"/>
  <c r="FJ87" i="2"/>
  <c r="FJ69" i="2"/>
  <c r="FJ12" i="2"/>
  <c r="FJ203" i="2"/>
  <c r="FJ191" i="2"/>
  <c r="FJ31" i="2"/>
  <c r="FJ136" i="2"/>
  <c r="FJ150" i="2"/>
  <c r="FJ89" i="2"/>
  <c r="FJ123" i="2"/>
  <c r="FJ86" i="2"/>
  <c r="FJ27" i="2"/>
  <c r="FJ173" i="2"/>
  <c r="FJ92" i="2"/>
  <c r="FJ195" i="2"/>
  <c r="FJ155" i="2"/>
  <c r="FJ176" i="2"/>
  <c r="FJ153" i="2"/>
  <c r="FJ11" i="2"/>
  <c r="FJ62" i="2"/>
  <c r="FJ184" i="2"/>
  <c r="FJ63" i="2"/>
  <c r="FJ43" i="2"/>
  <c r="FJ133" i="2"/>
  <c r="FJ29" i="2"/>
  <c r="FJ182" i="2"/>
  <c r="FJ163" i="2"/>
  <c r="FJ75" i="2"/>
  <c r="FJ171" i="2"/>
  <c r="FJ111" i="2"/>
  <c r="FJ132" i="2"/>
  <c r="FJ73" i="2"/>
  <c r="FJ131" i="2"/>
  <c r="FJ117" i="2"/>
  <c r="FJ60" i="2"/>
  <c r="FJ37" i="2"/>
  <c r="FJ26" i="2"/>
  <c r="FJ116" i="2"/>
  <c r="FJ24" i="2"/>
  <c r="FJ125" i="2"/>
  <c r="FJ148" i="2"/>
  <c r="FJ66" i="2"/>
  <c r="FJ65" i="2"/>
  <c r="FJ139" i="2"/>
  <c r="FJ59" i="2"/>
  <c r="FJ151" i="2"/>
  <c r="FJ77" i="2"/>
  <c r="FJ152" i="2"/>
  <c r="FJ71" i="2"/>
  <c r="FJ36" i="2"/>
  <c r="FJ78" i="2"/>
  <c r="FJ169" i="2"/>
  <c r="FJ149" i="2"/>
  <c r="FJ190" i="2"/>
  <c r="FJ109" i="2"/>
  <c r="FJ5" i="2"/>
  <c r="FJ192" i="2"/>
  <c r="FJ124" i="2"/>
  <c r="FJ194" i="2"/>
  <c r="FJ146" i="2"/>
  <c r="FJ101" i="2"/>
  <c r="FJ90" i="2"/>
  <c r="FJ14" i="2"/>
  <c r="FJ32" i="2"/>
  <c r="FJ110" i="2"/>
  <c r="FJ159" i="2"/>
  <c r="FJ91" i="2"/>
  <c r="FJ17" i="2"/>
  <c r="FJ30" i="2"/>
  <c r="FJ170" i="2"/>
  <c r="FJ118" i="2"/>
  <c r="FJ141" i="2"/>
  <c r="FJ164" i="2"/>
  <c r="FJ113" i="2"/>
  <c r="FJ55" i="2"/>
  <c r="FJ145" i="2"/>
  <c r="FJ130" i="2"/>
  <c r="FJ200" i="2"/>
  <c r="FJ53" i="2"/>
  <c r="FJ4" i="2"/>
  <c r="FJ177" i="2"/>
  <c r="FJ126" i="2"/>
  <c r="FJ183" i="2"/>
  <c r="FJ156" i="2"/>
  <c r="FJ23" i="2"/>
  <c r="FJ197" i="2"/>
  <c r="FJ127" i="2"/>
  <c r="FJ47" i="2"/>
  <c r="FJ40" i="2"/>
  <c r="FJ94" i="2"/>
  <c r="FJ128" i="2"/>
  <c r="FJ135" i="2"/>
  <c r="FJ160" i="2"/>
  <c r="FJ3" i="2"/>
  <c r="C13" i="4" s="1"/>
  <c r="E13" i="4" s="1"/>
  <c r="F13" i="4" s="1"/>
  <c r="G13" i="4" s="1"/>
  <c r="L13" i="4" s="1"/>
  <c r="FJ84" i="2"/>
  <c r="FJ114" i="2"/>
  <c r="FJ33" i="2"/>
  <c r="FJ49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<sst xmlns="http://schemas.openxmlformats.org/spreadsheetml/2006/main" count="1177" uniqueCount="324">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</sst>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2.9758156199557515</c:v>
                </c:pt>
                <c:pt idx="2">
                  <c:v>3.9653026569590337</c:v>
                </c:pt>
                <c:pt idx="3">
                  <c:v>5.2851463938399075</c:v>
                </c:pt>
                <c:pt idx="4">
                  <c:v>7.0460633538091342</c:v>
                </c:pt>
                <c:pt idx="5">
                  <c:v>9.3960075889199022</c:v>
                </c:pt>
                <c:pt idx="6">
                  <c:v>12.53273587814193</c:v>
                </c:pt>
                <c:pt idx="7">
                  <c:v>16.72062557445792</c:v>
                </c:pt>
                <c:pt idx="8">
                  <c:v>22.313188331922618</c:v>
                </c:pt>
                <c:pt idx="9">
                  <c:v>29.783213949804821</c:v>
                </c:pt>
                <c:pt idx="10">
                  <c:v>39.763136997095295</c:v>
                </c:pt>
                <c:pt idx="11">
                  <c:v>53.099101927027704</c:v>
                </c:pt>
                <c:pt idx="12">
                  <c:v>70.9233868359387</c:v>
                </c:pt>
                <c:pt idx="13">
                  <c:v>94.751434931417066</c:v>
                </c:pt>
                <c:pt idx="14">
                  <c:v>126.61187452414181</c:v>
                </c:pt>
                <c:pt idx="15">
                  <c:v>169.22076873606747</c:v>
                </c:pt>
                <c:pt idx="16">
                  <c:v>156.31763533587534</c:v>
                </c:pt>
                <c:pt idx="17">
                  <c:v>183.23613938898788</c:v>
                </c:pt>
                <c:pt idx="18">
                  <c:v>210.06205920782259</c:v>
                </c:pt>
                <c:pt idx="19">
                  <c:v>236.80889001154432</c:v>
                </c:pt>
                <c:pt idx="20">
                  <c:v>263.48682168593842</c:v>
                </c:pt>
                <c:pt idx="21">
                  <c:v>208.55295085965801</c:v>
                </c:pt>
                <c:pt idx="22">
                  <c:v>234.55138491384039</c:v>
                </c:pt>
                <c:pt idx="23">
                  <c:v>260.48403592293715</c:v>
                </c:pt>
                <c:pt idx="24">
                  <c:v>286.35837196420749</c:v>
                </c:pt>
                <c:pt idx="25">
                  <c:v>312.18040027213078</c:v>
                </c:pt>
                <c:pt idx="26">
                  <c:v>254.10050561748869</c:v>
                </c:pt>
                <c:pt idx="27">
                  <c:v>278.48936400091276</c:v>
                </c:pt>
                <c:pt idx="28">
                  <c:v>302.83030487228285</c:v>
                </c:pt>
                <c:pt idx="29">
                  <c:v>327.12771904371101</c:v>
                </c:pt>
                <c:pt idx="30">
                  <c:v>351.38529181133845</c:v>
                </c:pt>
                <c:pt idx="31">
                  <c:v>291.97612129761018</c:v>
                </c:pt>
                <c:pt idx="32">
                  <c:v>314.79730475594641</c:v>
                </c:pt>
                <c:pt idx="33">
                  <c:v>337.58182519139035</c:v>
                </c:pt>
                <c:pt idx="34">
                  <c:v>360.33250350315166</c:v>
                </c:pt>
                <c:pt idx="35">
                  <c:v>383.05177541071208</c:v>
                </c:pt>
                <c:pt idx="36">
                  <c:v>324.88660171920714</c:v>
                </c:pt>
                <c:pt idx="37">
                  <c:v>345.04466702323003</c:v>
                </c:pt>
                <c:pt idx="38">
                  <c:v>365.17687261995815</c:v>
                </c:pt>
                <c:pt idx="39">
                  <c:v>385.28484395959771</c:v>
                </c:pt>
                <c:pt idx="40">
                  <c:v>405.37002304691242</c:v>
                </c:pt>
                <c:pt idx="41">
                  <c:v>351.0123838279564</c:v>
                </c:pt>
                <c:pt idx="42">
                  <c:v>369.27485695721407</c:v>
                </c:pt>
                <c:pt idx="43">
                  <c:v>387.5176312788667</c:v>
                </c:pt>
                <c:pt idx="44">
                  <c:v>405.7417642472314</c:v>
                </c:pt>
                <c:pt idx="45">
                  <c:v>423.9482106076091</c:v>
                </c:pt>
                <c:pt idx="46">
                  <c:v>373.37184903581334</c:v>
                </c:pt>
                <c:pt idx="47">
                  <c:v>389.75013922020406</c:v>
                </c:pt>
                <c:pt idx="48">
                  <c:v>406.11349808426445</c:v>
                </c:pt>
                <c:pt idx="49">
                  <c:v>422.46261177230537</c:v>
                </c:pt>
                <c:pt idx="50">
                  <c:v>438.7981090039209</c:v>
                </c:pt>
                <c:pt idx="51">
                  <c:v>391.98236961231743</c:v>
                </c:pt>
                <c:pt idx="52">
                  <c:v>406.48522456571527</c:v>
                </c:pt>
                <c:pt idx="53">
                  <c:v>420.97690043878242</c:v>
                </c:pt>
                <c:pt idx="54">
                  <c:v>435.45783620208516</c:v>
                </c:pt>
                <c:pt idx="55">
                  <c:v>449.92843925372966</c:v>
                </c:pt>
                <c:pt idx="56">
                  <c:v>408.71542941668878</c:v>
                </c:pt>
                <c:pt idx="57">
                  <c:v>421.34833884363542</c:v>
                </c:pt>
                <c:pt idx="58">
                  <c:v>433.97309421022049</c:v>
                </c:pt>
                <c:pt idx="59">
                  <c:v>446.58996615169809</c:v>
                </c:pt>
                <c:pt idx="60">
                  <c:v>459.19920876443319</c:v>
                </c:pt>
                <c:pt idx="61">
                  <c:v>422.09119450330468</c:v>
                </c:pt>
                <c:pt idx="62">
                  <c:v>433.23068233058763</c:v>
                </c:pt>
                <c:pt idx="63">
                  <c:v>444.36402075569396</c:v>
                </c:pt>
                <c:pt idx="64">
                  <c:v>455.49138558575584</c:v>
                </c:pt>
                <c:pt idx="65">
                  <c:v>466.61294333655468</c:v>
                </c:pt>
                <c:pt idx="66">
                  <c:v>433.60189168293124</c:v>
                </c:pt>
                <c:pt idx="67">
                  <c:v>443.25095855050807</c:v>
                </c:pt>
                <c:pt idx="68">
                  <c:v>452.89552584845842</c:v>
                </c:pt>
                <c:pt idx="69">
                  <c:v>462.53570293273214</c:v>
                </c:pt>
                <c:pt idx="70">
                  <c:v>472.17159422788467</c:v>
                </c:pt>
                <c:pt idx="71">
                  <c:v>4.566883036574213E-12</c:v>
                </c:pt>
                <c:pt idx="72">
                  <c:v>4.566883036574213E-12</c:v>
                </c:pt>
                <c:pt idx="73">
                  <c:v>4.566883036574213E-12</c:v>
                </c:pt>
                <c:pt idx="74">
                  <c:v>4.566883036574213E-12</c:v>
                </c:pt>
                <c:pt idx="75">
                  <c:v>4.566883036574213E-12</c:v>
                </c:pt>
                <c:pt idx="76">
                  <c:v>4.566883036574213E-12</c:v>
                </c:pt>
                <c:pt idx="77">
                  <c:v>4.566883036574213E-12</c:v>
                </c:pt>
                <c:pt idx="78">
                  <c:v>4.566883036574213E-12</c:v>
                </c:pt>
                <c:pt idx="79">
                  <c:v>4.566883036574213E-12</c:v>
                </c:pt>
                <c:pt idx="80">
                  <c:v>4.566883036574213E-12</c:v>
                </c:pt>
                <c:pt idx="81">
                  <c:v>4.566883036574213E-12</c:v>
                </c:pt>
                <c:pt idx="82">
                  <c:v>4.566883036574213E-12</c:v>
                </c:pt>
                <c:pt idx="83">
                  <c:v>4.566883036574213E-12</c:v>
                </c:pt>
                <c:pt idx="84">
                  <c:v>4.566883036574213E-12</c:v>
                </c:pt>
                <c:pt idx="85">
                  <c:v>4.566883036574213E-12</c:v>
                </c:pt>
                <c:pt idx="86">
                  <c:v>4.566883036574213E-12</c:v>
                </c:pt>
                <c:pt idx="87">
                  <c:v>4.566883036574213E-12</c:v>
                </c:pt>
                <c:pt idx="88">
                  <c:v>4.566883036574213E-12</c:v>
                </c:pt>
                <c:pt idx="89">
                  <c:v>4.566883036574213E-12</c:v>
                </c:pt>
                <c:pt idx="90">
                  <c:v>4.566883036574213E-12</c:v>
                </c:pt>
                <c:pt idx="91">
                  <c:v>4.566883036574213E-12</c:v>
                </c:pt>
                <c:pt idx="92">
                  <c:v>4.566883036574213E-12</c:v>
                </c:pt>
                <c:pt idx="93">
                  <c:v>4.566883036574213E-12</c:v>
                </c:pt>
                <c:pt idx="94">
                  <c:v>4.566883036574213E-12</c:v>
                </c:pt>
                <c:pt idx="95">
                  <c:v>4.566883036574213E-12</c:v>
                </c:pt>
                <c:pt idx="96">
                  <c:v>4.566883036574213E-12</c:v>
                </c:pt>
                <c:pt idx="97">
                  <c:v>4.566883036574213E-12</c:v>
                </c:pt>
                <c:pt idx="98">
                  <c:v>4.566883036574213E-12</c:v>
                </c:pt>
                <c:pt idx="99">
                  <c:v>4.566883036574213E-12</c:v>
                </c:pt>
                <c:pt idx="100">
                  <c:v>4.566883036574213E-12</c:v>
                </c:pt>
                <c:pt idx="101">
                  <c:v>4.566883036574213E-12</c:v>
                </c:pt>
                <c:pt idx="102">
                  <c:v>4.566883036574213E-12</c:v>
                </c:pt>
                <c:pt idx="103">
                  <c:v>4.566883036574213E-12</c:v>
                </c:pt>
                <c:pt idx="104">
                  <c:v>4.566883036574213E-12</c:v>
                </c:pt>
                <c:pt idx="105">
                  <c:v>4.566883036574213E-12</c:v>
                </c:pt>
                <c:pt idx="106">
                  <c:v>4.566883036574213E-12</c:v>
                </c:pt>
                <c:pt idx="107">
                  <c:v>4.566883036574213E-12</c:v>
                </c:pt>
                <c:pt idx="108">
                  <c:v>4.566883036574213E-12</c:v>
                </c:pt>
                <c:pt idx="109">
                  <c:v>4.566883036574213E-12</c:v>
                </c:pt>
                <c:pt idx="110">
                  <c:v>4.566883036574213E-12</c:v>
                </c:pt>
                <c:pt idx="111">
                  <c:v>4.566883036574213E-12</c:v>
                </c:pt>
                <c:pt idx="112">
                  <c:v>4.566883036574213E-12</c:v>
                </c:pt>
                <c:pt idx="113">
                  <c:v>4.566883036574213E-12</c:v>
                </c:pt>
                <c:pt idx="114">
                  <c:v>4.566883036574213E-12</c:v>
                </c:pt>
                <c:pt idx="115">
                  <c:v>4.566883036574213E-12</c:v>
                </c:pt>
                <c:pt idx="116">
                  <c:v>4.566883036574213E-12</c:v>
                </c:pt>
                <c:pt idx="117">
                  <c:v>4.566883036574213E-12</c:v>
                </c:pt>
                <c:pt idx="118">
                  <c:v>4.566883036574213E-12</c:v>
                </c:pt>
                <c:pt idx="119">
                  <c:v>4.566883036574213E-12</c:v>
                </c:pt>
                <c:pt idx="120">
                  <c:v>4.566883036574213E-12</c:v>
                </c:pt>
                <c:pt idx="121">
                  <c:v>4.566883036574213E-12</c:v>
                </c:pt>
                <c:pt idx="122">
                  <c:v>4.566883036574213E-12</c:v>
                </c:pt>
                <c:pt idx="123">
                  <c:v>4.566883036574213E-12</c:v>
                </c:pt>
                <c:pt idx="124">
                  <c:v>4.566883036574213E-12</c:v>
                </c:pt>
                <c:pt idx="125">
                  <c:v>4.566883036574213E-12</c:v>
                </c:pt>
                <c:pt idx="126">
                  <c:v>4.566883036574213E-12</c:v>
                </c:pt>
                <c:pt idx="127">
                  <c:v>4.566883036574213E-12</c:v>
                </c:pt>
                <c:pt idx="128">
                  <c:v>4.566883036574213E-12</c:v>
                </c:pt>
                <c:pt idx="129">
                  <c:v>4.566883036574213E-12</c:v>
                </c:pt>
                <c:pt idx="130">
                  <c:v>4.566883036574213E-12</c:v>
                </c:pt>
                <c:pt idx="131">
                  <c:v>4.566883036574213E-12</c:v>
                </c:pt>
                <c:pt idx="132">
                  <c:v>4.566883036574213E-12</c:v>
                </c:pt>
                <c:pt idx="133">
                  <c:v>4.566883036574213E-12</c:v>
                </c:pt>
                <c:pt idx="134">
                  <c:v>4.566883036574213E-12</c:v>
                </c:pt>
                <c:pt idx="135">
                  <c:v>4.566883036574213E-12</c:v>
                </c:pt>
                <c:pt idx="136">
                  <c:v>4.566883036574213E-12</c:v>
                </c:pt>
                <c:pt idx="137">
                  <c:v>4.566883036574213E-12</c:v>
                </c:pt>
                <c:pt idx="138">
                  <c:v>4.566883036574213E-12</c:v>
                </c:pt>
                <c:pt idx="139">
                  <c:v>4.566883036574213E-12</c:v>
                </c:pt>
                <c:pt idx="140">
                  <c:v>4.566883036574213E-12</c:v>
                </c:pt>
                <c:pt idx="141">
                  <c:v>4.566883036574213E-12</c:v>
                </c:pt>
                <c:pt idx="142">
                  <c:v>4.566883036574213E-12</c:v>
                </c:pt>
                <c:pt idx="143">
                  <c:v>4.566883036574213E-12</c:v>
                </c:pt>
                <c:pt idx="144">
                  <c:v>4.566883036574213E-12</c:v>
                </c:pt>
                <c:pt idx="145">
                  <c:v>4.566883036574213E-12</c:v>
                </c:pt>
                <c:pt idx="146">
                  <c:v>4.566883036574213E-12</c:v>
                </c:pt>
                <c:pt idx="147">
                  <c:v>4.566883036574213E-12</c:v>
                </c:pt>
                <c:pt idx="148">
                  <c:v>4.566883036574213E-12</c:v>
                </c:pt>
                <c:pt idx="149">
                  <c:v>4.566883036574213E-12</c:v>
                </c:pt>
                <c:pt idx="150">
                  <c:v>4.566883036574213E-12</c:v>
                </c:pt>
                <c:pt idx="151">
                  <c:v>4.566883036574213E-12</c:v>
                </c:pt>
                <c:pt idx="152">
                  <c:v>4.566883036574213E-12</c:v>
                </c:pt>
                <c:pt idx="153">
                  <c:v>4.566883036574213E-12</c:v>
                </c:pt>
                <c:pt idx="154">
                  <c:v>4.566883036574213E-12</c:v>
                </c:pt>
                <c:pt idx="155">
                  <c:v>4.566883036574213E-12</c:v>
                </c:pt>
                <c:pt idx="156">
                  <c:v>4.566883036574213E-12</c:v>
                </c:pt>
                <c:pt idx="157">
                  <c:v>4.566883036574213E-12</c:v>
                </c:pt>
                <c:pt idx="158">
                  <c:v>4.566883036574213E-12</c:v>
                </c:pt>
                <c:pt idx="159">
                  <c:v>4.566883036574213E-12</c:v>
                </c:pt>
                <c:pt idx="160">
                  <c:v>4.566883036574213E-12</c:v>
                </c:pt>
                <c:pt idx="161">
                  <c:v>4.566883036574213E-12</c:v>
                </c:pt>
                <c:pt idx="162">
                  <c:v>4.566883036574213E-12</c:v>
                </c:pt>
                <c:pt idx="163">
                  <c:v>4.566883036574213E-12</c:v>
                </c:pt>
                <c:pt idx="164">
                  <c:v>4.566883036574213E-12</c:v>
                </c:pt>
                <c:pt idx="165">
                  <c:v>4.566883036574213E-12</c:v>
                </c:pt>
                <c:pt idx="166">
                  <c:v>4.566883036574213E-12</c:v>
                </c:pt>
                <c:pt idx="167">
                  <c:v>4.566883036574213E-12</c:v>
                </c:pt>
                <c:pt idx="168">
                  <c:v>4.566883036574213E-12</c:v>
                </c:pt>
                <c:pt idx="169">
                  <c:v>4.566883036574213E-12</c:v>
                </c:pt>
                <c:pt idx="170">
                  <c:v>4.566883036574213E-12</c:v>
                </c:pt>
                <c:pt idx="171">
                  <c:v>4.566883036574213E-12</c:v>
                </c:pt>
                <c:pt idx="172">
                  <c:v>4.566883036574213E-12</c:v>
                </c:pt>
                <c:pt idx="173">
                  <c:v>4.566883036574213E-12</c:v>
                </c:pt>
                <c:pt idx="174">
                  <c:v>4.566883036574213E-12</c:v>
                </c:pt>
                <c:pt idx="175">
                  <c:v>4.566883036574213E-12</c:v>
                </c:pt>
                <c:pt idx="176">
                  <c:v>4.566883036574213E-12</c:v>
                </c:pt>
                <c:pt idx="177">
                  <c:v>4.566883036574213E-12</c:v>
                </c:pt>
                <c:pt idx="178">
                  <c:v>4.566883036574213E-12</c:v>
                </c:pt>
                <c:pt idx="179">
                  <c:v>4.566883036574213E-12</c:v>
                </c:pt>
                <c:pt idx="180">
                  <c:v>4.566883036574213E-12</c:v>
                </c:pt>
                <c:pt idx="181">
                  <c:v>4.566883036574213E-12</c:v>
                </c:pt>
                <c:pt idx="182">
                  <c:v>4.566883036574213E-12</c:v>
                </c:pt>
                <c:pt idx="183">
                  <c:v>4.566883036574213E-12</c:v>
                </c:pt>
                <c:pt idx="184">
                  <c:v>4.566883036574213E-12</c:v>
                </c:pt>
                <c:pt idx="185">
                  <c:v>4.566883036574213E-12</c:v>
                </c:pt>
                <c:pt idx="186">
                  <c:v>4.566883036574213E-12</c:v>
                </c:pt>
                <c:pt idx="187">
                  <c:v>4.566883036574213E-12</c:v>
                </c:pt>
                <c:pt idx="188">
                  <c:v>4.566883036574213E-12</c:v>
                </c:pt>
                <c:pt idx="189">
                  <c:v>4.566883036574213E-12</c:v>
                </c:pt>
                <c:pt idx="190">
                  <c:v>4.566883036574213E-12</c:v>
                </c:pt>
                <c:pt idx="191">
                  <c:v>4.566883036574213E-12</c:v>
                </c:pt>
                <c:pt idx="192">
                  <c:v>4.566883036574213E-12</c:v>
                </c:pt>
                <c:pt idx="193">
                  <c:v>4.566883036574213E-12</c:v>
                </c:pt>
                <c:pt idx="194">
                  <c:v>4.566883036574213E-12</c:v>
                </c:pt>
                <c:pt idx="195">
                  <c:v>4.566883036574213E-12</c:v>
                </c:pt>
                <c:pt idx="196">
                  <c:v>4.566883036574213E-12</c:v>
                </c:pt>
                <c:pt idx="197">
                  <c:v>4.566883036574213E-12</c:v>
                </c:pt>
                <c:pt idx="198">
                  <c:v>4.566883036574213E-12</c:v>
                </c:pt>
                <c:pt idx="199">
                  <c:v>4.566883036574213E-12</c:v>
                </c:pt>
                <c:pt idx="200">
                  <c:v>4.566883036574213E-12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583.94370486394735</c:v>
                </c:pt>
                <c:pt idx="82">
                  <c:v>596.93039273337797</c:v>
                </c:pt>
                <c:pt idx="83">
                  <c:v>609.91120610652649</c:v>
                </c:pt>
                <c:pt idx="84">
                  <c:v>622.88628757946492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606.85741792448357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643.48232136416652</c:v>
                </c:pt>
                <c:pt idx="91">
                  <c:v>601.8943306586167</c:v>
                </c:pt>
                <c:pt idx="92">
                  <c:v>613.72799533010163</c:v>
                </c:pt>
                <c:pt idx="93">
                  <c:v>625.55692889431919</c:v>
                </c:pt>
                <c:pt idx="94">
                  <c:v>637.3812333927383</c:v>
                </c:pt>
                <c:pt idx="95">
                  <c:v>649.20100677344158</c:v>
                </c:pt>
                <c:pt idx="96">
                  <c:v>606.4756720002963</c:v>
                </c:pt>
                <c:pt idx="97">
                  <c:v>617.16268463508527</c:v>
                </c:pt>
                <c:pt idx="98">
                  <c:v>627.84586213083401</c:v>
                </c:pt>
                <c:pt idx="99">
                  <c:v>638.52527892770956</c:v>
                </c:pt>
                <c:pt idx="100">
                  <c:v>649.2010067734418</c:v>
                </c:pt>
                <c:pt idx="101">
                  <c:v>608.00262579276773</c:v>
                </c:pt>
                <c:pt idx="102">
                  <c:v>618.30749289907283</c:v>
                </c:pt>
                <c:pt idx="103">
                  <c:v>628.60880146856778</c:v>
                </c:pt>
                <c:pt idx="104">
                  <c:v>638.90661802503598</c:v>
                </c:pt>
                <c:pt idx="105">
                  <c:v>649.20100677344158</c:v>
                </c:pt>
                <c:pt idx="106">
                  <c:v>609.14778887966042</c:v>
                </c:pt>
                <c:pt idx="107">
                  <c:v>618.68908588691181</c:v>
                </c:pt>
                <c:pt idx="108">
                  <c:v>628.22733419630015</c:v>
                </c:pt>
                <c:pt idx="109">
                  <c:v>637.76258661477357</c:v>
                </c:pt>
                <c:pt idx="110">
                  <c:v>647.29489424172459</c:v>
                </c:pt>
                <c:pt idx="111">
                  <c:v>608.76607282046416</c:v>
                </c:pt>
                <c:pt idx="112">
                  <c:v>617.92589503011754</c:v>
                </c:pt>
                <c:pt idx="113">
                  <c:v>627.08290360699937</c:v>
                </c:pt>
                <c:pt idx="114">
                  <c:v>636.237145425721</c:v>
                </c:pt>
                <c:pt idx="115">
                  <c:v>645.38866590218879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2.5717272485907814</c:v>
                </c:pt>
                <c:pt idx="2">
                  <c:v>3.2402608019311159</c:v>
                </c:pt>
                <c:pt idx="3">
                  <c:v>4.0832624280532892</c:v>
                </c:pt>
                <c:pt idx="4">
                  <c:v>5.14643042029713</c:v>
                </c:pt>
                <c:pt idx="5">
                  <c:v>6.4874737480469413</c:v>
                </c:pt>
                <c:pt idx="6">
                  <c:v>8.1792787679743544</c:v>
                </c:pt>
                <c:pt idx="7">
                  <c:v>10.313913297230501</c:v>
                </c:pt>
                <c:pt idx="8">
                  <c:v>13.007690059316532</c:v>
                </c:pt>
                <c:pt idx="9">
                  <c:v>16.407570518045844</c:v>
                </c:pt>
                <c:pt idx="10">
                  <c:v>20.699264836034356</c:v>
                </c:pt>
                <c:pt idx="11">
                  <c:v>40.194516673030414</c:v>
                </c:pt>
                <c:pt idx="12">
                  <c:v>59.423997506342801</c:v>
                </c:pt>
                <c:pt idx="13">
                  <c:v>78.488959578049446</c:v>
                </c:pt>
                <c:pt idx="14">
                  <c:v>97.435579235164482</c:v>
                </c:pt>
                <c:pt idx="15">
                  <c:v>116.29027446560372</c:v>
                </c:pt>
                <c:pt idx="16">
                  <c:v>84.113672803399268</c:v>
                </c:pt>
                <c:pt idx="17">
                  <c:v>107.92051495671598</c:v>
                </c:pt>
                <c:pt idx="18">
                  <c:v>131.59741333417946</c:v>
                </c:pt>
                <c:pt idx="19">
                  <c:v>155.17115527031999</c:v>
                </c:pt>
                <c:pt idx="20">
                  <c:v>178.65965761508951</c:v>
                </c:pt>
                <c:pt idx="21">
                  <c:v>143.74255992313238</c:v>
                </c:pt>
                <c:pt idx="22">
                  <c:v>169.34263834209935</c:v>
                </c:pt>
                <c:pt idx="23">
                  <c:v>194.85139259598841</c:v>
                </c:pt>
                <c:pt idx="24">
                  <c:v>220.2824723640712</c:v>
                </c:pt>
                <c:pt idx="25">
                  <c:v>245.64610894283177</c:v>
                </c:pt>
                <c:pt idx="26">
                  <c:v>209.98122047833627</c:v>
                </c:pt>
                <c:pt idx="27">
                  <c:v>234.34307827690756</c:v>
                </c:pt>
                <c:pt idx="28">
                  <c:v>258.64712580976101</c:v>
                </c:pt>
                <c:pt idx="29">
                  <c:v>282.89955759178855</c:v>
                </c:pt>
                <c:pt idx="30">
                  <c:v>307.10541864100406</c:v>
                </c:pt>
                <c:pt idx="31">
                  <c:v>269.58386372149999</c:v>
                </c:pt>
                <c:pt idx="32">
                  <c:v>291.76884281866893</c:v>
                </c:pt>
                <c:pt idx="33">
                  <c:v>313.9161563114389</c:v>
                </c:pt>
                <c:pt idx="34">
                  <c:v>336.02883386480761</c:v>
                </c:pt>
                <c:pt idx="35">
                  <c:v>358.10947390735402</c:v>
                </c:pt>
                <c:pt idx="36">
                  <c:v>318.00102122537891</c:v>
                </c:pt>
                <c:pt idx="37">
                  <c:v>337.38854301296448</c:v>
                </c:pt>
                <c:pt idx="38">
                  <c:v>356.7515468667284</c:v>
                </c:pt>
                <c:pt idx="39">
                  <c:v>376.09155014049139</c:v>
                </c:pt>
                <c:pt idx="40">
                  <c:v>395.40990144559356</c:v>
                </c:pt>
                <c:pt idx="41">
                  <c:v>352.67708456218475</c:v>
                </c:pt>
                <c:pt idx="42">
                  <c:v>369.30811574035579</c:v>
                </c:pt>
                <c:pt idx="43">
                  <c:v>385.92281180916166</c:v>
                </c:pt>
                <c:pt idx="44">
                  <c:v>402.5219748287804</c:v>
                </c:pt>
                <c:pt idx="45">
                  <c:v>419.10633532774767</c:v>
                </c:pt>
                <c:pt idx="46">
                  <c:v>392.69981359198135</c:v>
                </c:pt>
                <c:pt idx="47">
                  <c:v>406.92332134334953</c:v>
                </c:pt>
                <c:pt idx="48">
                  <c:v>421.13608919058862</c:v>
                </c:pt>
                <c:pt idx="49">
                  <c:v>435.33853059869926</c:v>
                </c:pt>
                <c:pt idx="50">
                  <c:v>449.53102985794368</c:v>
                </c:pt>
                <c:pt idx="51">
                  <c:v>429.92926929891951</c:v>
                </c:pt>
                <c:pt idx="52">
                  <c:v>442.43600003546334</c:v>
                </c:pt>
                <c:pt idx="53">
                  <c:v>454.93515661064185</c:v>
                </c:pt>
                <c:pt idx="54">
                  <c:v>467.42697643811471</c:v>
                </c:pt>
                <c:pt idx="55">
                  <c:v>479.91168320756537</c:v>
                </c:pt>
                <c:pt idx="56">
                  <c:v>463.71394501783237</c:v>
                </c:pt>
                <c:pt idx="57">
                  <c:v>474.51375017343656</c:v>
                </c:pt>
                <c:pt idx="58">
                  <c:v>485.30832573764309</c:v>
                </c:pt>
                <c:pt idx="59">
                  <c:v>496.09780443549545</c:v>
                </c:pt>
                <c:pt idx="60">
                  <c:v>506.88231274768867</c:v>
                </c:pt>
                <c:pt idx="61">
                  <c:v>492.05233905304038</c:v>
                </c:pt>
                <c:pt idx="62">
                  <c:v>500.81663116885534</c:v>
                </c:pt>
                <c:pt idx="63">
                  <c:v>509.57767746501696</c:v>
                </c:pt>
                <c:pt idx="64">
                  <c:v>518.33554162748908</c:v>
                </c:pt>
                <c:pt idx="65">
                  <c:v>527.09028501417163</c:v>
                </c:pt>
                <c:pt idx="66">
                  <c:v>512.60960277392599</c:v>
                </c:pt>
                <c:pt idx="67">
                  <c:v>520.0193866370247</c:v>
                </c:pt>
                <c:pt idx="68">
                  <c:v>527.42694440011905</c:v>
                </c:pt>
                <c:pt idx="69">
                  <c:v>534.83231174765172</c:v>
                </c:pt>
                <c:pt idx="70">
                  <c:v>542.23552329497818</c:v>
                </c:pt>
                <c:pt idx="71">
                  <c:v>529.1101735137164</c:v>
                </c:pt>
                <c:pt idx="72">
                  <c:v>536.17850956190898</c:v>
                </c:pt>
                <c:pt idx="73">
                  <c:v>543.24488697768481</c:v>
                </c:pt>
                <c:pt idx="74">
                  <c:v>550.3093348397133</c:v>
                </c:pt>
                <c:pt idx="75">
                  <c:v>557.37188141896661</c:v>
                </c:pt>
                <c:pt idx="76">
                  <c:v>544.9270723182816</c:v>
                </c:pt>
                <c:pt idx="77">
                  <c:v>550.98203979993923</c:v>
                </c:pt>
                <c:pt idx="78">
                  <c:v>557.03561238139866</c:v>
                </c:pt>
                <c:pt idx="79">
                  <c:v>563.08780736582776</c:v>
                </c:pt>
                <c:pt idx="80">
                  <c:v>569.13864165395955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2.3771589152136832</c:v>
                </c:pt>
                <c:pt idx="2">
                  <c:v>2.9949424842304286</c:v>
                </c:pt>
                <c:pt idx="3">
                  <c:v>3.7739077794462492</c:v>
                </c:pt>
                <c:pt idx="4">
                  <c:v>4.7562627052095419</c:v>
                </c:pt>
                <c:pt idx="5">
                  <c:v>5.9953059624826457</c:v>
                </c:pt>
                <c:pt idx="6">
                  <c:v>7.5583506142245538</c:v>
                </c:pt>
                <c:pt idx="7">
                  <c:v>9.5304205700421178</c:v>
                </c:pt>
                <c:pt idx="8">
                  <c:v>12.018924879161736</c:v>
                </c:pt>
                <c:pt idx="9">
                  <c:v>15.159569166298086</c:v>
                </c:pt>
                <c:pt idx="10">
                  <c:v>19.123832490408656</c:v>
                </c:pt>
                <c:pt idx="11">
                  <c:v>37.129924657008708</c:v>
                </c:pt>
                <c:pt idx="12">
                  <c:v>54.88875090739392</c:v>
                </c:pt>
                <c:pt idx="13">
                  <c:v>72.494513498617124</c:v>
                </c:pt>
                <c:pt idx="14">
                  <c:v>89.990173613778268</c:v>
                </c:pt>
                <c:pt idx="15">
                  <c:v>107.40030981071855</c:v>
                </c:pt>
                <c:pt idx="16">
                  <c:v>77.688553841510227</c:v>
                </c:pt>
                <c:pt idx="17">
                  <c:v>99.671872945964807</c:v>
                </c:pt>
                <c:pt idx="18">
                  <c:v>121.53429599198023</c:v>
                </c:pt>
                <c:pt idx="19">
                  <c:v>143.30074516716834</c:v>
                </c:pt>
                <c:pt idx="20">
                  <c:v>164.98788980812969</c:v>
                </c:pt>
                <c:pt idx="21">
                  <c:v>132.74841047655565</c:v>
                </c:pt>
                <c:pt idx="22">
                  <c:v>156.3854681167081</c:v>
                </c:pt>
                <c:pt idx="23">
                  <c:v>179.93756030525927</c:v>
                </c:pt>
                <c:pt idx="24">
                  <c:v>203.41738632243269</c:v>
                </c:pt>
                <c:pt idx="25">
                  <c:v>226.83446508061596</c:v>
                </c:pt>
                <c:pt idx="26">
                  <c:v>193.90658129898392</c:v>
                </c:pt>
                <c:pt idx="27">
                  <c:v>216.39895226118747</c:v>
                </c:pt>
                <c:pt idx="28">
                  <c:v>238.83753816737965</c:v>
                </c:pt>
                <c:pt idx="29">
                  <c:v>261.22810222114174</c:v>
                </c:pt>
                <c:pt idx="30">
                  <c:v>283.57533816627659</c:v>
                </c:pt>
                <c:pt idx="31">
                  <c:v>248.93470217300001</c:v>
                </c:pt>
                <c:pt idx="32">
                  <c:v>269.41640439620915</c:v>
                </c:pt>
                <c:pt idx="33">
                  <c:v>289.86306359345826</c:v>
                </c:pt>
                <c:pt idx="34">
                  <c:v>310.27749848041276</c:v>
                </c:pt>
                <c:pt idx="35">
                  <c:v>330.66212656242277</c:v>
                </c:pt>
                <c:pt idx="36">
                  <c:v>293.63423101263379</c:v>
                </c:pt>
                <c:pt idx="37">
                  <c:v>311.53277495970787</c:v>
                </c:pt>
                <c:pt idx="38">
                  <c:v>329.40850810618275</c:v>
                </c:pt>
                <c:pt idx="39">
                  <c:v>347.26284215565835</c:v>
                </c:pt>
                <c:pt idx="40">
                  <c:v>365.09703181844537</c:v>
                </c:pt>
                <c:pt idx="41">
                  <c:v>325.64701898414177</c:v>
                </c:pt>
                <c:pt idx="42">
                  <c:v>341.00051892831272</c:v>
                </c:pt>
                <c:pt idx="43">
                  <c:v>356.33882114313155</c:v>
                </c:pt>
                <c:pt idx="44">
                  <c:v>371.66267184297823</c:v>
                </c:pt>
                <c:pt idx="45">
                  <c:v>386.97275069119178</c:v>
                </c:pt>
                <c:pt idx="46">
                  <c:v>362.59515964305297</c:v>
                </c:pt>
                <c:pt idx="47">
                  <c:v>375.72584517041173</c:v>
                </c:pt>
                <c:pt idx="48">
                  <c:v>388.84653859104043</c:v>
                </c:pt>
                <c:pt idx="49">
                  <c:v>401.95762458122357</c:v>
                </c:pt>
                <c:pt idx="50">
                  <c:v>415.05946067388413</c:v>
                </c:pt>
                <c:pt idx="51">
                  <c:v>396.96403469017787</c:v>
                </c:pt>
                <c:pt idx="52">
                  <c:v>408.50967750203745</c:v>
                </c:pt>
                <c:pt idx="53">
                  <c:v>420.04827352578377</c:v>
                </c:pt>
                <c:pt idx="54">
                  <c:v>431.5800436444527</c:v>
                </c:pt>
                <c:pt idx="55">
                  <c:v>443.10519597267603</c:v>
                </c:pt>
                <c:pt idx="56">
                  <c:v>428.1523799882828</c:v>
                </c:pt>
                <c:pt idx="57">
                  <c:v>438.12214558348154</c:v>
                </c:pt>
                <c:pt idx="58">
                  <c:v>448.08704571295783</c:v>
                </c:pt>
                <c:pt idx="59">
                  <c:v>458.04720386038417</c:v>
                </c:pt>
                <c:pt idx="60">
                  <c:v>468.00273769986552</c:v>
                </c:pt>
                <c:pt idx="61">
                  <c:v>454.31269266448356</c:v>
                </c:pt>
                <c:pt idx="62">
                  <c:v>462.40331218251168</c:v>
                </c:pt>
                <c:pt idx="63">
                  <c:v>470.49091188062221</c:v>
                </c:pt>
                <c:pt idx="64">
                  <c:v>478.57555101045619</c:v>
                </c:pt>
                <c:pt idx="65">
                  <c:v>486.65728665768989</c:v>
                </c:pt>
                <c:pt idx="66">
                  <c:v>473.28977290181297</c:v>
                </c:pt>
                <c:pt idx="67">
                  <c:v>480.12995470835148</c:v>
                </c:pt>
                <c:pt idx="68">
                  <c:v>486.96806541364276</c:v>
                </c:pt>
                <c:pt idx="69">
                  <c:v>493.80413821749539</c:v>
                </c:pt>
                <c:pt idx="70">
                  <c:v>500.63820532506901</c:v>
                </c:pt>
                <c:pt idx="71">
                  <c:v>488.52189609916491</c:v>
                </c:pt>
                <c:pt idx="72">
                  <c:v>495.04684412923547</c:v>
                </c:pt>
                <c:pt idx="73">
                  <c:v>501.56996990242948</c:v>
                </c:pt>
                <c:pt idx="74">
                  <c:v>508.09130047272839</c:v>
                </c:pt>
                <c:pt idx="75">
                  <c:v>514.61086214265481</c:v>
                </c:pt>
                <c:pt idx="76">
                  <c:v>503.12282949071505</c:v>
                </c:pt>
                <c:pt idx="77">
                  <c:v>508.71228691140703</c:v>
                </c:pt>
                <c:pt idx="78">
                  <c:v>514.30044655592826</c:v>
                </c:pt>
                <c:pt idx="79">
                  <c:v>519.8873245226622</c:v>
                </c:pt>
                <c:pt idx="80">
                  <c:v>525.4729365355787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82.508596377636763</c:v>
                </c:pt>
                <c:pt idx="17">
                  <c:v>99.006604254682017</c:v>
                </c:pt>
                <c:pt idx="18">
                  <c:v>115.43621516079588</c:v>
                </c:pt>
                <c:pt idx="19">
                  <c:v>131.8085611384661</c:v>
                </c:pt>
                <c:pt idx="20">
                  <c:v>148.13176890752257</c:v>
                </c:pt>
                <c:pt idx="21">
                  <c:v>123.62898327972762</c:v>
                </c:pt>
                <c:pt idx="22">
                  <c:v>141.67594470663133</c:v>
                </c:pt>
                <c:pt idx="23">
                  <c:v>159.66774547880371</c:v>
                </c:pt>
                <c:pt idx="24">
                  <c:v>177.61148225294485</c:v>
                </c:pt>
                <c:pt idx="25">
                  <c:v>195.51269709583855</c:v>
                </c:pt>
                <c:pt idx="26">
                  <c:v>169.32232688472158</c:v>
                </c:pt>
                <c:pt idx="27">
                  <c:v>188.76221470729038</c:v>
                </c:pt>
                <c:pt idx="28">
                  <c:v>208.15542061438944</c:v>
                </c:pt>
                <c:pt idx="29">
                  <c:v>227.50690659831903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263.58734797276003</c:v>
                </c:pt>
                <c:pt idx="35">
                  <c:v>282.83933776674911</c:v>
                </c:pt>
                <c:pt idx="36">
                  <c:v>302.06197856553007</c:v>
                </c:pt>
                <c:pt idx="37">
                  <c:v>321.25740024962437</c:v>
                </c:pt>
                <c:pt idx="38">
                  <c:v>279.73236813579501</c:v>
                </c:pt>
                <c:pt idx="39">
                  <c:v>298.36290228402567</c:v>
                </c:pt>
                <c:pt idx="40">
                  <c:v>316.96751977104657</c:v>
                </c:pt>
                <c:pt idx="41">
                  <c:v>335.5479553564636</c:v>
                </c:pt>
                <c:pt idx="42">
                  <c:v>354.10573601815037</c:v>
                </c:pt>
                <c:pt idx="43">
                  <c:v>372.64221565134466</c:v>
                </c:pt>
                <c:pt idx="44">
                  <c:v>391.15860250001066</c:v>
                </c:pt>
                <c:pt idx="45">
                  <c:v>336.88699770814992</c:v>
                </c:pt>
                <c:pt idx="46">
                  <c:v>354.16518115704025</c:v>
                </c:pt>
                <c:pt idx="47">
                  <c:v>371.42490308727588</c:v>
                </c:pt>
                <c:pt idx="48">
                  <c:v>388.66714186934951</c:v>
                </c:pt>
                <c:pt idx="49">
                  <c:v>405.8927820061424</c:v>
                </c:pt>
                <c:pt idx="50">
                  <c:v>423.10262682279273</c:v>
                </c:pt>
                <c:pt idx="51">
                  <c:v>440.29740898417253</c:v>
                </c:pt>
                <c:pt idx="52">
                  <c:v>457.47779928386586</c:v>
                </c:pt>
                <c:pt idx="53">
                  <c:v>393.44213889474241</c:v>
                </c:pt>
                <c:pt idx="54">
                  <c:v>409.0041420403515</c:v>
                </c:pt>
                <c:pt idx="55">
                  <c:v>424.55336102424553</c:v>
                </c:pt>
                <c:pt idx="56">
                  <c:v>440.09032987714414</c:v>
                </c:pt>
                <c:pt idx="57">
                  <c:v>455.61554185670792</c:v>
                </c:pt>
                <c:pt idx="58">
                  <c:v>471.12945387267996</c:v>
                </c:pt>
                <c:pt idx="59">
                  <c:v>486.63249029889329</c:v>
                </c:pt>
                <c:pt idx="60">
                  <c:v>502.125046274314</c:v>
                </c:pt>
                <c:pt idx="61">
                  <c:v>438.70974904240529</c:v>
                </c:pt>
                <c:pt idx="62">
                  <c:v>453.06329508642119</c:v>
                </c:pt>
                <c:pt idx="63">
                  <c:v>467.40712233198587</c:v>
                </c:pt>
                <c:pt idx="64">
                  <c:v>481.74157097323285</c:v>
                </c:pt>
                <c:pt idx="65">
                  <c:v>496.06695931286293</c:v>
                </c:pt>
                <c:pt idx="66">
                  <c:v>510.38358577553481</c:v>
                </c:pt>
                <c:pt idx="67">
                  <c:v>524.69173068364398</c:v>
                </c:pt>
                <c:pt idx="68">
                  <c:v>538.99165782937473</c:v>
                </c:pt>
                <c:pt idx="69">
                  <c:v>553.28361587129041</c:v>
                </c:pt>
                <c:pt idx="70">
                  <c:v>1.3525069634579169E-12</c:v>
                </c:pt>
                <c:pt idx="71">
                  <c:v>1.3525069634579169E-12</c:v>
                </c:pt>
                <c:pt idx="72">
                  <c:v>1.3525069634579169E-12</c:v>
                </c:pt>
                <c:pt idx="73">
                  <c:v>1.3525069634579169E-12</c:v>
                </c:pt>
                <c:pt idx="74">
                  <c:v>1.3525069634579169E-12</c:v>
                </c:pt>
                <c:pt idx="75">
                  <c:v>1.3525069634579169E-12</c:v>
                </c:pt>
                <c:pt idx="76">
                  <c:v>1.3525069634579169E-12</c:v>
                </c:pt>
                <c:pt idx="77">
                  <c:v>1.3525069634579169E-12</c:v>
                </c:pt>
                <c:pt idx="78">
                  <c:v>1.3525069634579169E-12</c:v>
                </c:pt>
                <c:pt idx="79">
                  <c:v>1.3525069634579169E-12</c:v>
                </c:pt>
                <c:pt idx="80">
                  <c:v>1.3525069634579169E-12</c:v>
                </c:pt>
                <c:pt idx="81">
                  <c:v>1.3525069634579169E-12</c:v>
                </c:pt>
                <c:pt idx="82">
                  <c:v>1.3525069634579169E-12</c:v>
                </c:pt>
                <c:pt idx="83">
                  <c:v>1.3525069634579169E-12</c:v>
                </c:pt>
                <c:pt idx="84">
                  <c:v>1.3525069634579169E-12</c:v>
                </c:pt>
                <c:pt idx="85">
                  <c:v>1.3525069634579169E-12</c:v>
                </c:pt>
                <c:pt idx="86">
                  <c:v>1.3525069634579169E-12</c:v>
                </c:pt>
                <c:pt idx="87">
                  <c:v>1.3525069634579169E-12</c:v>
                </c:pt>
                <c:pt idx="88">
                  <c:v>1.3525069634579169E-12</c:v>
                </c:pt>
                <c:pt idx="89">
                  <c:v>1.3525069634579169E-12</c:v>
                </c:pt>
                <c:pt idx="90">
                  <c:v>1.3525069634579169E-12</c:v>
                </c:pt>
                <c:pt idx="91">
                  <c:v>1.3525069634579169E-12</c:v>
                </c:pt>
                <c:pt idx="92">
                  <c:v>1.3525069634579169E-12</c:v>
                </c:pt>
                <c:pt idx="93">
                  <c:v>1.3525069634579169E-12</c:v>
                </c:pt>
                <c:pt idx="94">
                  <c:v>1.3525069634579169E-12</c:v>
                </c:pt>
                <c:pt idx="95">
                  <c:v>1.3525069634579169E-12</c:v>
                </c:pt>
                <c:pt idx="96">
                  <c:v>1.3525069634579169E-12</c:v>
                </c:pt>
                <c:pt idx="97">
                  <c:v>1.3525069634579169E-12</c:v>
                </c:pt>
                <c:pt idx="98">
                  <c:v>1.3525069634579169E-12</c:v>
                </c:pt>
                <c:pt idx="99">
                  <c:v>1.3525069634579169E-12</c:v>
                </c:pt>
                <c:pt idx="100">
                  <c:v>1.3525069634579169E-12</c:v>
                </c:pt>
                <c:pt idx="101">
                  <c:v>1.3525069634579169E-12</c:v>
                </c:pt>
                <c:pt idx="102">
                  <c:v>1.3525069634579169E-12</c:v>
                </c:pt>
                <c:pt idx="103">
                  <c:v>1.3525069634579169E-12</c:v>
                </c:pt>
                <c:pt idx="104">
                  <c:v>1.3525069634579169E-12</c:v>
                </c:pt>
                <c:pt idx="105">
                  <c:v>1.3525069634579169E-12</c:v>
                </c:pt>
                <c:pt idx="106">
                  <c:v>1.3525069634579169E-12</c:v>
                </c:pt>
                <c:pt idx="107">
                  <c:v>1.3525069634579169E-12</c:v>
                </c:pt>
                <c:pt idx="108">
                  <c:v>1.3525069634579169E-12</c:v>
                </c:pt>
                <c:pt idx="109">
                  <c:v>1.3525069634579169E-12</c:v>
                </c:pt>
                <c:pt idx="110">
                  <c:v>1.3525069634579169E-12</c:v>
                </c:pt>
                <c:pt idx="111">
                  <c:v>1.3525069634579169E-12</c:v>
                </c:pt>
                <c:pt idx="112">
                  <c:v>1.3525069634579169E-12</c:v>
                </c:pt>
                <c:pt idx="113">
                  <c:v>1.3525069634579169E-12</c:v>
                </c:pt>
                <c:pt idx="114">
                  <c:v>1.3525069634579169E-12</c:v>
                </c:pt>
                <c:pt idx="115">
                  <c:v>1.3525069634579169E-12</c:v>
                </c:pt>
                <c:pt idx="116">
                  <c:v>1.3525069634579169E-12</c:v>
                </c:pt>
                <c:pt idx="117">
                  <c:v>1.3525069634579169E-12</c:v>
                </c:pt>
                <c:pt idx="118">
                  <c:v>1.3525069634579169E-12</c:v>
                </c:pt>
                <c:pt idx="119">
                  <c:v>1.3525069634579169E-12</c:v>
                </c:pt>
                <c:pt idx="120">
                  <c:v>1.3525069634579169E-12</c:v>
                </c:pt>
                <c:pt idx="121">
                  <c:v>1.3525069634579169E-12</c:v>
                </c:pt>
                <c:pt idx="122">
                  <c:v>1.3525069634579169E-12</c:v>
                </c:pt>
                <c:pt idx="123">
                  <c:v>1.3525069634579169E-12</c:v>
                </c:pt>
                <c:pt idx="124">
                  <c:v>1.3525069634579169E-12</c:v>
                </c:pt>
                <c:pt idx="125">
                  <c:v>1.3525069634579169E-12</c:v>
                </c:pt>
                <c:pt idx="126">
                  <c:v>1.3525069634579169E-12</c:v>
                </c:pt>
                <c:pt idx="127">
                  <c:v>1.3525069634579169E-12</c:v>
                </c:pt>
                <c:pt idx="128">
                  <c:v>1.3525069634579169E-12</c:v>
                </c:pt>
                <c:pt idx="129">
                  <c:v>1.3525069634579169E-12</c:v>
                </c:pt>
                <c:pt idx="130">
                  <c:v>1.3525069634579169E-12</c:v>
                </c:pt>
                <c:pt idx="131">
                  <c:v>1.3525069634579169E-12</c:v>
                </c:pt>
                <c:pt idx="132">
                  <c:v>1.3525069634579169E-12</c:v>
                </c:pt>
                <c:pt idx="133">
                  <c:v>1.3525069634579169E-12</c:v>
                </c:pt>
                <c:pt idx="134">
                  <c:v>1.3525069634579169E-12</c:v>
                </c:pt>
                <c:pt idx="135">
                  <c:v>1.3525069634579169E-12</c:v>
                </c:pt>
                <c:pt idx="136">
                  <c:v>1.3525069634579169E-12</c:v>
                </c:pt>
                <c:pt idx="137">
                  <c:v>1.3525069634579169E-12</c:v>
                </c:pt>
                <c:pt idx="138">
                  <c:v>1.3525069634579169E-12</c:v>
                </c:pt>
                <c:pt idx="139">
                  <c:v>1.3525069634579169E-12</c:v>
                </c:pt>
                <c:pt idx="140">
                  <c:v>1.3525069634579169E-12</c:v>
                </c:pt>
                <c:pt idx="141">
                  <c:v>1.3525069634579169E-12</c:v>
                </c:pt>
                <c:pt idx="142">
                  <c:v>1.3525069634579169E-12</c:v>
                </c:pt>
                <c:pt idx="143">
                  <c:v>1.3525069634579169E-12</c:v>
                </c:pt>
                <c:pt idx="144">
                  <c:v>1.3525069634579169E-12</c:v>
                </c:pt>
                <c:pt idx="145">
                  <c:v>1.3525069634579169E-12</c:v>
                </c:pt>
                <c:pt idx="146">
                  <c:v>1.3525069634579169E-12</c:v>
                </c:pt>
                <c:pt idx="147">
                  <c:v>1.3525069634579169E-12</c:v>
                </c:pt>
                <c:pt idx="148">
                  <c:v>1.3525069634579169E-12</c:v>
                </c:pt>
                <c:pt idx="149">
                  <c:v>1.3525069634579169E-12</c:v>
                </c:pt>
                <c:pt idx="150">
                  <c:v>1.3525069634579169E-12</c:v>
                </c:pt>
                <c:pt idx="151">
                  <c:v>1.3525069634579169E-12</c:v>
                </c:pt>
                <c:pt idx="152">
                  <c:v>1.3525069634579169E-12</c:v>
                </c:pt>
                <c:pt idx="153">
                  <c:v>1.3525069634579169E-12</c:v>
                </c:pt>
                <c:pt idx="154">
                  <c:v>1.3525069634579169E-12</c:v>
                </c:pt>
                <c:pt idx="155">
                  <c:v>1.3525069634579169E-12</c:v>
                </c:pt>
                <c:pt idx="156">
                  <c:v>1.3525069634579169E-12</c:v>
                </c:pt>
                <c:pt idx="157">
                  <c:v>1.3525069634579169E-12</c:v>
                </c:pt>
                <c:pt idx="158">
                  <c:v>1.3525069634579169E-12</c:v>
                </c:pt>
                <c:pt idx="159">
                  <c:v>1.3525069634579169E-12</c:v>
                </c:pt>
                <c:pt idx="160">
                  <c:v>1.3525069634579169E-12</c:v>
                </c:pt>
                <c:pt idx="161">
                  <c:v>1.3525069634579169E-12</c:v>
                </c:pt>
                <c:pt idx="162">
                  <c:v>1.3525069634579169E-12</c:v>
                </c:pt>
                <c:pt idx="163">
                  <c:v>1.3525069634579169E-12</c:v>
                </c:pt>
                <c:pt idx="164">
                  <c:v>1.3525069634579169E-12</c:v>
                </c:pt>
                <c:pt idx="165">
                  <c:v>1.3525069634579169E-12</c:v>
                </c:pt>
                <c:pt idx="166">
                  <c:v>1.3525069634579169E-12</c:v>
                </c:pt>
                <c:pt idx="167">
                  <c:v>1.3525069634579169E-12</c:v>
                </c:pt>
                <c:pt idx="168">
                  <c:v>1.3525069634579169E-12</c:v>
                </c:pt>
                <c:pt idx="169">
                  <c:v>1.3525069634579169E-12</c:v>
                </c:pt>
                <c:pt idx="170">
                  <c:v>1.3525069634579169E-12</c:v>
                </c:pt>
                <c:pt idx="171">
                  <c:v>1.3525069634579169E-12</c:v>
                </c:pt>
                <c:pt idx="172">
                  <c:v>1.3525069634579169E-12</c:v>
                </c:pt>
                <c:pt idx="173">
                  <c:v>1.3525069634579169E-12</c:v>
                </c:pt>
                <c:pt idx="174">
                  <c:v>1.3525069634579169E-12</c:v>
                </c:pt>
                <c:pt idx="175">
                  <c:v>1.3525069634579169E-12</c:v>
                </c:pt>
                <c:pt idx="176">
                  <c:v>1.3525069634579169E-12</c:v>
                </c:pt>
                <c:pt idx="177">
                  <c:v>1.3525069634579169E-12</c:v>
                </c:pt>
                <c:pt idx="178">
                  <c:v>1.3525069634579169E-12</c:v>
                </c:pt>
                <c:pt idx="179">
                  <c:v>1.3525069634579169E-12</c:v>
                </c:pt>
                <c:pt idx="180">
                  <c:v>1.3525069634579169E-12</c:v>
                </c:pt>
                <c:pt idx="181">
                  <c:v>1.3525069634579169E-12</c:v>
                </c:pt>
                <c:pt idx="182">
                  <c:v>1.3525069634579169E-12</c:v>
                </c:pt>
                <c:pt idx="183">
                  <c:v>1.3525069634579169E-12</c:v>
                </c:pt>
                <c:pt idx="184">
                  <c:v>1.3525069634579169E-12</c:v>
                </c:pt>
                <c:pt idx="185">
                  <c:v>1.3525069634579169E-12</c:v>
                </c:pt>
                <c:pt idx="186">
                  <c:v>1.3525069634579169E-12</c:v>
                </c:pt>
                <c:pt idx="187">
                  <c:v>1.3525069634579169E-12</c:v>
                </c:pt>
                <c:pt idx="188">
                  <c:v>1.3525069634579169E-12</c:v>
                </c:pt>
                <c:pt idx="189">
                  <c:v>1.3525069634579169E-12</c:v>
                </c:pt>
                <c:pt idx="190">
                  <c:v>1.3525069634579169E-12</c:v>
                </c:pt>
                <c:pt idx="191">
                  <c:v>1.3525069634579169E-12</c:v>
                </c:pt>
                <c:pt idx="192">
                  <c:v>1.3525069634579169E-12</c:v>
                </c:pt>
                <c:pt idx="193">
                  <c:v>1.3525069634579169E-12</c:v>
                </c:pt>
                <c:pt idx="194">
                  <c:v>1.3525069634579169E-12</c:v>
                </c:pt>
                <c:pt idx="195">
                  <c:v>1.3525069634579169E-12</c:v>
                </c:pt>
                <c:pt idx="196">
                  <c:v>1.3525069634579169E-12</c:v>
                </c:pt>
                <c:pt idx="197">
                  <c:v>1.3525069634579169E-12</c:v>
                </c:pt>
                <c:pt idx="198">
                  <c:v>1.3525069634579169E-12</c:v>
                </c:pt>
                <c:pt idx="199">
                  <c:v>1.3525069634579169E-12</c:v>
                </c:pt>
                <c:pt idx="200">
                  <c:v>1.3525069634579169E-12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3.1707548346542</c:v>
                </c:pt>
                <c:pt idx="2">
                  <c:v>3.8994070069335893</c:v>
                </c:pt>
                <c:pt idx="3">
                  <c:v>4.7961395743139903</c:v>
                </c:pt>
                <c:pt idx="4">
                  <c:v>5.8998617479716442</c:v>
                </c:pt>
                <c:pt idx="5">
                  <c:v>7.2585196858425398</c:v>
                </c:pt>
                <c:pt idx="6">
                  <c:v>8.9312018151497536</c:v>
                </c:pt>
                <c:pt idx="7">
                  <c:v>10.990736010102614</c:v>
                </c:pt>
                <c:pt idx="8">
                  <c:v>13.526893830411311</c:v>
                </c:pt>
                <c:pt idx="9">
                  <c:v>16.650344073811482</c:v>
                </c:pt>
                <c:pt idx="10">
                  <c:v>20.497531306964643</c:v>
                </c:pt>
                <c:pt idx="11">
                  <c:v>25.23669631396508</c:v>
                </c:pt>
                <c:pt idx="12">
                  <c:v>31.075306394532003</c:v>
                </c:pt>
                <c:pt idx="13">
                  <c:v>38.269226447074438</c:v>
                </c:pt>
                <c:pt idx="14">
                  <c:v>47.134039619059727</c:v>
                </c:pt>
                <c:pt idx="15">
                  <c:v>58.059022502120392</c:v>
                </c:pt>
                <c:pt idx="16">
                  <c:v>71.524398723990075</c:v>
                </c:pt>
                <c:pt idx="17">
                  <c:v>88.122641699910204</c:v>
                </c:pt>
                <c:pt idx="18">
                  <c:v>108.58477887574996</c:v>
                </c:pt>
                <c:pt idx="19">
                  <c:v>133.81287421387319</c:v>
                </c:pt>
                <c:pt idx="20">
                  <c:v>164.92014306911736</c:v>
                </c:pt>
                <c:pt idx="21">
                  <c:v>167.56178150748116</c:v>
                </c:pt>
                <c:pt idx="22">
                  <c:v>183.39157071786599</c:v>
                </c:pt>
                <c:pt idx="23">
                  <c:v>199.18941693696172</c:v>
                </c:pt>
                <c:pt idx="24">
                  <c:v>214.95821110174333</c:v>
                </c:pt>
                <c:pt idx="25">
                  <c:v>230.70038494007636</c:v>
                </c:pt>
                <c:pt idx="26">
                  <c:v>189.53880266603645</c:v>
                </c:pt>
                <c:pt idx="27">
                  <c:v>209.70501606431188</c:v>
                </c:pt>
                <c:pt idx="28">
                  <c:v>229.82648145953826</c:v>
                </c:pt>
                <c:pt idx="29">
                  <c:v>249.9076676355476</c:v>
                </c:pt>
                <c:pt idx="30">
                  <c:v>269.95226599480003</c:v>
                </c:pt>
                <c:pt idx="31">
                  <c:v>232.44796515158808</c:v>
                </c:pt>
                <c:pt idx="32">
                  <c:v>256.01191793762854</c:v>
                </c:pt>
                <c:pt idx="33">
                  <c:v>279.52680294324563</c:v>
                </c:pt>
                <c:pt idx="34">
                  <c:v>302.99732658461176</c:v>
                </c:pt>
                <c:pt idx="35">
                  <c:v>326.42740643086182</c:v>
                </c:pt>
                <c:pt idx="36">
                  <c:v>289.96337472940422</c:v>
                </c:pt>
                <c:pt idx="37">
                  <c:v>314.28330815365302</c:v>
                </c:pt>
                <c:pt idx="38">
                  <c:v>338.56152844098665</c:v>
                </c:pt>
                <c:pt idx="39">
                  <c:v>362.80144525672227</c:v>
                </c:pt>
                <c:pt idx="40">
                  <c:v>387.0059755941316</c:v>
                </c:pt>
                <c:pt idx="41">
                  <c:v>351.11892985232771</c:v>
                </c:pt>
                <c:pt idx="42">
                  <c:v>375.77238986983883</c:v>
                </c:pt>
                <c:pt idx="43">
                  <c:v>400.3906327370201</c:v>
                </c:pt>
                <c:pt idx="44">
                  <c:v>424.97612632602949</c:v>
                </c:pt>
                <c:pt idx="45">
                  <c:v>449.53102985794379</c:v>
                </c:pt>
                <c:pt idx="46">
                  <c:v>412.90299192267599</c:v>
                </c:pt>
                <c:pt idx="47">
                  <c:v>436.61108755732994</c:v>
                </c:pt>
                <c:pt idx="48">
                  <c:v>460.29157019967312</c:v>
                </c:pt>
                <c:pt idx="49">
                  <c:v>483.94605890429256</c:v>
                </c:pt>
                <c:pt idx="50">
                  <c:v>507.57600167435953</c:v>
                </c:pt>
                <c:pt idx="51">
                  <c:v>469.3262695994801</c:v>
                </c:pt>
                <c:pt idx="52">
                  <c:v>491.25241699045142</c:v>
                </c:pt>
                <c:pt idx="53">
                  <c:v>513.15781891487757</c:v>
                </c:pt>
                <c:pt idx="54">
                  <c:v>535.04348473955281</c:v>
                </c:pt>
                <c:pt idx="55">
                  <c:v>556.91033459423954</c:v>
                </c:pt>
                <c:pt idx="56">
                  <c:v>517.02140203717238</c:v>
                </c:pt>
                <c:pt idx="57">
                  <c:v>537.18811127897277</c:v>
                </c:pt>
                <c:pt idx="58">
                  <c:v>557.33891405416773</c:v>
                </c:pt>
                <c:pt idx="59">
                  <c:v>577.47446592353515</c:v>
                </c:pt>
                <c:pt idx="60">
                  <c:v>597.59537304263779</c:v>
                </c:pt>
                <c:pt idx="61">
                  <c:v>556.48174822611588</c:v>
                </c:pt>
                <c:pt idx="62">
                  <c:v>575.33309228627434</c:v>
                </c:pt>
                <c:pt idx="63">
                  <c:v>594.17154727265404</c:v>
                </c:pt>
                <c:pt idx="64">
                  <c:v>612.99757903900309</c:v>
                </c:pt>
                <c:pt idx="65">
                  <c:v>631.81162251582646</c:v>
                </c:pt>
                <c:pt idx="66">
                  <c:v>589.46311584770126</c:v>
                </c:pt>
                <c:pt idx="67">
                  <c:v>607.00879854794766</c:v>
                </c:pt>
                <c:pt idx="68">
                  <c:v>624.54395486132705</c:v>
                </c:pt>
                <c:pt idx="69">
                  <c:v>642.06892172602977</c:v>
                </c:pt>
                <c:pt idx="70">
                  <c:v>659.58401620212555</c:v>
                </c:pt>
                <c:pt idx="71">
                  <c:v>615.99151338618674</c:v>
                </c:pt>
                <c:pt idx="72">
                  <c:v>632.23907832556176</c:v>
                </c:pt>
                <c:pt idx="73">
                  <c:v>648.4780121795651</c:v>
                </c:pt>
                <c:pt idx="74">
                  <c:v>664.70856137271755</c:v>
                </c:pt>
                <c:pt idx="75">
                  <c:v>680.93095932318113</c:v>
                </c:pt>
                <c:pt idx="76">
                  <c:v>636.51330847982445</c:v>
                </c:pt>
                <c:pt idx="77">
                  <c:v>651.89565867529132</c:v>
                </c:pt>
                <c:pt idx="78">
                  <c:v>667.27052872062916</c:v>
                </c:pt>
                <c:pt idx="79">
                  <c:v>682.63811513058772</c:v>
                </c:pt>
                <c:pt idx="80">
                  <c:v>697.99860485695501</c:v>
                </c:pt>
                <c:pt idx="81">
                  <c:v>652.75001250200114</c:v>
                </c:pt>
                <c:pt idx="82">
                  <c:v>667.27052872062916</c:v>
                </c:pt>
                <c:pt idx="83">
                  <c:v>681.78454819307183</c:v>
                </c:pt>
                <c:pt idx="84">
                  <c:v>696.29222861974176</c:v>
                </c:pt>
                <c:pt idx="85">
                  <c:v>710.79372059813113</c:v>
                </c:pt>
                <c:pt idx="86">
                  <c:v>664.70856137271755</c:v>
                </c:pt>
                <c:pt idx="87">
                  <c:v>678.37006080489357</c:v>
                </c:pt>
                <c:pt idx="88">
                  <c:v>692.0259128007566</c:v>
                </c:pt>
                <c:pt idx="89">
                  <c:v>705.67624443748446</c:v>
                </c:pt>
                <c:pt idx="90">
                  <c:v>719.32117747825203</c:v>
                </c:pt>
                <c:pt idx="91">
                  <c:v>672.39385739452007</c:v>
                </c:pt>
                <c:pt idx="92">
                  <c:v>685.19868466154992</c:v>
                </c:pt>
                <c:pt idx="93">
                  <c:v>697.99860485695478</c:v>
                </c:pt>
                <c:pt idx="94">
                  <c:v>710.79372059813079</c:v>
                </c:pt>
                <c:pt idx="95">
                  <c:v>723.58413050890977</c:v>
                </c:pt>
                <c:pt idx="96">
                  <c:v>676.23582709036771</c:v>
                </c:pt>
                <c:pt idx="97">
                  <c:v>688.61247220601751</c:v>
                </c:pt>
                <c:pt idx="98">
                  <c:v>700.98455790524156</c:v>
                </c:pt>
                <c:pt idx="99">
                  <c:v>713.3521759584537</c:v>
                </c:pt>
                <c:pt idx="100">
                  <c:v>725.71541469625208</c:v>
                </c:pt>
                <c:pt idx="101">
                  <c:v>679.6505348264443</c:v>
                </c:pt>
                <c:pt idx="102">
                  <c:v>691.17258507143549</c:v>
                </c:pt>
                <c:pt idx="103">
                  <c:v>702.69069984530972</c:v>
                </c:pt>
                <c:pt idx="104">
                  <c:v>714.20495271831226</c:v>
                </c:pt>
                <c:pt idx="105">
                  <c:v>725.71541469625174</c:v>
                </c:pt>
                <c:pt idx="106">
                  <c:v>680.93095932318067</c:v>
                </c:pt>
                <c:pt idx="107">
                  <c:v>691.59925163326625</c:v>
                </c:pt>
                <c:pt idx="108">
                  <c:v>702.26417231534106</c:v>
                </c:pt>
                <c:pt idx="109">
                  <c:v>712.92577976987479</c:v>
                </c:pt>
                <c:pt idx="110">
                  <c:v>723.58413050890942</c:v>
                </c:pt>
                <c:pt idx="111">
                  <c:v>680.07734848952111</c:v>
                </c:pt>
                <c:pt idx="112">
                  <c:v>689.89255298185071</c:v>
                </c:pt>
                <c:pt idx="113">
                  <c:v>699.70489568745631</c:v>
                </c:pt>
                <c:pt idx="114">
                  <c:v>709.51442238342361</c:v>
                </c:pt>
                <c:pt idx="115">
                  <c:v>719.32117747825214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2.9824708137834541</c:v>
                </c:pt>
                <c:pt idx="2">
                  <c:v>3.6677102841368421</c:v>
                </c:pt>
                <c:pt idx="3">
                  <c:v>4.5109846579121706</c:v>
                </c:pt>
                <c:pt idx="4">
                  <c:v>5.5488709111756451</c:v>
                </c:pt>
                <c:pt idx="5">
                  <c:v>6.8264398240106265</c:v>
                </c:pt>
                <c:pt idx="6">
                  <c:v>8.3992344531589023</c:v>
                </c:pt>
                <c:pt idx="7">
                  <c:v>10.335710757094397</c:v>
                </c:pt>
                <c:pt idx="8">
                  <c:v>12.72024860757179</c:v>
                </c:pt>
                <c:pt idx="9">
                  <c:v>15.65686682940161</c:v>
                </c:pt>
                <c:pt idx="10">
                  <c:v>19.273807295064337</c:v>
                </c:pt>
                <c:pt idx="11">
                  <c:v>23.729191871622522</c:v>
                </c:pt>
                <c:pt idx="12">
                  <c:v>29.218003915697977</c:v>
                </c:pt>
                <c:pt idx="13">
                  <c:v>35.980705190831372</c:v>
                </c:pt>
                <c:pt idx="14">
                  <c:v>44.3138722017109</c:v>
                </c:pt>
                <c:pt idx="15">
                  <c:v>54.583326291850803</c:v>
                </c:pt>
                <c:pt idx="16">
                  <c:v>67.240343503402343</c:v>
                </c:pt>
                <c:pt idx="17">
                  <c:v>82.841668179859667</c:v>
                </c:pt>
                <c:pt idx="18">
                  <c:v>102.07422482410162</c:v>
                </c:pt>
                <c:pt idx="19">
                  <c:v>125.78563349650449</c:v>
                </c:pt>
                <c:pt idx="20">
                  <c:v>155.02189456174526</c:v>
                </c:pt>
                <c:pt idx="21">
                  <c:v>157.50460833109042</c:v>
                </c:pt>
                <c:pt idx="22">
                  <c:v>172.3819432826981</c:v>
                </c:pt>
                <c:pt idx="23">
                  <c:v>187.22907852355672</c:v>
                </c:pt>
                <c:pt idx="24">
                  <c:v>202.04874721849876</c:v>
                </c:pt>
                <c:pt idx="25">
                  <c:v>216.84324838446653</c:v>
                </c:pt>
                <c:pt idx="26">
                  <c:v>178.15925645679496</c:v>
                </c:pt>
                <c:pt idx="27">
                  <c:v>197.11175981045631</c:v>
                </c:pt>
                <c:pt idx="28">
                  <c:v>216.02195727183445</c:v>
                </c:pt>
                <c:pt idx="29">
                  <c:v>234.89407374203219</c:v>
                </c:pt>
                <c:pt idx="30">
                  <c:v>253.73159916616927</c:v>
                </c:pt>
                <c:pt idx="31">
                  <c:v>218.48561623496576</c:v>
                </c:pt>
                <c:pt idx="32">
                  <c:v>240.63075098232832</c:v>
                </c:pt>
                <c:pt idx="33">
                  <c:v>262.72949581077319</c:v>
                </c:pt>
                <c:pt idx="34">
                  <c:v>284.78630028501999</c:v>
                </c:pt>
                <c:pt idx="35">
                  <c:v>306.80486817387487</c:v>
                </c:pt>
                <c:pt idx="36">
                  <c:v>272.53746265331614</c:v>
                </c:pt>
                <c:pt idx="37">
                  <c:v>295.39240127979423</c:v>
                </c:pt>
                <c:pt idx="38">
                  <c:v>318.20790325308366</c:v>
                </c:pt>
                <c:pt idx="39">
                  <c:v>340.98719215689346</c:v>
                </c:pt>
                <c:pt idx="40">
                  <c:v>363.73302579033674</c:v>
                </c:pt>
                <c:pt idx="41">
                  <c:v>330.00865771394569</c:v>
                </c:pt>
                <c:pt idx="42">
                  <c:v>353.17646115055004</c:v>
                </c:pt>
                <c:pt idx="43">
                  <c:v>376.31096940375278</c:v>
                </c:pt>
                <c:pt idx="44">
                  <c:v>399.41451566222281</c:v>
                </c:pt>
                <c:pt idx="45">
                  <c:v>422.48914130810203</c:v>
                </c:pt>
                <c:pt idx="46">
                  <c:v>388.06913980682026</c:v>
                </c:pt>
                <c:pt idx="47">
                  <c:v>410.34809118885124</c:v>
                </c:pt>
                <c:pt idx="48">
                  <c:v>432.60093655053015</c:v>
                </c:pt>
                <c:pt idx="49">
                  <c:v>454.82920658695599</c:v>
                </c:pt>
                <c:pt idx="50">
                  <c:v>477.03427027689918</c:v>
                </c:pt>
                <c:pt idx="51">
                  <c:v>441.09091679699787</c:v>
                </c:pt>
                <c:pt idx="52">
                  <c:v>461.69500792288198</c:v>
                </c:pt>
                <c:pt idx="53">
                  <c:v>482.27948576072555</c:v>
                </c:pt>
                <c:pt idx="54">
                  <c:v>502.84530459139</c:v>
                </c:pt>
                <c:pt idx="55">
                  <c:v>523.39333432879232</c:v>
                </c:pt>
                <c:pt idx="56">
                  <c:v>485.9100779318423</c:v>
                </c:pt>
                <c:pt idx="57">
                  <c:v>504.86059041346829</c:v>
                </c:pt>
                <c:pt idx="58">
                  <c:v>523.79606451981545</c:v>
                </c:pt>
                <c:pt idx="59">
                  <c:v>542.71712003460118</c:v>
                </c:pt>
                <c:pt idx="60">
                  <c:v>561.62433003260401</c:v>
                </c:pt>
                <c:pt idx="61">
                  <c:v>522.99059760658679</c:v>
                </c:pt>
                <c:pt idx="62">
                  <c:v>540.70490958838275</c:v>
                </c:pt>
                <c:pt idx="63">
                  <c:v>558.40703591428917</c:v>
                </c:pt>
                <c:pt idx="64">
                  <c:v>576.09741701420523</c:v>
                </c:pt>
                <c:pt idx="65">
                  <c:v>593.77646408241537</c:v>
                </c:pt>
                <c:pt idx="66">
                  <c:v>553.98262212955512</c:v>
                </c:pt>
                <c:pt idx="67">
                  <c:v>570.46990784967431</c:v>
                </c:pt>
                <c:pt idx="68">
                  <c:v>586.94724165778496</c:v>
                </c:pt>
                <c:pt idx="69">
                  <c:v>603.41494210376152</c:v>
                </c:pt>
                <c:pt idx="70">
                  <c:v>619.87330894420177</c:v>
                </c:pt>
                <c:pt idx="71">
                  <c:v>578.91074057866138</c:v>
                </c:pt>
                <c:pt idx="72">
                  <c:v>594.17813194616588</c:v>
                </c:pt>
                <c:pt idx="73">
                  <c:v>609.43736326756471</c:v>
                </c:pt>
                <c:pt idx="74">
                  <c:v>624.68866751882376</c:v>
                </c:pt>
                <c:pt idx="75">
                  <c:v>639.93226537936846</c:v>
                </c:pt>
                <c:pt idx="76">
                  <c:v>598.19450053799278</c:v>
                </c:pt>
                <c:pt idx="77">
                  <c:v>612.64881534392646</c:v>
                </c:pt>
                <c:pt idx="78">
                  <c:v>627.096058227002</c:v>
                </c:pt>
                <c:pt idx="79">
                  <c:v>641.53641497722708</c:v>
                </c:pt>
                <c:pt idx="80">
                  <c:v>655.97006234354421</c:v>
                </c:pt>
                <c:pt idx="81">
                  <c:v>613.45162372006337</c:v>
                </c:pt>
                <c:pt idx="82">
                  <c:v>627.096058227002</c:v>
                </c:pt>
                <c:pt idx="83">
                  <c:v>640.73435054600839</c:v>
                </c:pt>
                <c:pt idx="84">
                  <c:v>654.36664977103601</c:v>
                </c:pt>
                <c:pt idx="85">
                  <c:v>667.99309828075729</c:v>
                </c:pt>
                <c:pt idx="86">
                  <c:v>624.68866751882376</c:v>
                </c:pt>
                <c:pt idx="87">
                  <c:v>637.52588516971218</c:v>
                </c:pt>
                <c:pt idx="88">
                  <c:v>650.35776359167301</c:v>
                </c:pt>
                <c:pt idx="89">
                  <c:v>663.18442292667987</c:v>
                </c:pt>
                <c:pt idx="90">
                  <c:v>676.00597829271317</c:v>
                </c:pt>
                <c:pt idx="91">
                  <c:v>631.9102666949176</c:v>
                </c:pt>
                <c:pt idx="92">
                  <c:v>643.94248415395703</c:v>
                </c:pt>
                <c:pt idx="93">
                  <c:v>655.9700623435441</c:v>
                </c:pt>
                <c:pt idx="94">
                  <c:v>667.99309828075707</c:v>
                </c:pt>
                <c:pt idx="95">
                  <c:v>680.0116852070571</c:v>
                </c:pt>
                <c:pt idx="96">
                  <c:v>635.52042498678077</c:v>
                </c:pt>
                <c:pt idx="97">
                  <c:v>647.15028788033305</c:v>
                </c:pt>
                <c:pt idx="98">
                  <c:v>658.77584018643915</c:v>
                </c:pt>
                <c:pt idx="99">
                  <c:v>670.39716866716651</c:v>
                </c:pt>
                <c:pt idx="100">
                  <c:v>682.01435683249326</c:v>
                </c:pt>
                <c:pt idx="101">
                  <c:v>638.72909868554518</c:v>
                </c:pt>
                <c:pt idx="102">
                  <c:v>649.55592531392324</c:v>
                </c:pt>
                <c:pt idx="103">
                  <c:v>660.37903124850902</c:v>
                </c:pt>
                <c:pt idx="104">
                  <c:v>671.19848604447077</c:v>
                </c:pt>
                <c:pt idx="105">
                  <c:v>682.01435683249304</c:v>
                </c:pt>
                <c:pt idx="106">
                  <c:v>639.932265379368</c:v>
                </c:pt>
                <c:pt idx="107">
                  <c:v>649.95684700277104</c:v>
                </c:pt>
                <c:pt idx="108">
                  <c:v>659.97824100389539</c:v>
                </c:pt>
                <c:pt idx="109">
                  <c:v>669.99650259602015</c:v>
                </c:pt>
                <c:pt idx="110">
                  <c:v>680.01168520705698</c:v>
                </c:pt>
                <c:pt idx="111">
                  <c:v>639.1301594476264</c:v>
                </c:pt>
                <c:pt idx="112">
                  <c:v>648.35312961173247</c:v>
                </c:pt>
                <c:pt idx="113">
                  <c:v>657.57339417038975</c:v>
                </c:pt>
                <c:pt idx="114">
                  <c:v>666.790996402411</c:v>
                </c:pt>
                <c:pt idx="115">
                  <c:v>676.00597829271317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2.1295883841675698</c:v>
                </c:pt>
                <c:pt idx="2">
                  <c:v>2.6183010229241539</c:v>
                </c:pt>
                <c:pt idx="3">
                  <c:v>3.219599731773831</c:v>
                </c:pt>
                <c:pt idx="4">
                  <c:v>3.9595154786884472</c:v>
                </c:pt>
                <c:pt idx="5">
                  <c:v>4.8701182595926094</c:v>
                </c:pt>
                <c:pt idx="6">
                  <c:v>5.9909225271685296</c:v>
                </c:pt>
                <c:pt idx="7">
                  <c:v>7.3706206465688275</c:v>
                </c:pt>
                <c:pt idx="8">
                  <c:v>9.0692211432014602</c:v>
                </c:pt>
                <c:pt idx="9">
                  <c:v>11.160686515995073</c:v>
                </c:pt>
                <c:pt idx="10">
                  <c:v>13.736187631630221</c:v>
                </c:pt>
                <c:pt idx="11">
                  <c:v>16.908119188508362</c:v>
                </c:pt>
                <c:pt idx="12">
                  <c:v>20.815054676478152</c:v>
                </c:pt>
                <c:pt idx="13">
                  <c:v>25.627861183311392</c:v>
                </c:pt>
                <c:pt idx="14">
                  <c:v>31.557246195200772</c:v>
                </c:pt>
                <c:pt idx="15">
                  <c:v>38.863072534636395</c:v>
                </c:pt>
                <c:pt idx="16">
                  <c:v>47.865856653573566</c:v>
                </c:pt>
                <c:pt idx="17">
                  <c:v>58.960963211844557</c:v>
                </c:pt>
                <c:pt idx="18">
                  <c:v>72.636129620687001</c:v>
                </c:pt>
                <c:pt idx="19">
                  <c:v>89.493103460024415</c:v>
                </c:pt>
                <c:pt idx="20">
                  <c:v>110.27436011367904</c:v>
                </c:pt>
                <c:pt idx="21">
                  <c:v>112.03893205390368</c:v>
                </c:pt>
                <c:pt idx="22">
                  <c:v>122.61245229101463</c:v>
                </c:pt>
                <c:pt idx="23">
                  <c:v>133.16379985429114</c:v>
                </c:pt>
                <c:pt idx="24">
                  <c:v>143.69498143753458</c:v>
                </c:pt>
                <c:pt idx="25">
                  <c:v>154.20768498250132</c:v>
                </c:pt>
                <c:pt idx="26">
                  <c:v>126.71827041123917</c:v>
                </c:pt>
                <c:pt idx="27">
                  <c:v>140.18671834451746</c:v>
                </c:pt>
                <c:pt idx="28">
                  <c:v>153.62410522695768</c:v>
                </c:pt>
                <c:pt idx="29">
                  <c:v>167.03353298741314</c:v>
                </c:pt>
                <c:pt idx="30">
                  <c:v>180.41756394892988</c:v>
                </c:pt>
                <c:pt idx="31">
                  <c:v>155.37468709930818</c:v>
                </c:pt>
                <c:pt idx="32">
                  <c:v>171.1095161428722</c:v>
                </c:pt>
                <c:pt idx="33">
                  <c:v>186.81028563699499</c:v>
                </c:pt>
                <c:pt idx="34">
                  <c:v>202.48026245890085</c:v>
                </c:pt>
                <c:pt idx="35">
                  <c:v>218.12216592131381</c:v>
                </c:pt>
                <c:pt idx="36">
                  <c:v>193.77834866786895</c:v>
                </c:pt>
                <c:pt idx="37">
                  <c:v>210.01490336956445</c:v>
                </c:pt>
                <c:pt idx="38">
                  <c:v>226.2225036201547</c:v>
                </c:pt>
                <c:pt idx="39">
                  <c:v>242.40351617973047</c:v>
                </c:pt>
                <c:pt idx="40">
                  <c:v>258.55996582862014</c:v>
                </c:pt>
                <c:pt idx="41">
                  <c:v>234.60514077955398</c:v>
                </c:pt>
                <c:pt idx="42">
                  <c:v>251.06169458557397</c:v>
                </c:pt>
                <c:pt idx="43">
                  <c:v>267.49380301700216</c:v>
                </c:pt>
                <c:pt idx="44">
                  <c:v>283.90317910452893</c:v>
                </c:pt>
                <c:pt idx="45">
                  <c:v>300.2913216340458</c:v>
                </c:pt>
                <c:pt idx="46">
                  <c:v>275.8451748960195</c:v>
                </c:pt>
                <c:pt idx="47">
                  <c:v>291.66854559956113</c:v>
                </c:pt>
                <c:pt idx="48">
                  <c:v>307.47274922302051</c:v>
                </c:pt>
                <c:pt idx="49">
                  <c:v>323.25890960508139</c:v>
                </c:pt>
                <c:pt idx="50">
                  <c:v>339.02803185205124</c:v>
                </c:pt>
                <c:pt idx="51">
                  <c:v>313.50226463243462</c:v>
                </c:pt>
                <c:pt idx="52">
                  <c:v>328.13477724523267</c:v>
                </c:pt>
                <c:pt idx="53">
                  <c:v>342.75288975194491</c:v>
                </c:pt>
                <c:pt idx="54">
                  <c:v>357.35730278704</c:v>
                </c:pt>
                <c:pt idx="55">
                  <c:v>371.94865504264635</c:v>
                </c:pt>
                <c:pt idx="56">
                  <c:v>345.33111561712332</c:v>
                </c:pt>
                <c:pt idx="57">
                  <c:v>358.78839513118527</c:v>
                </c:pt>
                <c:pt idx="58">
                  <c:v>372.23463344711035</c:v>
                </c:pt>
                <c:pt idx="59">
                  <c:v>385.67028561105195</c:v>
                </c:pt>
                <c:pt idx="60">
                  <c:v>399.09577237538934</c:v>
                </c:pt>
                <c:pt idx="61">
                  <c:v>371.66267184297811</c:v>
                </c:pt>
                <c:pt idx="62">
                  <c:v>384.24145121256805</c:v>
                </c:pt>
                <c:pt idx="63">
                  <c:v>396.81128385496095</c:v>
                </c:pt>
                <c:pt idx="64">
                  <c:v>409.37249313446256</c:v>
                </c:pt>
                <c:pt idx="65">
                  <c:v>421.92538095054584</c:v>
                </c:pt>
                <c:pt idx="66">
                  <c:v>393.66964638244121</c:v>
                </c:pt>
                <c:pt idx="67">
                  <c:v>405.37666134724668</c:v>
                </c:pt>
                <c:pt idx="68">
                  <c:v>417.07636960302989</c:v>
                </c:pt>
                <c:pt idx="69">
                  <c:v>428.76900502959637</c:v>
                </c:pt>
                <c:pt idx="70">
                  <c:v>440.4547877086984</c:v>
                </c:pt>
                <c:pt idx="71">
                  <c:v>411.37009257413553</c:v>
                </c:pt>
                <c:pt idx="72">
                  <c:v>422.21057939270116</c:v>
                </c:pt>
                <c:pt idx="73">
                  <c:v>433.04507509293188</c:v>
                </c:pt>
                <c:pt idx="74">
                  <c:v>443.87375072613833</c:v>
                </c:pt>
                <c:pt idx="75">
                  <c:v>454.69676831549236</c:v>
                </c:pt>
                <c:pt idx="76">
                  <c:v>425.06233617824211</c:v>
                </c:pt>
                <c:pt idx="77">
                  <c:v>435.32527437722064</c:v>
                </c:pt>
                <c:pt idx="78">
                  <c:v>445.58302035961742</c:v>
                </c:pt>
                <c:pt idx="79">
                  <c:v>455.83571053274028</c:v>
                </c:pt>
                <c:pt idx="80">
                  <c:v>466.08347466593324</c:v>
                </c:pt>
                <c:pt idx="81">
                  <c:v>435.89528407935296</c:v>
                </c:pt>
                <c:pt idx="82">
                  <c:v>445.58302035961742</c:v>
                </c:pt>
                <c:pt idx="83">
                  <c:v>455.26624703610543</c:v>
                </c:pt>
                <c:pt idx="84">
                  <c:v>464.94507357382503</c:v>
                </c:pt>
                <c:pt idx="85">
                  <c:v>474.61960450741594</c:v>
                </c:pt>
                <c:pt idx="86">
                  <c:v>443.87375072613833</c:v>
                </c:pt>
                <c:pt idx="87">
                  <c:v>452.98824059157391</c:v>
                </c:pt>
                <c:pt idx="88">
                  <c:v>462.09881038696238</c:v>
                </c:pt>
                <c:pt idx="89">
                  <c:v>471.20554832072474</c:v>
                </c:pt>
                <c:pt idx="90">
                  <c:v>480.30853891265798</c:v>
                </c:pt>
                <c:pt idx="91">
                  <c:v>449.00113896695387</c:v>
                </c:pt>
                <c:pt idx="92">
                  <c:v>457.5440098958083</c:v>
                </c:pt>
                <c:pt idx="93">
                  <c:v>466.08347466593301</c:v>
                </c:pt>
                <c:pt idx="94">
                  <c:v>474.61960450741572</c:v>
                </c:pt>
                <c:pt idx="95">
                  <c:v>483.15246787827965</c:v>
                </c:pt>
                <c:pt idx="96">
                  <c:v>451.56436224672251</c:v>
                </c:pt>
                <c:pt idx="97">
                  <c:v>459.82153055595603</c:v>
                </c:pt>
                <c:pt idx="98">
                  <c:v>468.07553402529197</c:v>
                </c:pt>
                <c:pt idx="99">
                  <c:v>476.32643635557253</c:v>
                </c:pt>
                <c:pt idx="100">
                  <c:v>484.5742988599518</c:v>
                </c:pt>
                <c:pt idx="101">
                  <c:v>453.84252164192867</c:v>
                </c:pt>
                <c:pt idx="102">
                  <c:v>461.52951293255023</c:v>
                </c:pt>
                <c:pt idx="103">
                  <c:v>469.21377248409726</c:v>
                </c:pt>
                <c:pt idx="104">
                  <c:v>476.89535136408062</c:v>
                </c:pt>
                <c:pt idx="105">
                  <c:v>484.57429885995163</c:v>
                </c:pt>
                <c:pt idx="106">
                  <c:v>454.69676831549208</c:v>
                </c:pt>
                <c:pt idx="107">
                  <c:v>461.81416353195027</c:v>
                </c:pt>
                <c:pt idx="108">
                  <c:v>468.92921839125489</c:v>
                </c:pt>
                <c:pt idx="109">
                  <c:v>476.0419734310799</c:v>
                </c:pt>
                <c:pt idx="110">
                  <c:v>483.15246787827965</c:v>
                </c:pt>
                <c:pt idx="111">
                  <c:v>454.12727434910954</c:v>
                </c:pt>
                <c:pt idx="112">
                  <c:v>460.67553864161101</c:v>
                </c:pt>
                <c:pt idx="113">
                  <c:v>467.22181647445245</c:v>
                </c:pt>
                <c:pt idx="114">
                  <c:v>473.76613962300468</c:v>
                </c:pt>
                <c:pt idx="115">
                  <c:v>480.30853891265809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90" workbookViewId="0">
      <selection activeCell="D44" sqref="D44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7.58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13</v>
      </c>
      <c r="C9" s="35">
        <v>0.16</v>
      </c>
      <c r="D9" s="36">
        <f t="shared" ref="D9:D18" si="0">C9*$C$5</f>
        <v>1.2128000000000001</v>
      </c>
      <c r="E9" s="37">
        <v>70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14</v>
      </c>
      <c r="C10" s="35">
        <v>0.56000000000000005</v>
      </c>
      <c r="D10" s="36">
        <f t="shared" si="0"/>
        <v>4.2448000000000006</v>
      </c>
      <c r="E10" s="37">
        <v>115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23</v>
      </c>
      <c r="C11" s="35">
        <v>0.16</v>
      </c>
      <c r="D11" s="36">
        <f t="shared" si="0"/>
        <v>1.2128000000000001</v>
      </c>
      <c r="E11" s="37">
        <v>80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8</v>
      </c>
      <c r="C12" s="35">
        <v>0.03</v>
      </c>
      <c r="D12" s="36">
        <f t="shared" si="0"/>
        <v>0.22739999999999999</v>
      </c>
      <c r="E12" s="37">
        <v>80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29</v>
      </c>
      <c r="C13" s="35">
        <v>0.03</v>
      </c>
      <c r="D13" s="36">
        <f t="shared" si="0"/>
        <v>0.22739999999999999</v>
      </c>
      <c r="E13" s="37">
        <v>69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12</v>
      </c>
      <c r="C14" s="35">
        <v>0.01</v>
      </c>
      <c r="D14" s="36">
        <f t="shared" si="0"/>
        <v>7.5800000000000006E-2</v>
      </c>
      <c r="E14" s="37">
        <v>115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 t="s">
        <v>6</v>
      </c>
      <c r="C15" s="35">
        <v>0.01</v>
      </c>
      <c r="D15" s="36">
        <f t="shared" si="0"/>
        <v>7.5800000000000006E-2</v>
      </c>
      <c r="E15" s="37">
        <v>115</v>
      </c>
      <c r="F15" s="38" t="str">
        <f t="array" ref="F15">IF(E15="","",IF(INDEX(A:A,MAX(IF(ISNUMBER($A$192:$A$211),ROW($A$192:$A$211),"")))&lt;&gt;E15,"Corrigez : révolution incorrecte","OK"))</f>
        <v>OK</v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 t="s">
        <v>50</v>
      </c>
      <c r="C16" s="35">
        <v>0.01</v>
      </c>
      <c r="D16" s="36">
        <f t="shared" si="0"/>
        <v>7.5800000000000006E-2</v>
      </c>
      <c r="E16" s="37">
        <v>115</v>
      </c>
      <c r="F16" s="38" t="str">
        <f t="array" ref="F16">IF(E16="","",IF(INDEX(A:A,MAX(IF(ISNUMBER($A$218:$A$237),ROW($A$218:$A$237),"")))&lt;&gt;E16,"Corrigez : révolution incorrecte","OK"))</f>
        <v>OK</v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0.9700000000000002</v>
      </c>
      <c r="D19" s="41">
        <f>SUM(D9:D18)</f>
        <v>7.3526000000000016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rouge d'Amérique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15</v>
      </c>
      <c r="B36" s="63">
        <v>87</v>
      </c>
      <c r="C36" s="63">
        <v>1</v>
      </c>
      <c r="D36" s="63">
        <v>21</v>
      </c>
      <c r="E36" s="54"/>
      <c r="F36" s="54"/>
      <c r="G36" s="54"/>
      <c r="H36" s="54">
        <v>1</v>
      </c>
      <c r="I36" s="52">
        <f>IFERROR(B36/A36,"")</f>
        <v>5.8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20</v>
      </c>
      <c r="B37" s="63">
        <v>137</v>
      </c>
      <c r="C37" s="63">
        <v>2</v>
      </c>
      <c r="D37" s="63">
        <v>43</v>
      </c>
      <c r="E37" s="54"/>
      <c r="F37" s="54">
        <v>0.5</v>
      </c>
      <c r="G37" s="54">
        <v>0.5</v>
      </c>
      <c r="H37" s="54"/>
      <c r="I37" s="56">
        <f t="shared" ref="I37:I55" si="1">IF(A37&lt;&gt;0,(B37-(B36-D36))/(A37-A36),"")</f>
        <v>14.2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63">
        <v>163</v>
      </c>
      <c r="C38" s="63">
        <v>3</v>
      </c>
      <c r="D38" s="63">
        <v>44</v>
      </c>
      <c r="E38" s="54"/>
      <c r="F38" s="54">
        <v>0.5</v>
      </c>
      <c r="G38" s="54">
        <v>0.5</v>
      </c>
      <c r="H38" s="54"/>
      <c r="I38" s="56">
        <f t="shared" si="1"/>
        <v>13.8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184</v>
      </c>
      <c r="C39" s="63">
        <v>4</v>
      </c>
      <c r="D39" s="63">
        <v>44</v>
      </c>
      <c r="E39" s="54"/>
      <c r="F39" s="54">
        <v>0.6</v>
      </c>
      <c r="G39" s="54">
        <v>0.4</v>
      </c>
      <c r="H39" s="54"/>
      <c r="I39" s="52">
        <f t="shared" si="1"/>
        <v>13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35</v>
      </c>
      <c r="B40" s="63">
        <v>201</v>
      </c>
      <c r="C40" s="63">
        <v>5</v>
      </c>
      <c r="D40" s="63">
        <v>42</v>
      </c>
      <c r="E40" s="54"/>
      <c r="F40" s="54"/>
      <c r="G40" s="54"/>
      <c r="H40" s="54"/>
      <c r="I40" s="52">
        <f t="shared" si="1"/>
        <v>12.2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40</v>
      </c>
      <c r="B41" s="63">
        <v>213</v>
      </c>
      <c r="C41" s="63">
        <v>6</v>
      </c>
      <c r="D41" s="63">
        <v>39</v>
      </c>
      <c r="E41" s="54"/>
      <c r="F41" s="54"/>
      <c r="G41" s="54"/>
      <c r="H41" s="54"/>
      <c r="I41" s="56">
        <f t="shared" si="1"/>
        <v>10.8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45</v>
      </c>
      <c r="B42" s="63">
        <v>223</v>
      </c>
      <c r="C42" s="63">
        <v>7</v>
      </c>
      <c r="D42" s="63">
        <v>36</v>
      </c>
      <c r="E42" s="54"/>
      <c r="F42" s="54"/>
      <c r="G42" s="54"/>
      <c r="H42" s="54"/>
      <c r="I42" s="56">
        <f t="shared" si="1"/>
        <v>9.8000000000000007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50</v>
      </c>
      <c r="B43" s="63">
        <v>231</v>
      </c>
      <c r="C43" s="63">
        <v>8</v>
      </c>
      <c r="D43" s="63">
        <v>33</v>
      </c>
      <c r="E43" s="54"/>
      <c r="F43" s="54"/>
      <c r="G43" s="54"/>
      <c r="H43" s="54"/>
      <c r="I43" s="52">
        <f t="shared" si="1"/>
        <v>8.8000000000000007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55</v>
      </c>
      <c r="B44" s="63">
        <v>237</v>
      </c>
      <c r="C44" s="63">
        <v>9</v>
      </c>
      <c r="D44" s="63">
        <v>29</v>
      </c>
      <c r="E44" s="54"/>
      <c r="F44" s="54"/>
      <c r="G44" s="54"/>
      <c r="H44" s="54"/>
      <c r="I44" s="52">
        <f t="shared" si="1"/>
        <v>7.8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60</v>
      </c>
      <c r="B45" s="63">
        <v>242</v>
      </c>
      <c r="C45" s="63">
        <v>10</v>
      </c>
      <c r="D45" s="63">
        <v>26</v>
      </c>
      <c r="E45" s="54"/>
      <c r="F45" s="54"/>
      <c r="G45" s="54"/>
      <c r="H45" s="54"/>
      <c r="I45" s="52">
        <f t="shared" si="1"/>
        <v>6.8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65</v>
      </c>
      <c r="B46" s="63">
        <v>246</v>
      </c>
      <c r="C46" s="63">
        <v>11</v>
      </c>
      <c r="D46" s="63">
        <v>23</v>
      </c>
      <c r="E46" s="54"/>
      <c r="F46" s="54"/>
      <c r="G46" s="54"/>
      <c r="H46" s="54"/>
      <c r="I46" s="52">
        <f t="shared" si="1"/>
        <v>6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70</v>
      </c>
      <c r="B47" s="63">
        <v>249</v>
      </c>
      <c r="C47" s="63">
        <v>12</v>
      </c>
      <c r="D47" s="63">
        <v>249</v>
      </c>
      <c r="E47" s="54"/>
      <c r="F47" s="54"/>
      <c r="G47" s="54"/>
      <c r="H47" s="54"/>
      <c r="I47" s="52">
        <f t="shared" si="1"/>
        <v>5.2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sessile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73</v>
      </c>
      <c r="C62" s="63">
        <v>1</v>
      </c>
      <c r="D62" s="63">
        <v>6</v>
      </c>
      <c r="E62" s="54"/>
      <c r="F62" s="54"/>
      <c r="G62" s="54"/>
      <c r="H62" s="54">
        <v>1</v>
      </c>
      <c r="I62" s="56">
        <f>IFERROR(B62/A62,"")</f>
        <v>3.65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25</v>
      </c>
      <c r="B63" s="63">
        <v>103</v>
      </c>
      <c r="C63" s="63">
        <v>2</v>
      </c>
      <c r="D63" s="63">
        <v>28</v>
      </c>
      <c r="E63" s="54"/>
      <c r="F63" s="54">
        <v>0.3</v>
      </c>
      <c r="G63" s="54">
        <v>0.7</v>
      </c>
      <c r="H63" s="54"/>
      <c r="I63" s="52">
        <f>IF(A63&lt;&gt;0,(B63-(B62-D62))/(A63-A62),"")</f>
        <v>7.2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63">
        <v>121</v>
      </c>
      <c r="C64" s="63">
        <v>3</v>
      </c>
      <c r="D64" s="63">
        <v>28</v>
      </c>
      <c r="E64" s="54"/>
      <c r="F64" s="54">
        <v>0.5</v>
      </c>
      <c r="G64" s="54">
        <v>0.5</v>
      </c>
      <c r="H64" s="54"/>
      <c r="I64" s="52">
        <f>IF(A64&lt;&gt;0,(B64-(B63-D63))/(A64-A63),"")</f>
        <v>9.1999999999999993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35</v>
      </c>
      <c r="B65" s="63">
        <v>147</v>
      </c>
      <c r="C65" s="63">
        <v>4</v>
      </c>
      <c r="D65" s="63">
        <v>28</v>
      </c>
      <c r="E65" s="54"/>
      <c r="F65" s="54"/>
      <c r="G65" s="54"/>
      <c r="H65" s="54"/>
      <c r="I65" s="52">
        <f>IF(A65&lt;&gt;0,(B65-(B64-D64))/(A65-A64),"")</f>
        <v>10.8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63">
        <v>175</v>
      </c>
      <c r="C66" s="63">
        <v>5</v>
      </c>
      <c r="D66" s="63">
        <v>28</v>
      </c>
      <c r="E66" s="54"/>
      <c r="F66" s="54"/>
      <c r="G66" s="54"/>
      <c r="H66" s="54"/>
      <c r="I66" s="52">
        <f t="shared" ref="I66:I81" si="2">IF(A66&lt;&gt;0,(B66-(B65-D65))/(A66-A65),"")</f>
        <v>11.2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45</v>
      </c>
      <c r="B67" s="63">
        <v>204</v>
      </c>
      <c r="C67" s="63">
        <v>6</v>
      </c>
      <c r="D67" s="63">
        <v>28</v>
      </c>
      <c r="E67" s="54"/>
      <c r="F67" s="54"/>
      <c r="G67" s="54"/>
      <c r="H67" s="54"/>
      <c r="I67" s="52">
        <f t="shared" si="2"/>
        <v>11.4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50</v>
      </c>
      <c r="B68" s="63">
        <v>231</v>
      </c>
      <c r="C68" s="63">
        <v>7</v>
      </c>
      <c r="D68" s="63">
        <v>28</v>
      </c>
      <c r="E68" s="54"/>
      <c r="F68" s="54"/>
      <c r="G68" s="54"/>
      <c r="H68" s="54"/>
      <c r="I68" s="52">
        <f t="shared" si="2"/>
        <v>11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55</v>
      </c>
      <c r="B69" s="53">
        <v>254</v>
      </c>
      <c r="C69" s="53">
        <v>8</v>
      </c>
      <c r="D69" s="53">
        <v>28</v>
      </c>
      <c r="E69" s="54"/>
      <c r="F69" s="54"/>
      <c r="G69" s="54"/>
      <c r="H69" s="54"/>
      <c r="I69" s="52">
        <f t="shared" si="2"/>
        <v>10.199999999999999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60</v>
      </c>
      <c r="B70" s="53">
        <v>273</v>
      </c>
      <c r="C70" s="53">
        <v>9</v>
      </c>
      <c r="D70" s="53">
        <v>28</v>
      </c>
      <c r="E70" s="54"/>
      <c r="F70" s="54"/>
      <c r="G70" s="54"/>
      <c r="H70" s="54"/>
      <c r="I70" s="52">
        <f t="shared" si="2"/>
        <v>9.4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65</v>
      </c>
      <c r="B71" s="53">
        <v>289</v>
      </c>
      <c r="C71" s="53">
        <v>10</v>
      </c>
      <c r="D71" s="53">
        <v>28</v>
      </c>
      <c r="E71" s="54"/>
      <c r="F71" s="54"/>
      <c r="G71" s="54"/>
      <c r="H71" s="54"/>
      <c r="I71" s="52">
        <f t="shared" si="2"/>
        <v>8.8000000000000007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70</v>
      </c>
      <c r="B72" s="53">
        <v>302</v>
      </c>
      <c r="C72" s="53">
        <v>11</v>
      </c>
      <c r="D72" s="53">
        <v>28</v>
      </c>
      <c r="E72" s="54"/>
      <c r="F72" s="54"/>
      <c r="G72" s="54"/>
      <c r="H72" s="54"/>
      <c r="I72" s="52">
        <f t="shared" si="2"/>
        <v>8.1999999999999993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75</v>
      </c>
      <c r="B73" s="53">
        <v>312</v>
      </c>
      <c r="C73" s="53">
        <v>12</v>
      </c>
      <c r="D73" s="53">
        <v>28</v>
      </c>
      <c r="E73" s="54"/>
      <c r="F73" s="54"/>
      <c r="G73" s="54"/>
      <c r="H73" s="54"/>
      <c r="I73" s="52">
        <f t="shared" si="2"/>
        <v>7.6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80</v>
      </c>
      <c r="B74" s="53">
        <v>320</v>
      </c>
      <c r="C74" s="53">
        <v>13</v>
      </c>
      <c r="D74" s="53">
        <v>28</v>
      </c>
      <c r="E74" s="54"/>
      <c r="F74" s="54"/>
      <c r="G74" s="54"/>
      <c r="H74" s="54"/>
      <c r="I74" s="52">
        <f t="shared" si="2"/>
        <v>7.2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85</v>
      </c>
      <c r="B75" s="53">
        <v>326</v>
      </c>
      <c r="C75" s="53">
        <v>14</v>
      </c>
      <c r="D75" s="53">
        <v>28</v>
      </c>
      <c r="E75" s="54"/>
      <c r="F75" s="54"/>
      <c r="G75" s="54"/>
      <c r="H75" s="54"/>
      <c r="I75" s="52">
        <f t="shared" si="2"/>
        <v>6.8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90</v>
      </c>
      <c r="B76" s="53">
        <v>330</v>
      </c>
      <c r="C76" s="53">
        <v>15</v>
      </c>
      <c r="D76" s="53">
        <v>28</v>
      </c>
      <c r="E76" s="54"/>
      <c r="F76" s="54"/>
      <c r="G76" s="54"/>
      <c r="H76" s="54"/>
      <c r="I76" s="52">
        <f t="shared" si="2"/>
        <v>6.4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95</v>
      </c>
      <c r="B77" s="53">
        <v>333</v>
      </c>
      <c r="C77" s="53">
        <v>16</v>
      </c>
      <c r="D77" s="53">
        <v>28</v>
      </c>
      <c r="E77" s="54"/>
      <c r="F77" s="54"/>
      <c r="G77" s="54"/>
      <c r="H77" s="54"/>
      <c r="I77" s="52">
        <f t="shared" si="2"/>
        <v>6.2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100</v>
      </c>
      <c r="B78" s="53">
        <v>333</v>
      </c>
      <c r="C78" s="53">
        <v>17</v>
      </c>
      <c r="D78" s="53">
        <v>27</v>
      </c>
      <c r="E78" s="54"/>
      <c r="F78" s="54"/>
      <c r="G78" s="54"/>
      <c r="H78" s="54"/>
      <c r="I78" s="52">
        <f t="shared" si="2"/>
        <v>5.6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105</v>
      </c>
      <c r="B79" s="53">
        <v>333</v>
      </c>
      <c r="C79" s="53">
        <v>18</v>
      </c>
      <c r="D79" s="53">
        <v>26</v>
      </c>
      <c r="E79" s="54"/>
      <c r="F79" s="54"/>
      <c r="G79" s="54"/>
      <c r="H79" s="54"/>
      <c r="I79" s="52">
        <f t="shared" si="2"/>
        <v>5.4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110</v>
      </c>
      <c r="B80" s="53">
        <v>332</v>
      </c>
      <c r="C80" s="53">
        <v>19</v>
      </c>
      <c r="D80" s="53">
        <v>25</v>
      </c>
      <c r="E80" s="54"/>
      <c r="F80" s="54"/>
      <c r="G80" s="54"/>
      <c r="H80" s="54"/>
      <c r="I80" s="52">
        <f t="shared" si="2"/>
        <v>5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115</v>
      </c>
      <c r="B81" s="53">
        <v>331</v>
      </c>
      <c r="C81" s="53">
        <v>20</v>
      </c>
      <c r="D81" s="53">
        <v>331</v>
      </c>
      <c r="E81" s="54"/>
      <c r="F81" s="54"/>
      <c r="G81" s="54"/>
      <c r="H81" s="54"/>
      <c r="I81" s="52">
        <f t="shared" si="2"/>
        <v>4.8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Erable sycomore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10</v>
      </c>
      <c r="B88" s="63">
        <v>11</v>
      </c>
      <c r="C88" s="63">
        <v>1</v>
      </c>
      <c r="D88" s="63">
        <v>0</v>
      </c>
      <c r="E88" s="54"/>
      <c r="F88" s="54"/>
      <c r="G88" s="54"/>
      <c r="H88" s="93">
        <v>1</v>
      </c>
      <c r="I88" s="56">
        <f>IFERROR(B88/A88,"")</f>
        <v>1.1000000000000001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15</v>
      </c>
      <c r="B89" s="63">
        <v>65</v>
      </c>
      <c r="C89" s="63">
        <v>2</v>
      </c>
      <c r="D89" s="63">
        <v>32</v>
      </c>
      <c r="E89" s="54"/>
      <c r="F89" s="54">
        <v>0.5</v>
      </c>
      <c r="G89" s="54">
        <v>0.5</v>
      </c>
      <c r="H89" s="93"/>
      <c r="I89" s="56">
        <f t="shared" ref="I89:I107" si="3">IF(A89&lt;&gt;0,(B89-(B88-D88))/(A89-A88),"")</f>
        <v>10.8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20</v>
      </c>
      <c r="B90" s="63">
        <v>101</v>
      </c>
      <c r="C90" s="63">
        <v>3</v>
      </c>
      <c r="D90" s="63">
        <v>35</v>
      </c>
      <c r="E90" s="93"/>
      <c r="F90" s="93">
        <v>0.6</v>
      </c>
      <c r="G90" s="93">
        <v>0.4</v>
      </c>
      <c r="H90" s="93"/>
      <c r="I90" s="56">
        <f t="shared" si="3"/>
        <v>13.6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25</v>
      </c>
      <c r="B91" s="63">
        <v>140</v>
      </c>
      <c r="C91" s="63">
        <v>4</v>
      </c>
      <c r="D91" s="63">
        <v>35</v>
      </c>
      <c r="E91" s="93"/>
      <c r="F91" s="93"/>
      <c r="G91" s="93"/>
      <c r="H91" s="93"/>
      <c r="I91" s="56">
        <f t="shared" si="3"/>
        <v>14.8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30</v>
      </c>
      <c r="B92" s="63">
        <v>176</v>
      </c>
      <c r="C92" s="63">
        <v>5</v>
      </c>
      <c r="D92" s="63">
        <v>35</v>
      </c>
      <c r="E92" s="93"/>
      <c r="F92" s="93"/>
      <c r="G92" s="93"/>
      <c r="H92" s="93"/>
      <c r="I92" s="56">
        <f t="shared" si="3"/>
        <v>14.2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35</v>
      </c>
      <c r="B93" s="63">
        <v>206</v>
      </c>
      <c r="C93" s="63">
        <v>6</v>
      </c>
      <c r="D93" s="63">
        <v>35</v>
      </c>
      <c r="E93" s="93"/>
      <c r="F93" s="93"/>
      <c r="G93" s="93"/>
      <c r="H93" s="93"/>
      <c r="I93" s="56">
        <f t="shared" si="3"/>
        <v>13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40</v>
      </c>
      <c r="B94" s="63">
        <v>228</v>
      </c>
      <c r="C94" s="63">
        <v>7</v>
      </c>
      <c r="D94" s="63">
        <v>35</v>
      </c>
      <c r="E94" s="93"/>
      <c r="F94" s="93"/>
      <c r="G94" s="93"/>
      <c r="H94" s="93"/>
      <c r="I94" s="56">
        <f t="shared" si="3"/>
        <v>11.4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45</v>
      </c>
      <c r="B95" s="63">
        <v>242</v>
      </c>
      <c r="C95" s="63">
        <v>8</v>
      </c>
      <c r="D95" s="63">
        <v>24</v>
      </c>
      <c r="E95" s="93"/>
      <c r="F95" s="93"/>
      <c r="G95" s="93"/>
      <c r="H95" s="93"/>
      <c r="I95" s="56">
        <f t="shared" si="3"/>
        <v>9.8000000000000007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50</v>
      </c>
      <c r="B96" s="63">
        <v>260</v>
      </c>
      <c r="C96" s="63">
        <v>9</v>
      </c>
      <c r="D96" s="63">
        <v>19</v>
      </c>
      <c r="E96" s="93"/>
      <c r="F96" s="93"/>
      <c r="G96" s="93"/>
      <c r="H96" s="93"/>
      <c r="I96" s="56">
        <f t="shared" si="3"/>
        <v>8.4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55</v>
      </c>
      <c r="B97" s="63">
        <v>278</v>
      </c>
      <c r="C97" s="63">
        <v>10</v>
      </c>
      <c r="D97" s="63">
        <v>16</v>
      </c>
      <c r="E97" s="93"/>
      <c r="F97" s="93"/>
      <c r="G97" s="93"/>
      <c r="H97" s="93"/>
      <c r="I97" s="56">
        <f t="shared" si="3"/>
        <v>7.4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60</v>
      </c>
      <c r="B98" s="63">
        <v>294</v>
      </c>
      <c r="C98" s="63">
        <v>11</v>
      </c>
      <c r="D98" s="63">
        <v>14</v>
      </c>
      <c r="E98" s="93"/>
      <c r="F98" s="93"/>
      <c r="G98" s="93"/>
      <c r="H98" s="93"/>
      <c r="I98" s="56">
        <f t="shared" si="3"/>
        <v>6.4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65</v>
      </c>
      <c r="B99" s="63">
        <v>306</v>
      </c>
      <c r="C99" s="63">
        <v>12</v>
      </c>
      <c r="D99" s="63">
        <v>13</v>
      </c>
      <c r="E99" s="93"/>
      <c r="F99" s="93"/>
      <c r="G99" s="93"/>
      <c r="H99" s="93"/>
      <c r="I99" s="56">
        <f t="shared" si="3"/>
        <v>5.2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70</v>
      </c>
      <c r="B100" s="63">
        <v>315</v>
      </c>
      <c r="C100" s="63">
        <v>13</v>
      </c>
      <c r="D100" s="63">
        <v>12</v>
      </c>
      <c r="E100" s="68"/>
      <c r="F100" s="68"/>
      <c r="G100" s="68"/>
      <c r="H100" s="68"/>
      <c r="I100" s="56">
        <f t="shared" si="3"/>
        <v>4.4000000000000004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>
        <v>75</v>
      </c>
      <c r="B101" s="63">
        <v>324</v>
      </c>
      <c r="C101" s="63">
        <v>14</v>
      </c>
      <c r="D101" s="63">
        <v>11</v>
      </c>
      <c r="E101" s="68"/>
      <c r="F101" s="68"/>
      <c r="G101" s="68"/>
      <c r="H101" s="68"/>
      <c r="I101" s="56">
        <f t="shared" si="3"/>
        <v>4.2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>
        <v>80</v>
      </c>
      <c r="B102" s="53">
        <v>331</v>
      </c>
      <c r="C102" s="63">
        <v>15</v>
      </c>
      <c r="D102" s="53">
        <v>331</v>
      </c>
      <c r="E102" s="57"/>
      <c r="F102" s="57"/>
      <c r="G102" s="57"/>
      <c r="H102" s="57"/>
      <c r="I102" s="56">
        <f t="shared" si="3"/>
        <v>3.6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Châtaignier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10</v>
      </c>
      <c r="B114" s="63">
        <v>11</v>
      </c>
      <c r="C114" s="63">
        <v>1</v>
      </c>
      <c r="D114" s="63">
        <v>0</v>
      </c>
      <c r="E114" s="54"/>
      <c r="F114" s="54"/>
      <c r="G114" s="54"/>
      <c r="H114" s="54">
        <v>1</v>
      </c>
      <c r="I114" s="56">
        <f>IFERROR(B114/A114,"")</f>
        <v>1.1000000000000001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15</v>
      </c>
      <c r="B115" s="63">
        <v>65</v>
      </c>
      <c r="C115" s="63">
        <v>2</v>
      </c>
      <c r="D115" s="63">
        <v>32</v>
      </c>
      <c r="E115" s="54"/>
      <c r="F115" s="54"/>
      <c r="G115" s="54"/>
      <c r="H115" s="54">
        <v>1</v>
      </c>
      <c r="I115" s="56">
        <f t="shared" ref="I115:I133" si="4">IF(A115&lt;&gt;0,(B115-(B114-D114))/(A115-A114),"")</f>
        <v>10.8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20</v>
      </c>
      <c r="B116" s="63">
        <v>101</v>
      </c>
      <c r="C116" s="63">
        <v>3</v>
      </c>
      <c r="D116" s="63">
        <v>35</v>
      </c>
      <c r="E116" s="54">
        <v>0.3</v>
      </c>
      <c r="F116" s="54"/>
      <c r="G116" s="54"/>
      <c r="H116" s="54">
        <v>0.7</v>
      </c>
      <c r="I116" s="56">
        <f t="shared" si="4"/>
        <v>13.6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25</v>
      </c>
      <c r="B117" s="63">
        <v>140</v>
      </c>
      <c r="C117" s="63">
        <v>4</v>
      </c>
      <c r="D117" s="63">
        <v>35</v>
      </c>
      <c r="E117" s="54">
        <v>0.55000000000000004</v>
      </c>
      <c r="F117" s="54"/>
      <c r="G117" s="54"/>
      <c r="H117" s="54">
        <v>0.45</v>
      </c>
      <c r="I117" s="56">
        <f t="shared" si="4"/>
        <v>14.8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30</v>
      </c>
      <c r="B118" s="63">
        <v>176</v>
      </c>
      <c r="C118" s="63">
        <v>5</v>
      </c>
      <c r="D118" s="63">
        <v>35</v>
      </c>
      <c r="E118" s="54"/>
      <c r="F118" s="54"/>
      <c r="G118" s="54"/>
      <c r="H118" s="54"/>
      <c r="I118" s="56">
        <f t="shared" si="4"/>
        <v>14.2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35</v>
      </c>
      <c r="B119" s="63">
        <v>206</v>
      </c>
      <c r="C119" s="63">
        <v>6</v>
      </c>
      <c r="D119" s="63">
        <v>35</v>
      </c>
      <c r="E119" s="54"/>
      <c r="F119" s="54"/>
      <c r="G119" s="54"/>
      <c r="H119" s="54"/>
      <c r="I119" s="56">
        <f t="shared" si="4"/>
        <v>13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53">
        <v>40</v>
      </c>
      <c r="B120" s="63">
        <v>228</v>
      </c>
      <c r="C120" s="63">
        <v>7</v>
      </c>
      <c r="D120" s="63">
        <v>35</v>
      </c>
      <c r="E120" s="93"/>
      <c r="F120" s="93"/>
      <c r="G120" s="93"/>
      <c r="H120" s="93"/>
      <c r="I120" s="56">
        <f t="shared" si="4"/>
        <v>11.4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45</v>
      </c>
      <c r="B121" s="63">
        <v>242</v>
      </c>
      <c r="C121" s="63">
        <v>8</v>
      </c>
      <c r="D121" s="63">
        <v>24</v>
      </c>
      <c r="E121" s="93"/>
      <c r="F121" s="93"/>
      <c r="G121" s="93"/>
      <c r="H121" s="93"/>
      <c r="I121" s="56">
        <f t="shared" si="4"/>
        <v>9.8000000000000007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50</v>
      </c>
      <c r="B122" s="63">
        <v>260</v>
      </c>
      <c r="C122" s="63">
        <v>9</v>
      </c>
      <c r="D122" s="63">
        <v>19</v>
      </c>
      <c r="E122" s="93"/>
      <c r="F122" s="93"/>
      <c r="G122" s="93"/>
      <c r="H122" s="93"/>
      <c r="I122" s="56">
        <f t="shared" si="4"/>
        <v>8.4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>
        <v>55</v>
      </c>
      <c r="B123" s="63">
        <v>278</v>
      </c>
      <c r="C123" s="63">
        <v>10</v>
      </c>
      <c r="D123" s="63">
        <v>16</v>
      </c>
      <c r="E123" s="93"/>
      <c r="F123" s="93"/>
      <c r="G123" s="93"/>
      <c r="H123" s="93"/>
      <c r="I123" s="56">
        <f t="shared" si="4"/>
        <v>7.4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>
        <v>60</v>
      </c>
      <c r="B124" s="63">
        <v>294</v>
      </c>
      <c r="C124" s="63">
        <v>11</v>
      </c>
      <c r="D124" s="63">
        <v>14</v>
      </c>
      <c r="E124" s="93"/>
      <c r="F124" s="93"/>
      <c r="G124" s="93"/>
      <c r="H124" s="93"/>
      <c r="I124" s="56">
        <f t="shared" si="4"/>
        <v>6.4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>
        <v>65</v>
      </c>
      <c r="B125" s="63">
        <v>306</v>
      </c>
      <c r="C125" s="63">
        <v>12</v>
      </c>
      <c r="D125" s="63">
        <v>13</v>
      </c>
      <c r="E125" s="93"/>
      <c r="F125" s="93"/>
      <c r="G125" s="93"/>
      <c r="H125" s="93"/>
      <c r="I125" s="56">
        <f t="shared" si="4"/>
        <v>5.2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>
        <v>70</v>
      </c>
      <c r="B126" s="63">
        <v>315</v>
      </c>
      <c r="C126" s="63">
        <v>13</v>
      </c>
      <c r="D126" s="63">
        <v>12</v>
      </c>
      <c r="E126" s="68"/>
      <c r="F126" s="68"/>
      <c r="G126" s="68"/>
      <c r="H126" s="68"/>
      <c r="I126" s="56">
        <f t="shared" si="4"/>
        <v>4.4000000000000004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>
        <v>75</v>
      </c>
      <c r="B127" s="63">
        <v>324</v>
      </c>
      <c r="C127" s="63">
        <v>14</v>
      </c>
      <c r="D127" s="63">
        <v>11</v>
      </c>
      <c r="E127" s="68"/>
      <c r="F127" s="68"/>
      <c r="G127" s="68"/>
      <c r="H127" s="68"/>
      <c r="I127" s="56">
        <f t="shared" si="4"/>
        <v>4.2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63">
        <v>80</v>
      </c>
      <c r="B128" s="53">
        <v>331</v>
      </c>
      <c r="C128" s="63">
        <v>15</v>
      </c>
      <c r="D128" s="53">
        <v>331</v>
      </c>
      <c r="E128" s="57"/>
      <c r="F128" s="57"/>
      <c r="G128" s="57"/>
      <c r="H128" s="57"/>
      <c r="I128" s="56">
        <f t="shared" si="4"/>
        <v>3.6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Merisier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15</v>
      </c>
      <c r="B140" s="63">
        <v>40</v>
      </c>
      <c r="C140" s="53">
        <v>1</v>
      </c>
      <c r="D140" s="63">
        <v>3</v>
      </c>
      <c r="E140" s="54"/>
      <c r="F140" s="54"/>
      <c r="G140" s="54"/>
      <c r="H140" s="54">
        <v>1</v>
      </c>
      <c r="I140" s="60">
        <f>IFERROR(B140/A140,"")</f>
        <v>2.6666666666666665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20</v>
      </c>
      <c r="B141" s="63">
        <v>85</v>
      </c>
      <c r="C141" s="53">
        <v>2</v>
      </c>
      <c r="D141" s="63">
        <v>25</v>
      </c>
      <c r="E141" s="54"/>
      <c r="F141" s="54"/>
      <c r="G141" s="54"/>
      <c r="H141" s="54">
        <v>1</v>
      </c>
      <c r="I141" s="60">
        <f t="shared" ref="I141:I159" si="5">IF(A141&lt;&gt;0,(B141-(B140-D140))/(A141-A140),"")</f>
        <v>9.6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25</v>
      </c>
      <c r="B142" s="63">
        <v>113</v>
      </c>
      <c r="C142" s="53">
        <v>3</v>
      </c>
      <c r="D142" s="63">
        <v>27</v>
      </c>
      <c r="E142" s="54">
        <v>0.3</v>
      </c>
      <c r="F142" s="54"/>
      <c r="G142" s="54"/>
      <c r="H142" s="54">
        <v>0.7</v>
      </c>
      <c r="I142" s="60">
        <f t="shared" si="5"/>
        <v>10.6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31</v>
      </c>
      <c r="B143" s="63">
        <v>155</v>
      </c>
      <c r="C143" s="53">
        <v>4</v>
      </c>
      <c r="D143" s="63">
        <v>36</v>
      </c>
      <c r="E143" s="54">
        <v>0.55000000000000004</v>
      </c>
      <c r="F143" s="54"/>
      <c r="G143" s="54"/>
      <c r="H143" s="54">
        <v>0.45</v>
      </c>
      <c r="I143" s="60">
        <f t="shared" si="5"/>
        <v>11.5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37</v>
      </c>
      <c r="B144" s="63">
        <v>188</v>
      </c>
      <c r="C144" s="53">
        <v>5</v>
      </c>
      <c r="D144" s="63">
        <v>36</v>
      </c>
      <c r="E144" s="54"/>
      <c r="F144" s="54"/>
      <c r="G144" s="54"/>
      <c r="H144" s="54"/>
      <c r="I144" s="60">
        <f t="shared" si="5"/>
        <v>11.5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44</v>
      </c>
      <c r="B145" s="63">
        <v>230</v>
      </c>
      <c r="C145" s="63">
        <v>6</v>
      </c>
      <c r="D145" s="63">
        <v>43</v>
      </c>
      <c r="E145" s="54"/>
      <c r="F145" s="54"/>
      <c r="G145" s="54"/>
      <c r="H145" s="54"/>
      <c r="I145" s="60">
        <f t="shared" si="5"/>
        <v>11.142857142857142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52</v>
      </c>
      <c r="B146" s="63">
        <v>270</v>
      </c>
      <c r="C146" s="63">
        <v>7</v>
      </c>
      <c r="D146" s="63">
        <v>48</v>
      </c>
      <c r="E146" s="54"/>
      <c r="F146" s="54"/>
      <c r="G146" s="54"/>
      <c r="H146" s="54"/>
      <c r="I146" s="60">
        <f t="shared" si="5"/>
        <v>10.375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60</v>
      </c>
      <c r="B147" s="53">
        <v>297</v>
      </c>
      <c r="C147" s="53">
        <v>8</v>
      </c>
      <c r="D147" s="53">
        <v>47</v>
      </c>
      <c r="E147" s="54"/>
      <c r="F147" s="54"/>
      <c r="G147" s="54"/>
      <c r="H147" s="54"/>
      <c r="I147" s="60">
        <f>IF(A147&lt;&gt;0,(B147-(B146-D146))/(A147-A146),"")</f>
        <v>9.375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69</v>
      </c>
      <c r="B148" s="53">
        <v>328</v>
      </c>
      <c r="C148" s="53">
        <v>9</v>
      </c>
      <c r="D148" s="53">
        <v>328</v>
      </c>
      <c r="E148" s="54"/>
      <c r="F148" s="54"/>
      <c r="G148" s="54"/>
      <c r="H148" s="54"/>
      <c r="I148" s="60">
        <f t="shared" si="5"/>
        <v>8.6666666666666661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Chêne pubescent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20</v>
      </c>
      <c r="B166" s="63">
        <v>73</v>
      </c>
      <c r="C166" s="63">
        <v>1</v>
      </c>
      <c r="D166" s="63">
        <v>6</v>
      </c>
      <c r="E166" s="54"/>
      <c r="F166" s="54"/>
      <c r="G166" s="54"/>
      <c r="H166" s="54">
        <v>1</v>
      </c>
      <c r="I166" s="52">
        <f>IFERROR(B166/A166,"")</f>
        <v>3.65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25</v>
      </c>
      <c r="B167" s="63">
        <v>103</v>
      </c>
      <c r="C167" s="63">
        <v>2</v>
      </c>
      <c r="D167" s="63">
        <v>28</v>
      </c>
      <c r="E167" s="54"/>
      <c r="F167" s="54"/>
      <c r="G167" s="54"/>
      <c r="H167" s="54">
        <v>1</v>
      </c>
      <c r="I167" s="52">
        <f t="shared" ref="I167:I185" si="6">IF(A167&lt;&gt;0,(B167-(B166-D166))/(A167-A166),"")</f>
        <v>7.2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30</v>
      </c>
      <c r="B168" s="63">
        <v>121</v>
      </c>
      <c r="C168" s="63">
        <v>3</v>
      </c>
      <c r="D168" s="63">
        <v>28</v>
      </c>
      <c r="E168" s="54">
        <v>0.3</v>
      </c>
      <c r="F168" s="54"/>
      <c r="G168" s="54"/>
      <c r="H168" s="54">
        <v>0.7</v>
      </c>
      <c r="I168" s="52">
        <f t="shared" si="6"/>
        <v>9.1999999999999993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35</v>
      </c>
      <c r="B169" s="63">
        <v>147</v>
      </c>
      <c r="C169" s="63">
        <v>4</v>
      </c>
      <c r="D169" s="63">
        <v>28</v>
      </c>
      <c r="E169" s="54">
        <v>0.55000000000000004</v>
      </c>
      <c r="F169" s="54"/>
      <c r="G169" s="54"/>
      <c r="H169" s="54">
        <v>0.45</v>
      </c>
      <c r="I169" s="52">
        <f t="shared" si="6"/>
        <v>10.8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40</v>
      </c>
      <c r="B170" s="63">
        <v>175</v>
      </c>
      <c r="C170" s="63">
        <v>5</v>
      </c>
      <c r="D170" s="63">
        <v>28</v>
      </c>
      <c r="E170" s="54"/>
      <c r="F170" s="54"/>
      <c r="G170" s="54"/>
      <c r="H170" s="54"/>
      <c r="I170" s="52">
        <f t="shared" si="6"/>
        <v>11.2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45</v>
      </c>
      <c r="B171" s="63">
        <v>204</v>
      </c>
      <c r="C171" s="63">
        <v>6</v>
      </c>
      <c r="D171" s="63">
        <v>28</v>
      </c>
      <c r="E171" s="54"/>
      <c r="F171" s="54"/>
      <c r="G171" s="54"/>
      <c r="H171" s="54"/>
      <c r="I171" s="52">
        <f t="shared" si="6"/>
        <v>11.4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>
        <v>50</v>
      </c>
      <c r="B172" s="63">
        <v>231</v>
      </c>
      <c r="C172" s="63">
        <v>7</v>
      </c>
      <c r="D172" s="63">
        <v>28</v>
      </c>
      <c r="E172" s="54"/>
      <c r="F172" s="54"/>
      <c r="G172" s="54"/>
      <c r="H172" s="54"/>
      <c r="I172" s="52">
        <f t="shared" si="6"/>
        <v>11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>
        <v>55</v>
      </c>
      <c r="B173" s="53">
        <v>254</v>
      </c>
      <c r="C173" s="53">
        <v>8</v>
      </c>
      <c r="D173" s="53">
        <v>28</v>
      </c>
      <c r="E173" s="54"/>
      <c r="F173" s="54"/>
      <c r="G173" s="54"/>
      <c r="H173" s="54"/>
      <c r="I173" s="52">
        <f t="shared" si="6"/>
        <v>10.199999999999999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>
        <v>60</v>
      </c>
      <c r="B174" s="53">
        <v>273</v>
      </c>
      <c r="C174" s="53">
        <v>9</v>
      </c>
      <c r="D174" s="53">
        <v>28</v>
      </c>
      <c r="E174" s="54"/>
      <c r="F174" s="54"/>
      <c r="G174" s="54"/>
      <c r="H174" s="54"/>
      <c r="I174" s="52">
        <f t="shared" si="6"/>
        <v>9.4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>
        <v>65</v>
      </c>
      <c r="B175" s="53">
        <v>289</v>
      </c>
      <c r="C175" s="53">
        <v>10</v>
      </c>
      <c r="D175" s="53">
        <v>28</v>
      </c>
      <c r="E175" s="54"/>
      <c r="F175" s="54"/>
      <c r="G175" s="54"/>
      <c r="H175" s="54"/>
      <c r="I175" s="52">
        <f t="shared" si="6"/>
        <v>8.8000000000000007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>
        <v>70</v>
      </c>
      <c r="B176" s="53">
        <v>302</v>
      </c>
      <c r="C176" s="53">
        <v>11</v>
      </c>
      <c r="D176" s="53">
        <v>28</v>
      </c>
      <c r="E176" s="54"/>
      <c r="F176" s="54"/>
      <c r="G176" s="54"/>
      <c r="H176" s="54"/>
      <c r="I176" s="52">
        <f t="shared" si="6"/>
        <v>8.1999999999999993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>
        <v>75</v>
      </c>
      <c r="B177" s="53">
        <v>312</v>
      </c>
      <c r="C177" s="53">
        <v>12</v>
      </c>
      <c r="D177" s="53">
        <v>28</v>
      </c>
      <c r="E177" s="54"/>
      <c r="F177" s="54"/>
      <c r="G177" s="54"/>
      <c r="H177" s="54"/>
      <c r="I177" s="52">
        <f t="shared" si="6"/>
        <v>7.6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>
        <v>80</v>
      </c>
      <c r="B178" s="53">
        <v>320</v>
      </c>
      <c r="C178" s="53">
        <v>13</v>
      </c>
      <c r="D178" s="53">
        <v>28</v>
      </c>
      <c r="E178" s="54"/>
      <c r="F178" s="54"/>
      <c r="G178" s="54"/>
      <c r="H178" s="54"/>
      <c r="I178" s="52">
        <f t="shared" si="6"/>
        <v>7.2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>
        <v>85</v>
      </c>
      <c r="B179" s="53">
        <v>326</v>
      </c>
      <c r="C179" s="53">
        <v>14</v>
      </c>
      <c r="D179" s="53">
        <v>28</v>
      </c>
      <c r="E179" s="54"/>
      <c r="F179" s="54"/>
      <c r="G179" s="54"/>
      <c r="H179" s="54"/>
      <c r="I179" s="52">
        <f t="shared" si="6"/>
        <v>6.8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>
        <v>90</v>
      </c>
      <c r="B180" s="53">
        <v>330</v>
      </c>
      <c r="C180" s="53">
        <v>15</v>
      </c>
      <c r="D180" s="53">
        <v>28</v>
      </c>
      <c r="E180" s="54"/>
      <c r="F180" s="54"/>
      <c r="G180" s="54"/>
      <c r="H180" s="54"/>
      <c r="I180" s="52">
        <f t="shared" si="6"/>
        <v>6.4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>
        <v>95</v>
      </c>
      <c r="B181" s="53">
        <v>332</v>
      </c>
      <c r="C181" s="53">
        <v>16</v>
      </c>
      <c r="D181" s="53">
        <v>28</v>
      </c>
      <c r="E181" s="54"/>
      <c r="F181" s="54"/>
      <c r="G181" s="54"/>
      <c r="H181" s="54"/>
      <c r="I181" s="52">
        <f t="shared" si="6"/>
        <v>6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>
        <v>100</v>
      </c>
      <c r="B182" s="53">
        <v>333</v>
      </c>
      <c r="C182" s="53">
        <v>17</v>
      </c>
      <c r="D182" s="53">
        <v>27</v>
      </c>
      <c r="E182" s="54"/>
      <c r="F182" s="54"/>
      <c r="G182" s="54"/>
      <c r="H182" s="54"/>
      <c r="I182" s="52">
        <f t="shared" si="6"/>
        <v>5.8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>
        <v>105</v>
      </c>
      <c r="B183" s="53">
        <v>333</v>
      </c>
      <c r="C183" s="53">
        <v>18</v>
      </c>
      <c r="D183" s="53">
        <v>26</v>
      </c>
      <c r="E183" s="54"/>
      <c r="F183" s="54"/>
      <c r="G183" s="54"/>
      <c r="H183" s="54"/>
      <c r="I183" s="52">
        <f t="shared" si="6"/>
        <v>5.4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>
        <v>110</v>
      </c>
      <c r="B184" s="53">
        <v>332</v>
      </c>
      <c r="C184" s="53">
        <v>19</v>
      </c>
      <c r="D184" s="53">
        <v>25</v>
      </c>
      <c r="E184" s="54"/>
      <c r="F184" s="54"/>
      <c r="G184" s="54"/>
      <c r="H184" s="54"/>
      <c r="I184" s="52">
        <f t="shared" si="6"/>
        <v>5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>
        <v>115</v>
      </c>
      <c r="B185" s="53">
        <v>330</v>
      </c>
      <c r="C185" s="53">
        <v>20</v>
      </c>
      <c r="D185" s="53">
        <v>330</v>
      </c>
      <c r="E185" s="54"/>
      <c r="F185" s="54"/>
      <c r="G185" s="54"/>
      <c r="H185" s="54"/>
      <c r="I185" s="52">
        <f t="shared" si="6"/>
        <v>4.5999999999999996</v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>Charme</v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>
        <v>20</v>
      </c>
      <c r="B192" s="63">
        <v>73</v>
      </c>
      <c r="C192" s="63">
        <v>1</v>
      </c>
      <c r="D192" s="63">
        <v>6</v>
      </c>
      <c r="E192" s="54"/>
      <c r="F192" s="54"/>
      <c r="G192" s="54"/>
      <c r="H192" s="54">
        <v>1</v>
      </c>
      <c r="I192" s="52">
        <f>IFERROR(B192/A192,"")</f>
        <v>3.65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>
        <v>25</v>
      </c>
      <c r="B193" s="63">
        <v>103</v>
      </c>
      <c r="C193" s="63">
        <v>2</v>
      </c>
      <c r="D193" s="63">
        <v>28</v>
      </c>
      <c r="E193" s="54"/>
      <c r="F193" s="54"/>
      <c r="G193" s="54"/>
      <c r="H193" s="54">
        <v>1</v>
      </c>
      <c r="I193" s="52">
        <f t="shared" ref="I193:I211" si="7">IF(A193&lt;&gt;0,(B193-(B192-D192))/(A193-A192),"")</f>
        <v>7.2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>
        <v>30</v>
      </c>
      <c r="B194" s="63">
        <v>121</v>
      </c>
      <c r="C194" s="63">
        <v>3</v>
      </c>
      <c r="D194" s="63">
        <v>28</v>
      </c>
      <c r="E194" s="54">
        <v>0.3</v>
      </c>
      <c r="F194" s="54"/>
      <c r="G194" s="54"/>
      <c r="H194" s="54">
        <v>0.7</v>
      </c>
      <c r="I194" s="52">
        <f t="shared" si="7"/>
        <v>9.1999999999999993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>
        <v>35</v>
      </c>
      <c r="B195" s="63">
        <v>147</v>
      </c>
      <c r="C195" s="63">
        <v>4</v>
      </c>
      <c r="D195" s="63">
        <v>28</v>
      </c>
      <c r="E195" s="54">
        <v>0.55000000000000004</v>
      </c>
      <c r="F195" s="54"/>
      <c r="G195" s="54"/>
      <c r="H195" s="54">
        <v>0.45</v>
      </c>
      <c r="I195" s="52">
        <f t="shared" si="7"/>
        <v>10.8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>
        <v>40</v>
      </c>
      <c r="B196" s="63">
        <v>175</v>
      </c>
      <c r="C196" s="63">
        <v>5</v>
      </c>
      <c r="D196" s="63">
        <v>28</v>
      </c>
      <c r="E196" s="54"/>
      <c r="F196" s="54"/>
      <c r="G196" s="54"/>
      <c r="H196" s="54"/>
      <c r="I196" s="52">
        <f t="shared" si="7"/>
        <v>11.2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>
        <v>45</v>
      </c>
      <c r="B197" s="63">
        <v>204</v>
      </c>
      <c r="C197" s="63">
        <v>6</v>
      </c>
      <c r="D197" s="63">
        <v>28</v>
      </c>
      <c r="E197" s="54"/>
      <c r="F197" s="54"/>
      <c r="G197" s="54"/>
      <c r="H197" s="54"/>
      <c r="I197" s="52">
        <f t="shared" si="7"/>
        <v>11.4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>
        <v>50</v>
      </c>
      <c r="B198" s="63">
        <v>231</v>
      </c>
      <c r="C198" s="63">
        <v>7</v>
      </c>
      <c r="D198" s="63">
        <v>28</v>
      </c>
      <c r="E198" s="54"/>
      <c r="F198" s="54"/>
      <c r="G198" s="54"/>
      <c r="H198" s="54"/>
      <c r="I198" s="52">
        <f t="shared" si="7"/>
        <v>11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>
        <v>55</v>
      </c>
      <c r="B199" s="53">
        <v>254</v>
      </c>
      <c r="C199" s="53">
        <v>8</v>
      </c>
      <c r="D199" s="53">
        <v>28</v>
      </c>
      <c r="E199" s="54"/>
      <c r="F199" s="54"/>
      <c r="G199" s="54"/>
      <c r="H199" s="54"/>
      <c r="I199" s="52">
        <f t="shared" si="7"/>
        <v>10.199999999999999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>
        <v>60</v>
      </c>
      <c r="B200" s="53">
        <v>273</v>
      </c>
      <c r="C200" s="53">
        <v>9</v>
      </c>
      <c r="D200" s="53">
        <v>28</v>
      </c>
      <c r="E200" s="54"/>
      <c r="F200" s="54"/>
      <c r="G200" s="54"/>
      <c r="H200" s="54"/>
      <c r="I200" s="52">
        <f t="shared" si="7"/>
        <v>9.4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>
        <v>65</v>
      </c>
      <c r="B201" s="53">
        <v>289</v>
      </c>
      <c r="C201" s="53">
        <v>10</v>
      </c>
      <c r="D201" s="53">
        <v>28</v>
      </c>
      <c r="E201" s="54"/>
      <c r="F201" s="54"/>
      <c r="G201" s="54"/>
      <c r="H201" s="54"/>
      <c r="I201" s="52">
        <f t="shared" si="7"/>
        <v>8.8000000000000007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>
        <v>70</v>
      </c>
      <c r="B202" s="53">
        <v>302</v>
      </c>
      <c r="C202" s="53">
        <v>11</v>
      </c>
      <c r="D202" s="53">
        <v>28</v>
      </c>
      <c r="E202" s="54"/>
      <c r="F202" s="54"/>
      <c r="G202" s="54"/>
      <c r="H202" s="54"/>
      <c r="I202" s="52">
        <f t="shared" si="7"/>
        <v>8.1999999999999993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>
        <v>75</v>
      </c>
      <c r="B203" s="53">
        <v>312</v>
      </c>
      <c r="C203" s="53">
        <v>12</v>
      </c>
      <c r="D203" s="53">
        <v>28</v>
      </c>
      <c r="E203" s="54"/>
      <c r="F203" s="54"/>
      <c r="G203" s="54"/>
      <c r="H203" s="54"/>
      <c r="I203" s="52">
        <f t="shared" si="7"/>
        <v>7.6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>
        <v>80</v>
      </c>
      <c r="B204" s="53">
        <v>320</v>
      </c>
      <c r="C204" s="53">
        <v>13</v>
      </c>
      <c r="D204" s="53">
        <v>28</v>
      </c>
      <c r="E204" s="54"/>
      <c r="F204" s="54"/>
      <c r="G204" s="54"/>
      <c r="H204" s="54"/>
      <c r="I204" s="52">
        <f t="shared" si="7"/>
        <v>7.2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>
        <v>85</v>
      </c>
      <c r="B205" s="53">
        <v>326</v>
      </c>
      <c r="C205" s="53">
        <v>14</v>
      </c>
      <c r="D205" s="53">
        <v>28</v>
      </c>
      <c r="E205" s="54"/>
      <c r="F205" s="54"/>
      <c r="G205" s="54"/>
      <c r="H205" s="54"/>
      <c r="I205" s="52">
        <f t="shared" si="7"/>
        <v>6.8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>
        <v>90</v>
      </c>
      <c r="B206" s="53">
        <v>330</v>
      </c>
      <c r="C206" s="53">
        <v>15</v>
      </c>
      <c r="D206" s="53">
        <v>28</v>
      </c>
      <c r="E206" s="54"/>
      <c r="F206" s="54"/>
      <c r="G206" s="54"/>
      <c r="H206" s="54"/>
      <c r="I206" s="52">
        <f t="shared" si="7"/>
        <v>6.4</v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>
        <v>95</v>
      </c>
      <c r="B207" s="53">
        <v>332</v>
      </c>
      <c r="C207" s="53">
        <v>16</v>
      </c>
      <c r="D207" s="53">
        <v>28</v>
      </c>
      <c r="E207" s="54"/>
      <c r="F207" s="54"/>
      <c r="G207" s="54"/>
      <c r="H207" s="54"/>
      <c r="I207" s="52">
        <f t="shared" si="7"/>
        <v>6</v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>
        <v>100</v>
      </c>
      <c r="B208" s="53">
        <v>333</v>
      </c>
      <c r="C208" s="53">
        <v>17</v>
      </c>
      <c r="D208" s="53">
        <v>27</v>
      </c>
      <c r="E208" s="54"/>
      <c r="F208" s="54"/>
      <c r="G208" s="54"/>
      <c r="H208" s="54"/>
      <c r="I208" s="52">
        <f t="shared" si="7"/>
        <v>5.8</v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>
        <v>105</v>
      </c>
      <c r="B209" s="53">
        <v>333</v>
      </c>
      <c r="C209" s="53">
        <v>18</v>
      </c>
      <c r="D209" s="53">
        <v>26</v>
      </c>
      <c r="E209" s="54"/>
      <c r="F209" s="54"/>
      <c r="G209" s="54"/>
      <c r="H209" s="54"/>
      <c r="I209" s="52">
        <f t="shared" si="7"/>
        <v>5.4</v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>
        <v>110</v>
      </c>
      <c r="B210" s="53">
        <v>332</v>
      </c>
      <c r="C210" s="53">
        <v>19</v>
      </c>
      <c r="D210" s="53">
        <v>25</v>
      </c>
      <c r="E210" s="54"/>
      <c r="F210" s="54"/>
      <c r="G210" s="54"/>
      <c r="H210" s="54"/>
      <c r="I210" s="52">
        <f t="shared" si="7"/>
        <v>5</v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>
        <v>115</v>
      </c>
      <c r="B211" s="53">
        <v>330</v>
      </c>
      <c r="C211" s="53">
        <v>20</v>
      </c>
      <c r="D211" s="53">
        <v>330</v>
      </c>
      <c r="E211" s="54"/>
      <c r="F211" s="54"/>
      <c r="G211" s="54"/>
      <c r="H211" s="54"/>
      <c r="I211" s="52">
        <f t="shared" si="7"/>
        <v>4.5999999999999996</v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>Tilleul</v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>
        <v>20</v>
      </c>
      <c r="B218" s="63">
        <v>73</v>
      </c>
      <c r="C218" s="53">
        <v>1</v>
      </c>
      <c r="D218" s="63">
        <v>6</v>
      </c>
      <c r="E218" s="54"/>
      <c r="F218" s="54"/>
      <c r="G218" s="54"/>
      <c r="H218" s="54">
        <v>1</v>
      </c>
      <c r="I218" s="56">
        <f>IFERROR(B218/A218,"")</f>
        <v>3.65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>
        <v>25</v>
      </c>
      <c r="B219" s="63">
        <v>103</v>
      </c>
      <c r="C219" s="53">
        <v>2</v>
      </c>
      <c r="D219" s="63">
        <v>28</v>
      </c>
      <c r="E219" s="54"/>
      <c r="F219" s="54">
        <v>0.3</v>
      </c>
      <c r="G219" s="54">
        <v>0.7</v>
      </c>
      <c r="H219" s="54"/>
      <c r="I219" s="56">
        <f t="shared" ref="I219:I237" si="8">IF(A219&lt;&gt;0,(B219-(B218-D218))/(A219-A218),"")</f>
        <v>7.2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>
        <v>30</v>
      </c>
      <c r="B220" s="63">
        <v>121</v>
      </c>
      <c r="C220" s="53">
        <v>3</v>
      </c>
      <c r="D220" s="63">
        <v>28</v>
      </c>
      <c r="E220" s="54"/>
      <c r="F220" s="54">
        <v>0.5</v>
      </c>
      <c r="G220" s="54">
        <v>0.5</v>
      </c>
      <c r="H220" s="54"/>
      <c r="I220" s="56">
        <f t="shared" si="8"/>
        <v>9.1999999999999993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>
        <v>35</v>
      </c>
      <c r="B221" s="58">
        <v>147</v>
      </c>
      <c r="C221" s="58">
        <v>4</v>
      </c>
      <c r="D221" s="58">
        <v>28</v>
      </c>
      <c r="E221" s="66"/>
      <c r="F221" s="66"/>
      <c r="G221" s="66"/>
      <c r="H221" s="66"/>
      <c r="I221" s="56">
        <f t="shared" si="8"/>
        <v>10.8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>
        <v>40</v>
      </c>
      <c r="B222" s="58">
        <v>175</v>
      </c>
      <c r="C222" s="58">
        <v>5</v>
      </c>
      <c r="D222" s="58">
        <v>28</v>
      </c>
      <c r="E222" s="66"/>
      <c r="F222" s="66"/>
      <c r="G222" s="66"/>
      <c r="H222" s="66"/>
      <c r="I222" s="56">
        <f t="shared" si="8"/>
        <v>11.2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>
        <v>45</v>
      </c>
      <c r="B223" s="58">
        <v>204</v>
      </c>
      <c r="C223" s="58">
        <v>6</v>
      </c>
      <c r="D223" s="58">
        <v>28</v>
      </c>
      <c r="E223" s="66"/>
      <c r="F223" s="66"/>
      <c r="G223" s="66"/>
      <c r="H223" s="66"/>
      <c r="I223" s="56">
        <f t="shared" si="8"/>
        <v>11.4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>
        <v>50</v>
      </c>
      <c r="B224" s="58">
        <v>231</v>
      </c>
      <c r="C224" s="58">
        <v>7</v>
      </c>
      <c r="D224" s="58">
        <v>28</v>
      </c>
      <c r="E224" s="66"/>
      <c r="F224" s="66"/>
      <c r="G224" s="66"/>
      <c r="H224" s="66"/>
      <c r="I224" s="56">
        <f t="shared" si="8"/>
        <v>11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>
        <v>55</v>
      </c>
      <c r="B225" s="58">
        <v>254</v>
      </c>
      <c r="C225" s="58">
        <v>8</v>
      </c>
      <c r="D225" s="58">
        <v>28</v>
      </c>
      <c r="E225" s="66"/>
      <c r="F225" s="66"/>
      <c r="G225" s="66"/>
      <c r="H225" s="66"/>
      <c r="I225" s="56">
        <f t="shared" si="8"/>
        <v>10.199999999999999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>
        <v>60</v>
      </c>
      <c r="B226" s="58">
        <v>273</v>
      </c>
      <c r="C226" s="58">
        <v>9</v>
      </c>
      <c r="D226" s="58">
        <v>28</v>
      </c>
      <c r="E226" s="66"/>
      <c r="F226" s="66"/>
      <c r="G226" s="66"/>
      <c r="H226" s="66"/>
      <c r="I226" s="56">
        <f t="shared" si="8"/>
        <v>9.4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>
        <v>65</v>
      </c>
      <c r="B227" s="58">
        <v>289</v>
      </c>
      <c r="C227" s="58">
        <v>10</v>
      </c>
      <c r="D227" s="58">
        <v>28</v>
      </c>
      <c r="E227" s="66"/>
      <c r="F227" s="66"/>
      <c r="G227" s="66"/>
      <c r="H227" s="66"/>
      <c r="I227" s="56">
        <f t="shared" si="8"/>
        <v>8.8000000000000007</v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>
        <v>70</v>
      </c>
      <c r="B228" s="58">
        <v>302</v>
      </c>
      <c r="C228" s="58">
        <v>11</v>
      </c>
      <c r="D228" s="58">
        <v>28</v>
      </c>
      <c r="E228" s="66"/>
      <c r="F228" s="66"/>
      <c r="G228" s="66"/>
      <c r="H228" s="66"/>
      <c r="I228" s="56">
        <f t="shared" si="8"/>
        <v>8.1999999999999993</v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>
        <v>75</v>
      </c>
      <c r="B229" s="58">
        <v>312</v>
      </c>
      <c r="C229" s="58">
        <v>12</v>
      </c>
      <c r="D229" s="58">
        <v>28</v>
      </c>
      <c r="E229" s="66"/>
      <c r="F229" s="66"/>
      <c r="G229" s="66"/>
      <c r="H229" s="66"/>
      <c r="I229" s="56">
        <f t="shared" si="8"/>
        <v>7.6</v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>
        <v>80</v>
      </c>
      <c r="B230" s="58">
        <v>320</v>
      </c>
      <c r="C230" s="58">
        <v>13</v>
      </c>
      <c r="D230" s="58">
        <v>28</v>
      </c>
      <c r="E230" s="67"/>
      <c r="F230" s="67"/>
      <c r="G230" s="67"/>
      <c r="H230" s="67"/>
      <c r="I230" s="56">
        <f t="shared" si="8"/>
        <v>7.2</v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>
        <v>85</v>
      </c>
      <c r="B231" s="63">
        <v>326</v>
      </c>
      <c r="C231" s="94">
        <v>14</v>
      </c>
      <c r="D231" s="63">
        <v>28</v>
      </c>
      <c r="E231" s="57"/>
      <c r="F231" s="57"/>
      <c r="G231" s="57"/>
      <c r="H231" s="57"/>
      <c r="I231" s="56">
        <f t="shared" si="8"/>
        <v>6.8</v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>
        <v>90</v>
      </c>
      <c r="B232" s="53">
        <v>330</v>
      </c>
      <c r="C232" s="53">
        <v>15</v>
      </c>
      <c r="D232" s="53">
        <v>28</v>
      </c>
      <c r="E232" s="57"/>
      <c r="F232" s="57"/>
      <c r="G232" s="57"/>
      <c r="H232" s="57"/>
      <c r="I232" s="56">
        <f t="shared" si="8"/>
        <v>6.4</v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>
        <v>95</v>
      </c>
      <c r="B233" s="53">
        <v>332</v>
      </c>
      <c r="C233" s="53">
        <v>16</v>
      </c>
      <c r="D233" s="53">
        <v>28</v>
      </c>
      <c r="E233" s="57"/>
      <c r="F233" s="57"/>
      <c r="G233" s="57"/>
      <c r="H233" s="57"/>
      <c r="I233" s="56">
        <f t="shared" si="8"/>
        <v>6</v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>
        <v>100</v>
      </c>
      <c r="B234" s="53">
        <v>333</v>
      </c>
      <c r="C234" s="53">
        <v>17</v>
      </c>
      <c r="D234" s="53">
        <v>27</v>
      </c>
      <c r="E234" s="57"/>
      <c r="F234" s="57"/>
      <c r="G234" s="57"/>
      <c r="H234" s="57"/>
      <c r="I234" s="56">
        <f t="shared" si="8"/>
        <v>5.8</v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>
        <v>105</v>
      </c>
      <c r="B235" s="53">
        <v>333</v>
      </c>
      <c r="C235" s="53">
        <v>18</v>
      </c>
      <c r="D235" s="53">
        <v>26</v>
      </c>
      <c r="E235" s="57"/>
      <c r="F235" s="57"/>
      <c r="G235" s="57"/>
      <c r="H235" s="57"/>
      <c r="I235" s="56">
        <f t="shared" si="8"/>
        <v>5.4</v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>
        <v>110</v>
      </c>
      <c r="B236" s="53">
        <v>332</v>
      </c>
      <c r="C236" s="53">
        <v>19</v>
      </c>
      <c r="D236" s="53">
        <v>25</v>
      </c>
      <c r="E236" s="57"/>
      <c r="F236" s="57"/>
      <c r="G236" s="57"/>
      <c r="H236" s="57"/>
      <c r="I236" s="56">
        <f t="shared" si="8"/>
        <v>5</v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>
        <v>115</v>
      </c>
      <c r="B237" s="53">
        <v>330</v>
      </c>
      <c r="C237" s="53">
        <v>20</v>
      </c>
      <c r="D237" s="53">
        <v>330</v>
      </c>
      <c r="E237" s="57"/>
      <c r="F237" s="57"/>
      <c r="G237" s="57"/>
      <c r="H237" s="57"/>
      <c r="I237" s="56">
        <f t="shared" si="8"/>
        <v>4.5999999999999996</v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F17" sqref="F17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rouge d'Amérique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Chêne sessile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Erable sycomore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Châtaignier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Merisier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>Chêne pubescent</v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>Charme</v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>Tilleul</v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321.23599968992932</v>
      </c>
      <c r="T3" s="62">
        <f>IF('Données projet'!E9&gt;30,$R$33-$H$33,LOOKUP('Données projet'!$E$9,$A$3:$A$203,R3:R203)-LOOKUP('Données projet'!$E$9,$A$3:$A$203,$H$3:$H$203))</f>
        <v>388.05195847800502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439.19854273764042</v>
      </c>
      <c r="AO3" s="62">
        <f>IF('Données projet'!E10&gt;30,$AM$33-$H$33,LOOKUP('Données projet'!$E$10,$A$3:$A$203,AM3:AM203)-LOOKUP('Données projet'!$E$10,$A$3:$A$203,$H$3:$H$203))</f>
        <v>278.21741231699929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352.88510024787888</v>
      </c>
      <c r="BJ3" s="62">
        <f>IF('Données projet'!E11&gt;30,$BH$33-$H$33,LOOKUP('Données projet'!$E$11,$A$3:$A$203,BH3:BH203)-LOOKUP('Données projet'!$E$11,$A$3:$A$203,$H$3:$H$203))</f>
        <v>343.77208530767069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328.10411227536315</v>
      </c>
      <c r="CE3" s="62">
        <f>IF('Données projet'!E12&gt;30,$CC$33-$H$33,LOOKUP('Données projet'!$E$12,$A$3:$A$203,CC3:CC203)-LOOKUP('Données projet'!$E$12,$A$3:$A$203,$H$3:$H$203))</f>
        <v>320.24200483294322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288.82868507674738</v>
      </c>
      <c r="CZ3" s="62">
        <f>IF('Données projet'!E13&gt;30,$CX$33-$H$33,LOOKUP('Données projet'!$E$13,$A$3:$A$203,CX3:CX203)-LOOKUP('Données projet'!$E$13,$A$3:$A$203,$H$3:$H$203))</f>
        <v>283.48738729114024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256.66666666666669</v>
      </c>
      <c r="DT3" s="62">
        <f ca="1">AVERAGE(OFFSET($DS$3,0,0,'Données projet'!$E$14+1,1))-AVERAGE(OFFSET($H$3,0,0,'Données projet'!$E$14+1,1))</f>
        <v>487.04124684635974</v>
      </c>
      <c r="DU3" s="62">
        <f>IF('Données projet'!E14&gt;30,$DS$33-$H$33,LOOKUP('Données projet'!$E$14,$A$3:$A$203,DS3:DS203)-LOOKUP('Données projet'!$E$14,$A$3:$A$203,$H$3:$H$203))</f>
        <v>306.61893266146666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256.66666666666669</v>
      </c>
      <c r="EO3" s="62">
        <f ca="1">AVERAGE(OFFSET($EN$3,0,0,'Données projet'!$E$15+1,1))-AVERAGE(OFFSET($H$3,0,0,'Données projet'!$E$15+1,1))</f>
        <v>459.64120566196812</v>
      </c>
      <c r="EP3" s="62">
        <f>IF('Données projet'!E15&gt;30,$EN$33-$H$33,LOOKUP('Données projet'!$E$15,$A$3:$A$203,EN3:EN203)-LOOKUP('Données projet'!$E$15,$A$3:$A$203,$H$3:$H$203))</f>
        <v>290.39826583283588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2">
        <f>FH3+(EZ3+FA3)*44/12</f>
        <v>256.66666666666669</v>
      </c>
      <c r="FJ3" s="62">
        <f ca="1">AVERAGE(OFFSET($FI$3,0,0,'Données projet'!$E$16+1,1))-AVERAGE(OFFSET($H$3,0,0,'Données projet'!$E$16+1,1))</f>
        <v>335.83558218229564</v>
      </c>
      <c r="FK3" s="62">
        <f>IF('Données projet'!E16&gt;30,$FI$33-$H$33,LOOKUP('Données projet'!$E$16,$A$3:$A$203,FI3:FI203)-LOOKUP('Données projet'!$E$16,$A$3:$A$203,$H$3:$H$203))</f>
        <v>217.08423061559648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5.8</v>
      </c>
      <c r="N4" s="14">
        <f>IF('Données projet'!$A$36&gt;35,N3+M4-V3,IF(A4&lt;'Données projet'!$A$36,$K$205^A4,IF(A4='Données projet'!$A$36,'Données projet'!$B$36,N3+M4-V3)))</f>
        <v>1.3467943429205997</v>
      </c>
      <c r="O4" s="14">
        <f>N4*VLOOKUP('Données projet'!$B$9,Paramètres!$A$1:$I$89,3,0)*VLOOKUP('Données projet'!$B$9,Paramètres!$A$1:$I$89,5,0)</f>
        <v>1.1765595379754361</v>
      </c>
      <c r="P4" s="14">
        <f>EXP(-1.0587+0.8836*LN(O4)+0.284)</f>
        <v>0.53204273185561757</v>
      </c>
      <c r="Q4" s="22">
        <f t="shared" ref="Q4:Q34" si="2">(O4+P4)*0.475*44/12</f>
        <v>2.9758156199557515</v>
      </c>
      <c r="R4" s="62">
        <f t="shared" si="0"/>
        <v>260.86470450884462</v>
      </c>
      <c r="S4" s="62">
        <f ca="1">AVERAGE(OFFSET($R$3,0,0,'Données projet'!$E$9+1,1))-AVERAGE(OFFSET($H$3,0,0,'Données projet'!$E$9+1,1))</f>
        <v>321.23599968992932</v>
      </c>
      <c r="T4" s="62">
        <f>$T$3</f>
        <v>388.05195847800502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3.65</v>
      </c>
      <c r="AI4" s="14">
        <f>IF('Données projet'!$A$62&gt;35,AI3+AH4-AQ3,IF(A4&lt;'Données projet'!$A$62,$AF$205^A4,IF(A4='Données projet'!$A$62,'Données projet'!$B$62,AI3+AH4-AQ3)))</f>
        <v>1.2392705892426346</v>
      </c>
      <c r="AJ4" s="14">
        <f>AI4*VLOOKUP('Données projet'!$B$10,Paramètres!$A$1:$I$89,3,0)*VLOOKUP('Données projet'!$B$10,Paramètres!$A$1:$I$89,5,0)</f>
        <v>1.1212920291467359</v>
      </c>
      <c r="AK4" s="14">
        <f>EXP(-1.0587+0.8836*LN(AJ4)+0.284)</f>
        <v>0.50989827066551541</v>
      </c>
      <c r="AL4" s="22">
        <f t="shared" ref="AL4:AL67" si="4">(AJ4+AK4)*0.475*44/12</f>
        <v>2.8409897721730037</v>
      </c>
      <c r="AM4" s="62">
        <f t="shared" ref="AM4:AM67" si="5">AL4+(AD4+AE4)*44/12</f>
        <v>260.72987866106189</v>
      </c>
      <c r="AN4" s="62">
        <f ca="1">AVERAGE(OFFSET($AM$3,0,0,'Données projet'!$E$10+1,1))-AVERAGE(OFFSET($H$3,0,0,'Données projet'!$E$10+1,1))</f>
        <v>439.19854273764042</v>
      </c>
      <c r="AO4" s="62">
        <f>$AO$3</f>
        <v>278.21741231699929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1.1000000000000001</v>
      </c>
      <c r="BD4" s="13">
        <f>IF('Données projet'!$A$88&gt;35,BD3+BC4-BL3,IF(A4&lt;'Données projet'!$A$88,$BA$205^A4,IF(A4='Données projet'!$A$88,'Données projet'!$B$88,BD3+BC4-BL3)))</f>
        <v>1.2709816152101407</v>
      </c>
      <c r="BE4" s="14">
        <f>BD4*VLOOKUP('Données projet'!$B$11,Paramètres!$A$1:$I$89,3,0)*VLOOKUP('Données projet'!$B$11,Paramètres!$A$1:$I$89,5,0)</f>
        <v>1.0111929730611879</v>
      </c>
      <c r="BF4" s="14">
        <f>EXP(-1.0587+0.8836*LN(BE4)+0.284)</f>
        <v>0.46539683474213156</v>
      </c>
      <c r="BG4" s="22">
        <f t="shared" ref="BG4:BG67" si="7">(BE4+BF4)*0.475*44/12</f>
        <v>2.5717272485907814</v>
      </c>
      <c r="BH4" s="62">
        <f t="shared" ref="BH4:BH67" si="8">BG4+(AY4+AZ4)*44/12</f>
        <v>260.46061613747963</v>
      </c>
      <c r="BI4" s="62">
        <f ca="1">AVERAGE(OFFSET($BH$3,0,0,'Données projet'!$E$11+1,1))-AVERAGE(OFFSET($H$3,0,0,'Données projet'!$E$11+1,1))</f>
        <v>352.88510024787888</v>
      </c>
      <c r="BJ4" s="62">
        <f>$BJ$3</f>
        <v>343.77208530767069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1.1000000000000001</v>
      </c>
      <c r="BY4" s="13">
        <f>IF('Données projet'!$A$114&gt;35,BY3+BX4-CG3,IF(A4&lt;'Données projet'!$A$114,$BV$205^A4,IF(A4='Données projet'!$A$114,'Données projet'!$B$114,BY3+BX4-CG3)))</f>
        <v>1.2709816152101407</v>
      </c>
      <c r="BZ4" s="14">
        <f>BY4*VLOOKUP('Données projet'!$B$12,Paramètres!$A$1:$I$89,3,0)*VLOOKUP('Données projet'!$B$12,Paramètres!$A$1:$I$89,5,0)</f>
        <v>0.93188372027207511</v>
      </c>
      <c r="CA4" s="14">
        <f>EXP(-1.0587+0.8836*LN(BZ4)+0.284)</f>
        <v>0.43299221190803017</v>
      </c>
      <c r="CB4" s="22">
        <f t="shared" ref="CB4:CB67" si="10">(BZ4+CA4)*0.475*44/12</f>
        <v>2.3771589152136832</v>
      </c>
      <c r="CC4" s="62">
        <f t="shared" ref="CC4:CC67" si="11">CB4+(BT4+BU4)*44/12</f>
        <v>260.26604780410253</v>
      </c>
      <c r="CD4" s="62">
        <f ca="1">AVERAGE(OFFSET($CC$3,0,0,'Données projet'!$E$12+1,1))-AVERAGE(OFFSET($H$3,0,0,'Données projet'!$E$12+1,1))</f>
        <v>328.10411227536315</v>
      </c>
      <c r="CE4" s="62">
        <f>$CE$3</f>
        <v>320.24200483294322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2.6666666666666665</v>
      </c>
      <c r="CT4" s="13">
        <f>IF('Données projet'!$A$140&gt;35,CT3+CS4-DB3,IF(A4&lt;'Données projet'!$A$140,$CQ$205^A4,IF(A4='Données projet'!$A$140,'Données projet'!$B$140,CT3+CS4-DB3)))</f>
        <v>1.2788040393997409</v>
      </c>
      <c r="CU4" s="18">
        <f>CT4*VLOOKUP('Données projet'!$B$13,Paramètres!$A$1:$I$89,3,0)*VLOOKUP('Données projet'!$B$13,Paramètres!$A$1:$I$89,5,0)</f>
        <v>0.99746715073179792</v>
      </c>
      <c r="CV4" s="14">
        <f>EXP(-1.0587+0.8836*LN(CU4)+0.284)</f>
        <v>0.45981048445793882</v>
      </c>
      <c r="CW4" s="22">
        <f t="shared" ref="CW4:CW67" si="13">(CU4+CV4)*0.475*44/12</f>
        <v>2.5380918812887914</v>
      </c>
      <c r="CX4" s="62">
        <f t="shared" ref="CX4:CX67" si="14">CW4+(CO4+CP4)*44/12</f>
        <v>260.42698077017764</v>
      </c>
      <c r="CY4" s="62">
        <f ca="1">AVERAGE(OFFSET($CX$3,0,0,'Données projet'!$E$13+1,1))-AVERAGE(OFFSET($H$3,0,0,'Données projet'!$E$13+1,1))</f>
        <v>288.82868507674738</v>
      </c>
      <c r="CZ4" s="62">
        <f>$CZ$3</f>
        <v>283.48738729114024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3.65</v>
      </c>
      <c r="DO4" s="13">
        <f>IF('Données projet'!$A$166&gt;35,DO3+DN4-DW3,IF(A4&lt;'Données projet'!$A$166,$DL$205^A4,IF(A4='Données projet'!$A$166,'Données projet'!$B$166,DO3+DN4-DW3)))</f>
        <v>1.2392705892426346</v>
      </c>
      <c r="DP4" s="18">
        <f>DO4*VLOOKUP('Données projet'!$B$14,Paramètres!$A$1:$I$89,3,0)*VLOOKUP('Données projet'!$B$14,Paramètres!$A$1:$I$89,5,0)</f>
        <v>1.2566203774920315</v>
      </c>
      <c r="DQ4" s="14">
        <f>EXP(-1.0587+0.8836*LN(DP4)+0.284)</f>
        <v>0.56390871417545174</v>
      </c>
      <c r="DR4" s="22">
        <f t="shared" ref="DR4:DR67" si="16">(DP4+DQ4)*0.475*44/12</f>
        <v>3.1707548346542</v>
      </c>
      <c r="DS4" s="62">
        <f t="shared" ref="DS4:DS67" si="17">DR4+(DJ4+DK4)*44/12</f>
        <v>261.05964372354305</v>
      </c>
      <c r="DT4" s="62">
        <f ca="1">AVERAGE(OFFSET($DS$3,0,0,'Données projet'!$E$14+1,1))-AVERAGE(OFFSET($H$3,0,0,'Données projet'!$E$14+1,1))</f>
        <v>487.04124684635974</v>
      </c>
      <c r="DU4" s="62">
        <f>$DU$3</f>
        <v>306.61893266146666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3.65</v>
      </c>
      <c r="EJ4" s="13">
        <f>IF('Données projet'!$A$192&gt;35,EJ3+EI4-ER3,IF(A4&lt;'Données projet'!$A$192,$EG$205^A4,IF(A4='Données projet'!$A$192,'Données projet'!$B$192,EJ3+EI4-ER3)))</f>
        <v>1.2392705892426346</v>
      </c>
      <c r="EK4" s="18">
        <f>EJ4*VLOOKUP('Données projet'!$B$15,Paramètres!$A$1:$I$89,3,0)*VLOOKUP('Données projet'!$B$15,Paramètres!$A$1:$I$89,5,0)</f>
        <v>1.1792898927232911</v>
      </c>
      <c r="EL4" s="14">
        <f>EXP(-1.0587+0.8836*LN(EK4)+0.284)</f>
        <v>0.53313354102797472</v>
      </c>
      <c r="EM4" s="22">
        <f t="shared" ref="EM4:EM67" si="19">(EK4+EL4)*0.475*44/12</f>
        <v>2.9824708137834541</v>
      </c>
      <c r="EN4" s="62">
        <f t="shared" ref="EN4:EN67" si="20">EM4+(EE4+EF4)*44/12</f>
        <v>260.87135970267229</v>
      </c>
      <c r="EO4" s="62">
        <f ca="1">AVERAGE(OFFSET($EN$3,0,0,'Données projet'!$E$15+1,1))-AVERAGE(OFFSET($H$3,0,0,'Données projet'!$E$15+1,1))</f>
        <v>459.64120566196812</v>
      </c>
      <c r="EP4" s="62">
        <f>$EP$3</f>
        <v>290.39826583283588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3.65</v>
      </c>
      <c r="FE4" s="13">
        <f>IF('Données projet'!$A$218&gt;35,FE3+FD4-FM3,IF(A4&lt;'Données projet'!$A$218,$FB$205^A4,IF(A4='Données projet'!$A$218,'Données projet'!$B$218,FE3+FD4-FM3)))</f>
        <v>1.2392705892426346</v>
      </c>
      <c r="FF4" s="18">
        <f>FE4*VLOOKUP('Données projet'!$B$16,Paramètres!$A$1:$I$89,3,0)*VLOOKUP('Données projet'!$B$16,Paramètres!$A$1:$I$89,5,0)</f>
        <v>0.83130271126395927</v>
      </c>
      <c r="FG4" s="14">
        <f>EXP(-1.0587+0.8836*LN(FF4)+0.284)</f>
        <v>0.39142746146383206</v>
      </c>
      <c r="FH4" s="22">
        <f t="shared" ref="FH4:FH67" si="22">(FF4+FG4)*0.475*44/12</f>
        <v>2.1295883841675698</v>
      </c>
      <c r="FI4" s="62">
        <f t="shared" ref="FI4:FI67" si="23">FH4+(EZ4+FA4)*44/12</f>
        <v>260.01847727305642</v>
      </c>
      <c r="FJ4" s="62">
        <f ca="1">AVERAGE(OFFSET($FI$3,0,0,'Données projet'!$E$16+1,1))-AVERAGE(OFFSET($H$3,0,0,'Données projet'!$E$16+1,1))</f>
        <v>335.83558218229564</v>
      </c>
      <c r="FK4" s="62">
        <f>$FK$3</f>
        <v>217.08423061559648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5.8</v>
      </c>
      <c r="N5" s="14">
        <f>IF('Données projet'!$A$36&gt;35,N4+M5-V4,IF(A5&lt;'Données projet'!$A$36,$K$205^A5,IF(A5='Données projet'!$A$36,'Données projet'!$B$36,N4+M5-V4)))</f>
        <v>1.81385500212293</v>
      </c>
      <c r="O5" s="14">
        <f>N5*VLOOKUP('Données projet'!$B$9,Paramètres!$A$1:$I$89,3,0)*VLOOKUP('Données projet'!$B$9,Paramètres!$A$1:$I$89,5,0)</f>
        <v>1.5845837298545919</v>
      </c>
      <c r="P5" s="14">
        <f t="shared" ref="P5:P68" si="33">EXP(-1.0587+0.8836*LN(O5)+0.284)</f>
        <v>0.69214506839939893</v>
      </c>
      <c r="Q5" s="22">
        <f t="shared" si="2"/>
        <v>3.9653026569590337</v>
      </c>
      <c r="R5" s="62">
        <f t="shared" si="0"/>
        <v>263.07641376807015</v>
      </c>
      <c r="S5" s="62">
        <f ca="1">AVERAGE(OFFSET($R$3,0,0,'Données projet'!$E$9+1,1))-AVERAGE(OFFSET($H$3,0,0,'Données projet'!$E$9+1,1))</f>
        <v>321.23599968992932</v>
      </c>
      <c r="T5" s="62">
        <f t="shared" ref="T5:T68" si="34">$T$3</f>
        <v>388.05195847800502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3.65</v>
      </c>
      <c r="AI5" s="14">
        <f>IF('Données projet'!$A$62&gt;35,AI4+AH5-AQ4,IF(A5&lt;'Données projet'!$A$62,$AF$205^A5,IF(A5='Données projet'!$A$62,'Données projet'!$B$62,AI4+AH5-AQ4)))</f>
        <v>1.5357915933617867</v>
      </c>
      <c r="AJ5" s="14">
        <f>AI5*VLOOKUP('Données projet'!$B$10,Paramètres!$A$1:$I$89,3,0)*VLOOKUP('Données projet'!$B$10,Paramètres!$A$1:$I$89,5,0)</f>
        <v>1.3895842336737447</v>
      </c>
      <c r="AK5" s="14">
        <f t="shared" ref="AK5:AK68" si="35">EXP(-1.0587+0.8836*LN(AJ5)+0.284)</f>
        <v>0.61631841327304715</v>
      </c>
      <c r="AL5" s="22">
        <f t="shared" si="4"/>
        <v>3.4936137767656628</v>
      </c>
      <c r="AM5" s="62">
        <f t="shared" si="5"/>
        <v>262.60472488787678</v>
      </c>
      <c r="AN5" s="62">
        <f ca="1">AVERAGE(OFFSET($AM$3,0,0,'Données projet'!$E$10+1,1))-AVERAGE(OFFSET($H$3,0,0,'Données projet'!$E$10+1,1))</f>
        <v>439.19854273764042</v>
      </c>
      <c r="AO5" s="62">
        <f t="shared" ref="AO5:AO68" si="36">$AO$3</f>
        <v>278.21741231699929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1.1000000000000001</v>
      </c>
      <c r="BD5" s="13">
        <f>IF('Données projet'!$A$88&gt;35,BD4+BC5-BL4,IF(A5&lt;'Données projet'!$A$88,$BA$205^A5,IF(A5='Données projet'!$A$88,'Données projet'!$B$88,BD4+BC5-BL4)))</f>
        <v>1.6153942662021783</v>
      </c>
      <c r="BE5" s="14">
        <f>BD5*VLOOKUP('Données projet'!$B$11,Paramètres!$A$1:$I$89,3,0)*VLOOKUP('Données projet'!$B$11,Paramètres!$A$1:$I$89,5,0)</f>
        <v>1.2852076781904531</v>
      </c>
      <c r="BF5" s="14">
        <f t="shared" ref="BF5:BF68" si="37">EXP(-1.0587+0.8836*LN(BE5)+0.284)</f>
        <v>0.57522914588482876</v>
      </c>
      <c r="BG5" s="22">
        <f t="shared" si="7"/>
        <v>3.2402608019311159</v>
      </c>
      <c r="BH5" s="62">
        <f t="shared" si="8"/>
        <v>262.35137191304227</v>
      </c>
      <c r="BI5" s="62">
        <f ca="1">AVERAGE(OFFSET($BH$3,0,0,'Données projet'!$E$11+1,1))-AVERAGE(OFFSET($H$3,0,0,'Données projet'!$E$11+1,1))</f>
        <v>352.88510024787888</v>
      </c>
      <c r="BJ5" s="62">
        <f t="shared" ref="BJ5:BJ68" si="38">$BJ$3</f>
        <v>343.77208530767069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1.1000000000000001</v>
      </c>
      <c r="BY5" s="13">
        <f>IF('Données projet'!$A$114&gt;35,BY4+BX5-CG4,IF(A5&lt;'Données projet'!$A$114,$BV$205^A5,IF(A5='Données projet'!$A$114,'Données projet'!$B$114,BY4+BX5-CG4)))</f>
        <v>1.6153942662021783</v>
      </c>
      <c r="BZ5" s="14">
        <f>BY5*VLOOKUP('Données projet'!$B$12,Paramètres!$A$1:$I$89,3,0)*VLOOKUP('Données projet'!$B$12,Paramètres!$A$1:$I$89,5,0)</f>
        <v>1.1844070759794372</v>
      </c>
      <c r="CA5" s="14">
        <f t="shared" ref="CA5:CA68" si="39">EXP(-1.0587+0.8836*LN(BZ5)+0.284)</f>
        <v>0.53517712549257934</v>
      </c>
      <c r="CB5" s="22">
        <f t="shared" si="10"/>
        <v>2.9949424842304286</v>
      </c>
      <c r="CC5" s="62">
        <f t="shared" si="11"/>
        <v>262.10605359534156</v>
      </c>
      <c r="CD5" s="62">
        <f ca="1">AVERAGE(OFFSET($CC$3,0,0,'Données projet'!$E$12+1,1))-AVERAGE(OFFSET($H$3,0,0,'Données projet'!$E$12+1,1))</f>
        <v>328.10411227536315</v>
      </c>
      <c r="CE5" s="62">
        <f t="shared" ref="CE5:CE68" si="40">$CE$3</f>
        <v>320.24200483294322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2.6666666666666665</v>
      </c>
      <c r="CT5" s="13">
        <f>IF('Données projet'!$A$140&gt;35,CT4+CS5-DB4,IF(A5&lt;'Données projet'!$A$140,$CQ$205^A5,IF(A5='Données projet'!$A$140,'Données projet'!$B$140,CT4+CS5-DB4)))</f>
        <v>1.6353397711850939</v>
      </c>
      <c r="CU5" s="18">
        <f>CT5*VLOOKUP('Données projet'!$B$13,Paramètres!$A$1:$I$89,3,0)*VLOOKUP('Données projet'!$B$13,Paramètres!$A$1:$I$89,5,0)</f>
        <v>1.2755650215243732</v>
      </c>
      <c r="CV5" s="14">
        <f t="shared" ref="CV5:CV68" si="41">EXP(-1.0587+0.8836*LN(CU5)+0.284)</f>
        <v>0.57141400910743001</v>
      </c>
      <c r="CW5" s="22">
        <f t="shared" si="13"/>
        <v>3.2168218116837237</v>
      </c>
      <c r="CX5" s="62">
        <f t="shared" si="14"/>
        <v>262.32793292279484</v>
      </c>
      <c r="CY5" s="62">
        <f ca="1">AVERAGE(OFFSET($CX$3,0,0,'Données projet'!$E$13+1,1))-AVERAGE(OFFSET($H$3,0,0,'Données projet'!$E$13+1,1))</f>
        <v>288.82868507674738</v>
      </c>
      <c r="CZ5" s="62">
        <f t="shared" ref="CZ5:CZ68" si="42">$CZ$3</f>
        <v>283.48738729114024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3.65</v>
      </c>
      <c r="DO5" s="13">
        <f>IF('Données projet'!$A$166&gt;35,DO4+DN5-DW4,IF(A5&lt;'Données projet'!$A$166,$DL$205^A5,IF(A5='Données projet'!$A$166,'Données projet'!$B$166,DO4+DN5-DW4)))</f>
        <v>1.5357915933617867</v>
      </c>
      <c r="DP5" s="18">
        <f>DO5*VLOOKUP('Données projet'!$B$14,Paramètres!$A$1:$I$89,3,0)*VLOOKUP('Données projet'!$B$14,Paramètres!$A$1:$I$89,5,0)</f>
        <v>1.5572926756688519</v>
      </c>
      <c r="DQ5" s="14">
        <f t="shared" ref="DQ5:DQ68" si="43">EXP(-1.0587+0.8836*LN(DP5)+0.284)</f>
        <v>0.68160129960402205</v>
      </c>
      <c r="DR5" s="22">
        <f t="shared" si="16"/>
        <v>3.8994070069335893</v>
      </c>
      <c r="DS5" s="62">
        <f t="shared" si="17"/>
        <v>263.01051811804473</v>
      </c>
      <c r="DT5" s="62">
        <f ca="1">AVERAGE(OFFSET($DS$3,0,0,'Données projet'!$E$14+1,1))-AVERAGE(OFFSET($H$3,0,0,'Données projet'!$E$14+1,1))</f>
        <v>487.04124684635974</v>
      </c>
      <c r="DU5" s="62">
        <f t="shared" ref="DU5:DU68" si="44">$DU$3</f>
        <v>306.61893266146666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3.65</v>
      </c>
      <c r="EJ5" s="13">
        <f>IF('Données projet'!$A$192&gt;35,EJ4+EI5-ER4,IF(A5&lt;'Données projet'!$A$192,$EG$205^A5,IF(A5='Données projet'!$A$192,'Données projet'!$B$192,EJ4+EI5-ER4)))</f>
        <v>1.5357915933617867</v>
      </c>
      <c r="EK5" s="18">
        <f>EJ5*VLOOKUP('Données projet'!$B$15,Paramètres!$A$1:$I$89,3,0)*VLOOKUP('Données projet'!$B$15,Paramètres!$A$1:$I$89,5,0)</f>
        <v>1.4614592802430761</v>
      </c>
      <c r="EL5" s="14">
        <f t="shared" ref="EL5:EL68" si="45">EXP(-1.0587+0.8836*LN(EK5)+0.284)</f>
        <v>0.64440308385463263</v>
      </c>
      <c r="EM5" s="22">
        <f t="shared" si="19"/>
        <v>3.6677102841368421</v>
      </c>
      <c r="EN5" s="62">
        <f t="shared" si="20"/>
        <v>262.77882139524797</v>
      </c>
      <c r="EO5" s="62">
        <f ca="1">AVERAGE(OFFSET($EN$3,0,0,'Données projet'!$E$15+1,1))-AVERAGE(OFFSET($H$3,0,0,'Données projet'!$E$15+1,1))</f>
        <v>459.64120566196812</v>
      </c>
      <c r="EP5" s="62">
        <f t="shared" ref="EP5:EP68" si="46">$EP$3</f>
        <v>290.39826583283588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3.65</v>
      </c>
      <c r="FE5" s="13">
        <f>IF('Données projet'!$A$218&gt;35,FE4+FD5-FM4,IF(A5&lt;'Données projet'!$A$218,$FB$205^A5,IF(A5='Données projet'!$A$218,'Données projet'!$B$218,FE4+FD5-FM4)))</f>
        <v>1.5357915933617867</v>
      </c>
      <c r="FF5" s="18">
        <f>FE5*VLOOKUP('Données projet'!$B$16,Paramètres!$A$1:$I$89,3,0)*VLOOKUP('Données projet'!$B$16,Paramètres!$A$1:$I$89,5,0)</f>
        <v>1.0302090008270866</v>
      </c>
      <c r="FG5" s="14">
        <f t="shared" ref="FG5:FG68" si="47">EXP(-1.0587+0.8836*LN(FF5)+0.284)</f>
        <v>0.47312173003845642</v>
      </c>
      <c r="FH5" s="22">
        <f t="shared" si="22"/>
        <v>2.6183010229241539</v>
      </c>
      <c r="FI5" s="62">
        <f t="shared" si="23"/>
        <v>261.72941213403527</v>
      </c>
      <c r="FJ5" s="62">
        <f ca="1">AVERAGE(OFFSET($FI$3,0,0,'Données projet'!$E$16+1,1))-AVERAGE(OFFSET($H$3,0,0,'Données projet'!$E$16+1,1))</f>
        <v>335.83558218229564</v>
      </c>
      <c r="FK5" s="62">
        <f t="shared" ref="FK5:FK68" si="48">$FK$3</f>
        <v>217.08423061559648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5.8</v>
      </c>
      <c r="N6" s="14">
        <f>IF('Données projet'!$A$36&gt;35,N5+M6-V5,IF(A6&lt;'Données projet'!$A$36,$K$205^A6,IF(A6='Données projet'!$A$36,'Données projet'!$B$36,N5+M6-V5)))</f>
        <v>2.4428896557373947</v>
      </c>
      <c r="O6" s="14">
        <f>N6*VLOOKUP('Données projet'!$B$9,Paramètres!$A$1:$I$89,3,0)*VLOOKUP('Données projet'!$B$9,Paramètres!$A$1:$I$89,5,0)</f>
        <v>2.1341084032521884</v>
      </c>
      <c r="P6" s="14">
        <f t="shared" si="33"/>
        <v>0.90042541139273424</v>
      </c>
      <c r="Q6" s="22">
        <f t="shared" si="2"/>
        <v>5.2851463938399075</v>
      </c>
      <c r="R6" s="62">
        <f t="shared" si="0"/>
        <v>265.61847972717322</v>
      </c>
      <c r="S6" s="62">
        <f ca="1">AVERAGE(OFFSET($R$3,0,0,'Données projet'!$E$9+1,1))-AVERAGE(OFFSET($H$3,0,0,'Données projet'!$E$9+1,1))</f>
        <v>321.23599968992932</v>
      </c>
      <c r="T6" s="62">
        <f t="shared" si="34"/>
        <v>388.05195847800502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3.65</v>
      </c>
      <c r="AI6" s="14">
        <f>IF('Données projet'!$A$62&gt;35,AI5+AH6-AQ5,IF(A6&lt;'Données projet'!$A$62,$AF$205^A6,IF(A6='Données projet'!$A$62,'Données projet'!$B$62,AI5+AH6-AQ5)))</f>
        <v>1.9032613528593461</v>
      </c>
      <c r="AJ6" s="14">
        <f>AI6*VLOOKUP('Données projet'!$B$10,Paramètres!$A$1:$I$89,3,0)*VLOOKUP('Données projet'!$B$10,Paramètres!$A$1:$I$89,5,0)</f>
        <v>1.7220708720671365</v>
      </c>
      <c r="AK6" s="14">
        <f t="shared" si="35"/>
        <v>0.74494935243383209</v>
      </c>
      <c r="AL6" s="22">
        <f t="shared" si="4"/>
        <v>4.2967268910058536</v>
      </c>
      <c r="AM6" s="62">
        <f t="shared" si="5"/>
        <v>264.63006022433916</v>
      </c>
      <c r="AN6" s="62">
        <f ca="1">AVERAGE(OFFSET($AM$3,0,0,'Données projet'!$E$10+1,1))-AVERAGE(OFFSET($H$3,0,0,'Données projet'!$E$10+1,1))</f>
        <v>439.19854273764042</v>
      </c>
      <c r="AO6" s="62">
        <f t="shared" si="36"/>
        <v>278.21741231699929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1.1000000000000001</v>
      </c>
      <c r="BD6" s="13">
        <f>IF('Données projet'!$A$88&gt;35,BD5+BC6-BL5,IF(A6&lt;'Données projet'!$A$88,$BA$205^A6,IF(A6='Données projet'!$A$88,'Données projet'!$B$88,BD5+BC6-BL5)))</f>
        <v>2.0531364136588448</v>
      </c>
      <c r="BE6" s="14">
        <f>BD6*VLOOKUP('Données projet'!$B$11,Paramètres!$A$1:$I$89,3,0)*VLOOKUP('Données projet'!$B$11,Paramètres!$A$1:$I$89,5,0)</f>
        <v>1.6334753307069771</v>
      </c>
      <c r="BF6" s="14">
        <f t="shared" si="37"/>
        <v>0.71098156578295024</v>
      </c>
      <c r="BG6" s="22">
        <f t="shared" si="7"/>
        <v>4.0832624280532892</v>
      </c>
      <c r="BH6" s="62">
        <f t="shared" si="8"/>
        <v>264.41659576138659</v>
      </c>
      <c r="BI6" s="62">
        <f ca="1">AVERAGE(OFFSET($BH$3,0,0,'Données projet'!$E$11+1,1))-AVERAGE(OFFSET($H$3,0,0,'Données projet'!$E$11+1,1))</f>
        <v>352.88510024787888</v>
      </c>
      <c r="BJ6" s="62">
        <f t="shared" si="38"/>
        <v>343.77208530767069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1.1000000000000001</v>
      </c>
      <c r="BY6" s="13">
        <f>IF('Données projet'!$A$114&gt;35,BY5+BX6-CG5,IF(A6&lt;'Données projet'!$A$114,$BV$205^A6,IF(A6='Données projet'!$A$114,'Données projet'!$B$114,BY5+BX6-CG5)))</f>
        <v>2.0531364136588448</v>
      </c>
      <c r="BZ6" s="14">
        <f>BY6*VLOOKUP('Données projet'!$B$12,Paramètres!$A$1:$I$89,3,0)*VLOOKUP('Données projet'!$B$12,Paramètres!$A$1:$I$89,5,0)</f>
        <v>1.5053596184946649</v>
      </c>
      <c r="CA6" s="14">
        <f t="shared" si="39"/>
        <v>0.66147738405820555</v>
      </c>
      <c r="CB6" s="22">
        <f t="shared" si="10"/>
        <v>3.7739077794462492</v>
      </c>
      <c r="CC6" s="62">
        <f t="shared" si="11"/>
        <v>264.10724111277955</v>
      </c>
      <c r="CD6" s="62">
        <f ca="1">AVERAGE(OFFSET($CC$3,0,0,'Données projet'!$E$12+1,1))-AVERAGE(OFFSET($H$3,0,0,'Données projet'!$E$12+1,1))</f>
        <v>328.10411227536315</v>
      </c>
      <c r="CE6" s="62">
        <f t="shared" si="40"/>
        <v>320.24200483294322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2.6666666666666665</v>
      </c>
      <c r="CT6" s="13">
        <f>IF('Données projet'!$A$140&gt;35,CT5+CS6-DB5,IF(A6&lt;'Données projet'!$A$140,$CQ$205^A6,IF(A6='Données projet'!$A$140,'Données projet'!$B$140,CT5+CS6-DB5)))</f>
        <v>2.0912791051825459</v>
      </c>
      <c r="CU6" s="18">
        <f>CT6*VLOOKUP('Données projet'!$B$13,Paramètres!$A$1:$I$89,3,0)*VLOOKUP('Données projet'!$B$13,Paramètres!$A$1:$I$89,5,0)</f>
        <v>1.6311977020423858</v>
      </c>
      <c r="CV6" s="14">
        <f t="shared" si="41"/>
        <v>0.71010553443370616</v>
      </c>
      <c r="CW6" s="22">
        <f t="shared" si="13"/>
        <v>4.0777698035291934</v>
      </c>
      <c r="CX6" s="62">
        <f t="shared" si="14"/>
        <v>264.41110313686249</v>
      </c>
      <c r="CY6" s="62">
        <f ca="1">AVERAGE(OFFSET($CX$3,0,0,'Données projet'!$E$13+1,1))-AVERAGE(OFFSET($H$3,0,0,'Données projet'!$E$13+1,1))</f>
        <v>288.82868507674738</v>
      </c>
      <c r="CZ6" s="62">
        <f t="shared" si="42"/>
        <v>283.48738729114024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3.65</v>
      </c>
      <c r="DO6" s="13">
        <f>IF('Données projet'!$A$166&gt;35,DO5+DN6-DW5,IF(A6&lt;'Données projet'!$A$166,$DL$205^A6,IF(A6='Données projet'!$A$166,'Données projet'!$B$166,DO5+DN6-DW5)))</f>
        <v>1.9032613528593461</v>
      </c>
      <c r="DP6" s="18">
        <f>DO6*VLOOKUP('Données projet'!$B$14,Paramètres!$A$1:$I$89,3,0)*VLOOKUP('Données projet'!$B$14,Paramètres!$A$1:$I$89,5,0)</f>
        <v>1.9299070117993768</v>
      </c>
      <c r="DQ6" s="14">
        <f t="shared" si="43"/>
        <v>0.82385733708903885</v>
      </c>
      <c r="DR6" s="22">
        <f t="shared" si="16"/>
        <v>4.7961395743139903</v>
      </c>
      <c r="DS6" s="62">
        <f t="shared" si="17"/>
        <v>265.12947290764731</v>
      </c>
      <c r="DT6" s="62">
        <f ca="1">AVERAGE(OFFSET($DS$3,0,0,'Données projet'!$E$14+1,1))-AVERAGE(OFFSET($H$3,0,0,'Données projet'!$E$14+1,1))</f>
        <v>487.04124684635974</v>
      </c>
      <c r="DU6" s="62">
        <f t="shared" si="44"/>
        <v>306.61893266146666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3.65</v>
      </c>
      <c r="EJ6" s="13">
        <f>IF('Données projet'!$A$192&gt;35,EJ5+EI6-ER5,IF(A6&lt;'Données projet'!$A$192,$EG$205^A6,IF(A6='Données projet'!$A$192,'Données projet'!$B$192,EJ5+EI6-ER5)))</f>
        <v>1.9032613528593461</v>
      </c>
      <c r="EK6" s="18">
        <f>EJ6*VLOOKUP('Données projet'!$B$15,Paramètres!$A$1:$I$89,3,0)*VLOOKUP('Données projet'!$B$15,Paramètres!$A$1:$I$89,5,0)</f>
        <v>1.8111435033809535</v>
      </c>
      <c r="EL6" s="14">
        <f t="shared" si="45"/>
        <v>0.77889553465474304</v>
      </c>
      <c r="EM6" s="22">
        <f t="shared" si="19"/>
        <v>4.5109846579121706</v>
      </c>
      <c r="EN6" s="62">
        <f t="shared" si="20"/>
        <v>264.84431799124548</v>
      </c>
      <c r="EO6" s="62">
        <f ca="1">AVERAGE(OFFSET($EN$3,0,0,'Données projet'!$E$15+1,1))-AVERAGE(OFFSET($H$3,0,0,'Données projet'!$E$15+1,1))</f>
        <v>459.64120566196812</v>
      </c>
      <c r="EP6" s="62">
        <f t="shared" si="46"/>
        <v>290.39826583283588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3.65</v>
      </c>
      <c r="FE6" s="13">
        <f>IF('Données projet'!$A$218&gt;35,FE5+FD6-FM5,IF(A6&lt;'Données projet'!$A$218,$FB$205^A6,IF(A6='Données projet'!$A$218,'Données projet'!$B$218,FE5+FD6-FM5)))</f>
        <v>1.9032613528593461</v>
      </c>
      <c r="FF6" s="18">
        <f>FE6*VLOOKUP('Données projet'!$B$16,Paramètres!$A$1:$I$89,3,0)*VLOOKUP('Données projet'!$B$16,Paramètres!$A$1:$I$89,5,0)</f>
        <v>1.2767077154980495</v>
      </c>
      <c r="FG6" s="14">
        <f t="shared" si="47"/>
        <v>0.57186629317592041</v>
      </c>
      <c r="FH6" s="22">
        <f t="shared" si="22"/>
        <v>3.219599731773831</v>
      </c>
      <c r="FI6" s="62">
        <f t="shared" si="23"/>
        <v>263.55293306510714</v>
      </c>
      <c r="FJ6" s="62">
        <f ca="1">AVERAGE(OFFSET($FI$3,0,0,'Données projet'!$E$16+1,1))-AVERAGE(OFFSET($H$3,0,0,'Données projet'!$E$16+1,1))</f>
        <v>335.83558218229564</v>
      </c>
      <c r="FK6" s="62">
        <f t="shared" si="48"/>
        <v>217.08423061559648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5.8</v>
      </c>
      <c r="N7" s="14">
        <f>IF('Données projet'!$A$36&gt;35,N6+M7-V6,IF(A7&lt;'Données projet'!$A$36,$K$205^A7,IF(A7='Données projet'!$A$36,'Données projet'!$B$36,N6+M7-V6)))</f>
        <v>3.2900699687263746</v>
      </c>
      <c r="O7" s="14">
        <f>N7*VLOOKUP('Données projet'!$B$9,Paramètres!$A$1:$I$89,3,0)*VLOOKUP('Données projet'!$B$9,Paramètres!$A$1:$I$89,5,0)</f>
        <v>2.874205124679361</v>
      </c>
      <c r="P7" s="14">
        <f t="shared" si="33"/>
        <v>1.1713814899478936</v>
      </c>
      <c r="Q7" s="22">
        <f t="shared" si="2"/>
        <v>7.0460633538091342</v>
      </c>
      <c r="R7" s="62">
        <f t="shared" si="0"/>
        <v>268.60161890936467</v>
      </c>
      <c r="S7" s="62">
        <f ca="1">AVERAGE(OFFSET($R$3,0,0,'Données projet'!$E$9+1,1))-AVERAGE(OFFSET($H$3,0,0,'Données projet'!$E$9+1,1))</f>
        <v>321.23599968992932</v>
      </c>
      <c r="T7" s="62">
        <f t="shared" si="34"/>
        <v>388.05195847800502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3.65</v>
      </c>
      <c r="AI7" s="14">
        <f>IF('Données projet'!$A$62&gt;35,AI6+AH7-AQ6,IF(A7&lt;'Données projet'!$A$62,$AF$205^A7,IF(A7='Données projet'!$A$62,'Données projet'!$B$62,AI6+AH7-AQ6)))</f>
        <v>2.3586558182407358</v>
      </c>
      <c r="AJ7" s="14">
        <f>AI7*VLOOKUP('Données projet'!$B$10,Paramètres!$A$1:$I$89,3,0)*VLOOKUP('Données projet'!$B$10,Paramètres!$A$1:$I$89,5,0)</f>
        <v>2.1341117843442179</v>
      </c>
      <c r="AK7" s="14">
        <f t="shared" si="35"/>
        <v>0.90042667189585779</v>
      </c>
      <c r="AL7" s="22">
        <f t="shared" si="4"/>
        <v>5.2851544779514645</v>
      </c>
      <c r="AM7" s="62">
        <f t="shared" si="5"/>
        <v>266.84071003350698</v>
      </c>
      <c r="AN7" s="62">
        <f ca="1">AVERAGE(OFFSET($AM$3,0,0,'Données projet'!$E$10+1,1))-AVERAGE(OFFSET($H$3,0,0,'Données projet'!$E$10+1,1))</f>
        <v>439.19854273764042</v>
      </c>
      <c r="AO7" s="62">
        <f t="shared" si="36"/>
        <v>278.21741231699929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1.1000000000000001</v>
      </c>
      <c r="BD7" s="13">
        <f>IF('Données projet'!$A$88&gt;35,BD6+BC7-BL6,IF(A7&lt;'Données projet'!$A$88,$BA$205^A7,IF(A7='Données projet'!$A$88,'Données projet'!$B$88,BD6+BC7-BL6)))</f>
        <v>2.6094986352788743</v>
      </c>
      <c r="BE7" s="14">
        <f>BD7*VLOOKUP('Données projet'!$B$11,Paramètres!$A$1:$I$89,3,0)*VLOOKUP('Données projet'!$B$11,Paramètres!$A$1:$I$89,5,0)</f>
        <v>2.0761171142278725</v>
      </c>
      <c r="BF7" s="14">
        <f t="shared" si="37"/>
        <v>0.87877116536856548</v>
      </c>
      <c r="BG7" s="22">
        <f t="shared" si="7"/>
        <v>5.14643042029713</v>
      </c>
      <c r="BH7" s="62">
        <f t="shared" si="8"/>
        <v>266.70198597585266</v>
      </c>
      <c r="BI7" s="62">
        <f ca="1">AVERAGE(OFFSET($BH$3,0,0,'Données projet'!$E$11+1,1))-AVERAGE(OFFSET($H$3,0,0,'Données projet'!$E$11+1,1))</f>
        <v>352.88510024787888</v>
      </c>
      <c r="BJ7" s="62">
        <f t="shared" si="38"/>
        <v>343.77208530767069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1.1000000000000001</v>
      </c>
      <c r="BY7" s="13">
        <f>IF('Données projet'!$A$114&gt;35,BY6+BX7-CG6,IF(A7&lt;'Données projet'!$A$114,$BV$205^A7,IF(A7='Données projet'!$A$114,'Données projet'!$B$114,BY6+BX7-CG6)))</f>
        <v>2.6094986352788743</v>
      </c>
      <c r="BZ7" s="14">
        <f>BY7*VLOOKUP('Données projet'!$B$12,Paramètres!$A$1:$I$89,3,0)*VLOOKUP('Données projet'!$B$12,Paramètres!$A$1:$I$89,5,0)</f>
        <v>1.9132843993864705</v>
      </c>
      <c r="CA7" s="14">
        <f t="shared" si="39"/>
        <v>0.81758413948982178</v>
      </c>
      <c r="CB7" s="22">
        <f t="shared" si="10"/>
        <v>4.7562627052095419</v>
      </c>
      <c r="CC7" s="62">
        <f t="shared" si="11"/>
        <v>266.31181826076511</v>
      </c>
      <c r="CD7" s="62">
        <f ca="1">AVERAGE(OFFSET($CC$3,0,0,'Données projet'!$E$12+1,1))-AVERAGE(OFFSET($H$3,0,0,'Données projet'!$E$12+1,1))</f>
        <v>328.10411227536315</v>
      </c>
      <c r="CE7" s="62">
        <f t="shared" si="40"/>
        <v>320.24200483294322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2.6666666666666665</v>
      </c>
      <c r="CT7" s="13">
        <f>IF('Données projet'!$A$140&gt;35,CT6+CS7-DB6,IF(A7&lt;'Données projet'!$A$140,$CQ$205^A7,IF(A7='Données projet'!$A$140,'Données projet'!$B$140,CT6+CS7-DB6)))</f>
        <v>2.6743361672197152</v>
      </c>
      <c r="CU7" s="18">
        <f>CT7*VLOOKUP('Données projet'!$B$13,Paramètres!$A$1:$I$89,3,0)*VLOOKUP('Données projet'!$B$13,Paramètres!$A$1:$I$89,5,0)</f>
        <v>2.0859822104313781</v>
      </c>
      <c r="CV7" s="14">
        <f t="shared" si="41"/>
        <v>0.88245976121767966</v>
      </c>
      <c r="CW7" s="22">
        <f t="shared" si="13"/>
        <v>5.1700364339554419</v>
      </c>
      <c r="CX7" s="62">
        <f t="shared" si="14"/>
        <v>266.72559198951097</v>
      </c>
      <c r="CY7" s="62">
        <f ca="1">AVERAGE(OFFSET($CX$3,0,0,'Données projet'!$E$13+1,1))-AVERAGE(OFFSET($H$3,0,0,'Données projet'!$E$13+1,1))</f>
        <v>288.82868507674738</v>
      </c>
      <c r="CZ7" s="62">
        <f t="shared" si="42"/>
        <v>283.48738729114024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3.65</v>
      </c>
      <c r="DO7" s="13">
        <f>IF('Données projet'!$A$166&gt;35,DO6+DN7-DW6,IF(A7&lt;'Données projet'!$A$166,$DL$205^A7,IF(A7='Données projet'!$A$166,'Données projet'!$B$166,DO6+DN7-DW6)))</f>
        <v>2.3586558182407358</v>
      </c>
      <c r="DP7" s="18">
        <f>DO7*VLOOKUP('Données projet'!$B$14,Paramètres!$A$1:$I$89,3,0)*VLOOKUP('Données projet'!$B$14,Paramètres!$A$1:$I$89,5,0)</f>
        <v>2.3916769996961063</v>
      </c>
      <c r="DQ7" s="14">
        <f t="shared" si="43"/>
        <v>0.9958034297612971</v>
      </c>
      <c r="DR7" s="22">
        <f t="shared" si="16"/>
        <v>5.8998617479716442</v>
      </c>
      <c r="DS7" s="62">
        <f t="shared" si="17"/>
        <v>267.45541730352721</v>
      </c>
      <c r="DT7" s="62">
        <f ca="1">AVERAGE(OFFSET($DS$3,0,0,'Données projet'!$E$14+1,1))-AVERAGE(OFFSET($H$3,0,0,'Données projet'!$E$14+1,1))</f>
        <v>487.04124684635974</v>
      </c>
      <c r="DU7" s="62">
        <f t="shared" si="44"/>
        <v>306.61893266146666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3.65</v>
      </c>
      <c r="EJ7" s="13">
        <f>IF('Données projet'!$A$192&gt;35,EJ6+EI7-ER6,IF(A7&lt;'Données projet'!$A$192,$EG$205^A7,IF(A7='Données projet'!$A$192,'Données projet'!$B$192,EJ6+EI7-ER6)))</f>
        <v>2.3586558182407358</v>
      </c>
      <c r="EK7" s="18">
        <f>EJ7*VLOOKUP('Données projet'!$B$15,Paramètres!$A$1:$I$89,3,0)*VLOOKUP('Données projet'!$B$15,Paramètres!$A$1:$I$89,5,0)</f>
        <v>2.2444968766378843</v>
      </c>
      <c r="EL7" s="14">
        <f t="shared" si="45"/>
        <v>0.94145771351081142</v>
      </c>
      <c r="EM7" s="22">
        <f t="shared" si="19"/>
        <v>5.5488709111756451</v>
      </c>
      <c r="EN7" s="62">
        <f t="shared" si="20"/>
        <v>267.10442646673118</v>
      </c>
      <c r="EO7" s="62">
        <f ca="1">AVERAGE(OFFSET($EN$3,0,0,'Données projet'!$E$15+1,1))-AVERAGE(OFFSET($H$3,0,0,'Données projet'!$E$15+1,1))</f>
        <v>459.64120566196812</v>
      </c>
      <c r="EP7" s="62">
        <f t="shared" si="46"/>
        <v>290.39826583283588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3.65</v>
      </c>
      <c r="FE7" s="13">
        <f>IF('Données projet'!$A$218&gt;35,FE6+FD7-FM6,IF(A7&lt;'Données projet'!$A$218,$FB$205^A7,IF(A7='Données projet'!$A$218,'Données projet'!$B$218,FE6+FD7-FM6)))</f>
        <v>2.3586558182407358</v>
      </c>
      <c r="FF7" s="18">
        <f>FE7*VLOOKUP('Données projet'!$B$16,Paramètres!$A$1:$I$89,3,0)*VLOOKUP('Données projet'!$B$16,Paramètres!$A$1:$I$89,5,0)</f>
        <v>1.5821863228758857</v>
      </c>
      <c r="FG7" s="14">
        <f t="shared" si="47"/>
        <v>0.69121969359595015</v>
      </c>
      <c r="FH7" s="22">
        <f t="shared" si="22"/>
        <v>3.9595154786884472</v>
      </c>
      <c r="FI7" s="62">
        <f t="shared" si="23"/>
        <v>265.51507103424399</v>
      </c>
      <c r="FJ7" s="62">
        <f ca="1">AVERAGE(OFFSET($FI$3,0,0,'Données projet'!$E$16+1,1))-AVERAGE(OFFSET($H$3,0,0,'Données projet'!$E$16+1,1))</f>
        <v>335.83558218229564</v>
      </c>
      <c r="FK7" s="62">
        <f t="shared" si="48"/>
        <v>217.08423061559648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5.8</v>
      </c>
      <c r="N8" s="14">
        <f>IF('Données projet'!$A$36&gt;35,N7+M8-V7,IF(A8&lt;'Données projet'!$A$36,$K$205^A8,IF(A8='Données projet'!$A$36,'Données projet'!$B$36,N7+M8-V7)))</f>
        <v>4.4310476216936356</v>
      </c>
      <c r="O8" s="14">
        <f>N8*VLOOKUP('Données projet'!$B$9,Paramètres!$A$1:$I$89,3,0)*VLOOKUP('Données projet'!$B$9,Paramètres!$A$1:$I$89,5,0)</f>
        <v>3.8709632023115605</v>
      </c>
      <c r="P8" s="14">
        <f t="shared" si="33"/>
        <v>1.5238736908481918</v>
      </c>
      <c r="Q8" s="22">
        <f t="shared" si="2"/>
        <v>9.3960075889199022</v>
      </c>
      <c r="R8" s="62">
        <f t="shared" si="0"/>
        <v>272.1737853666977</v>
      </c>
      <c r="S8" s="62">
        <f ca="1">AVERAGE(OFFSET($R$3,0,0,'Données projet'!$E$9+1,1))-AVERAGE(OFFSET($H$3,0,0,'Données projet'!$E$9+1,1))</f>
        <v>321.23599968992932</v>
      </c>
      <c r="T8" s="62">
        <f t="shared" si="34"/>
        <v>388.05195847800502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3.65</v>
      </c>
      <c r="AI8" s="14">
        <f>IF('Données projet'!$A$62&gt;35,AI7+AH8-AQ7,IF(A8&lt;'Données projet'!$A$62,$AF$205^A8,IF(A8='Données projet'!$A$62,'Données projet'!$B$62,AI7+AH8-AQ7)))</f>
        <v>2.9230127856917649</v>
      </c>
      <c r="AJ8" s="14">
        <f>AI8*VLOOKUP('Données projet'!$B$10,Paramètres!$A$1:$I$89,3,0)*VLOOKUP('Données projet'!$B$10,Paramètres!$A$1:$I$89,5,0)</f>
        <v>2.6447419684939089</v>
      </c>
      <c r="AK8" s="14">
        <f t="shared" si="35"/>
        <v>1.0883534414958294</v>
      </c>
      <c r="AL8" s="22">
        <f t="shared" si="4"/>
        <v>6.5018078390654601</v>
      </c>
      <c r="AM8" s="62">
        <f t="shared" si="5"/>
        <v>269.27958561684324</v>
      </c>
      <c r="AN8" s="62">
        <f ca="1">AVERAGE(OFFSET($AM$3,0,0,'Données projet'!$E$10+1,1))-AVERAGE(OFFSET($H$3,0,0,'Données projet'!$E$10+1,1))</f>
        <v>439.19854273764042</v>
      </c>
      <c r="AO8" s="62">
        <f t="shared" si="36"/>
        <v>278.21741231699929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1.1000000000000001</v>
      </c>
      <c r="BD8" s="13">
        <f>IF('Données projet'!$A$88&gt;35,BD7+BC8-BL7,IF(A8&lt;'Données projet'!$A$88,$BA$205^A8,IF(A8='Données projet'!$A$88,'Données projet'!$B$88,BD7+BC8-BL7)))</f>
        <v>3.3166247903554016</v>
      </c>
      <c r="BE8" s="14">
        <f>BD8*VLOOKUP('Données projet'!$B$11,Paramètres!$A$1:$I$89,3,0)*VLOOKUP('Données projet'!$B$11,Paramètres!$A$1:$I$89,5,0)</f>
        <v>2.6387066832067574</v>
      </c>
      <c r="BF8" s="14">
        <f t="shared" si="37"/>
        <v>1.0861586266766543</v>
      </c>
      <c r="BG8" s="22">
        <f t="shared" si="7"/>
        <v>6.4874737480469413</v>
      </c>
      <c r="BH8" s="62">
        <f t="shared" si="8"/>
        <v>269.26525152582474</v>
      </c>
      <c r="BI8" s="62">
        <f ca="1">AVERAGE(OFFSET($BH$3,0,0,'Données projet'!$E$11+1,1))-AVERAGE(OFFSET($H$3,0,0,'Données projet'!$E$11+1,1))</f>
        <v>352.88510024787888</v>
      </c>
      <c r="BJ8" s="62">
        <f t="shared" si="38"/>
        <v>343.77208530767069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1.1000000000000001</v>
      </c>
      <c r="BY8" s="13">
        <f>IF('Données projet'!$A$114&gt;35,BY7+BX8-CG7,IF(A8&lt;'Données projet'!$A$114,$BV$205^A8,IF(A8='Données projet'!$A$114,'Données projet'!$B$114,BY7+BX8-CG7)))</f>
        <v>3.3166247903554016</v>
      </c>
      <c r="BZ8" s="14">
        <f>BY8*VLOOKUP('Données projet'!$B$12,Paramètres!$A$1:$I$89,3,0)*VLOOKUP('Données projet'!$B$12,Paramètres!$A$1:$I$89,5,0)</f>
        <v>2.4317492962885807</v>
      </c>
      <c r="CA8" s="14">
        <f t="shared" si="39"/>
        <v>1.010531639108154</v>
      </c>
      <c r="CB8" s="22">
        <f t="shared" si="10"/>
        <v>5.9953059624826457</v>
      </c>
      <c r="CC8" s="62">
        <f t="shared" si="11"/>
        <v>268.7730837402604</v>
      </c>
      <c r="CD8" s="62">
        <f ca="1">AVERAGE(OFFSET($CC$3,0,0,'Données projet'!$E$12+1,1))-AVERAGE(OFFSET($H$3,0,0,'Données projet'!$E$12+1,1))</f>
        <v>328.10411227536315</v>
      </c>
      <c r="CE8" s="62">
        <f t="shared" si="40"/>
        <v>320.24200483294322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2.6666666666666665</v>
      </c>
      <c r="CT8" s="13">
        <f>IF('Données projet'!$A$140&gt;35,CT7+CS8-DB7,IF(A8&lt;'Données projet'!$A$140,$CQ$205^A8,IF(A8='Données projet'!$A$140,'Données projet'!$B$140,CT7+CS8-DB7)))</f>
        <v>3.4199518933533928</v>
      </c>
      <c r="CU8" s="18">
        <f>CT8*VLOOKUP('Données projet'!$B$13,Paramètres!$A$1:$I$89,3,0)*VLOOKUP('Données projet'!$B$13,Paramètres!$A$1:$I$89,5,0)</f>
        <v>2.6675624768156463</v>
      </c>
      <c r="CV8" s="14">
        <f t="shared" si="41"/>
        <v>1.0966471776471767</v>
      </c>
      <c r="CW8" s="22">
        <f t="shared" si="13"/>
        <v>6.5559984815227494</v>
      </c>
      <c r="CX8" s="62">
        <f t="shared" si="14"/>
        <v>269.33377625930052</v>
      </c>
      <c r="CY8" s="62">
        <f ca="1">AVERAGE(OFFSET($CX$3,0,0,'Données projet'!$E$13+1,1))-AVERAGE(OFFSET($H$3,0,0,'Données projet'!$E$13+1,1))</f>
        <v>288.82868507674738</v>
      </c>
      <c r="CZ8" s="62">
        <f t="shared" si="42"/>
        <v>283.48738729114024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3.65</v>
      </c>
      <c r="DO8" s="13">
        <f>IF('Données projet'!$A$166&gt;35,DO7+DN8-DW7,IF(A8&lt;'Données projet'!$A$166,$DL$205^A8,IF(A8='Données projet'!$A$166,'Données projet'!$B$166,DO7+DN8-DW7)))</f>
        <v>2.9230127856917649</v>
      </c>
      <c r="DP8" s="18">
        <f>DO8*VLOOKUP('Données projet'!$B$14,Paramètres!$A$1:$I$89,3,0)*VLOOKUP('Données projet'!$B$14,Paramètres!$A$1:$I$89,5,0)</f>
        <v>2.9639349646914495</v>
      </c>
      <c r="DQ8" s="14">
        <f t="shared" si="43"/>
        <v>1.2036361467970902</v>
      </c>
      <c r="DR8" s="22">
        <f t="shared" si="16"/>
        <v>7.2585196858425398</v>
      </c>
      <c r="DS8" s="62">
        <f t="shared" si="17"/>
        <v>270.03629746362031</v>
      </c>
      <c r="DT8" s="62">
        <f ca="1">AVERAGE(OFFSET($DS$3,0,0,'Données projet'!$E$14+1,1))-AVERAGE(OFFSET($H$3,0,0,'Données projet'!$E$14+1,1))</f>
        <v>487.04124684635974</v>
      </c>
      <c r="DU8" s="62">
        <f t="shared" si="44"/>
        <v>306.61893266146666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3.65</v>
      </c>
      <c r="EJ8" s="13">
        <f>IF('Données projet'!$A$192&gt;35,EJ7+EI8-ER7,IF(A8&lt;'Données projet'!$A$192,$EG$205^A8,IF(A8='Données projet'!$A$192,'Données projet'!$B$192,EJ7+EI8-ER7)))</f>
        <v>2.9230127856917649</v>
      </c>
      <c r="EK8" s="18">
        <f>EJ8*VLOOKUP('Données projet'!$B$15,Paramètres!$A$1:$I$89,3,0)*VLOOKUP('Données projet'!$B$15,Paramètres!$A$1:$I$89,5,0)</f>
        <v>2.7815389668642836</v>
      </c>
      <c r="EL8" s="14">
        <f t="shared" si="45"/>
        <v>1.1379480134288988</v>
      </c>
      <c r="EM8" s="22">
        <f t="shared" si="19"/>
        <v>6.8264398240106265</v>
      </c>
      <c r="EN8" s="62">
        <f t="shared" si="20"/>
        <v>269.60421760178838</v>
      </c>
      <c r="EO8" s="62">
        <f ca="1">AVERAGE(OFFSET($EN$3,0,0,'Données projet'!$E$15+1,1))-AVERAGE(OFFSET($H$3,0,0,'Données projet'!$E$15+1,1))</f>
        <v>459.64120566196812</v>
      </c>
      <c r="EP8" s="62">
        <f t="shared" si="46"/>
        <v>290.39826583283588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3.65</v>
      </c>
      <c r="FE8" s="13">
        <f>IF('Données projet'!$A$218&gt;35,FE7+FD8-FM7,IF(A8&lt;'Données projet'!$A$218,$FB$205^A8,IF(A8='Données projet'!$A$218,'Données projet'!$B$218,FE7+FD8-FM7)))</f>
        <v>2.9230127856917649</v>
      </c>
      <c r="FF8" s="18">
        <f>FE8*VLOOKUP('Données projet'!$B$16,Paramètres!$A$1:$I$89,3,0)*VLOOKUP('Données projet'!$B$16,Paramètres!$A$1:$I$89,5,0)</f>
        <v>1.9607569766420361</v>
      </c>
      <c r="FG8" s="14">
        <f t="shared" si="47"/>
        <v>0.83548317240635239</v>
      </c>
      <c r="FH8" s="22">
        <f t="shared" si="22"/>
        <v>4.8701182595926094</v>
      </c>
      <c r="FI8" s="62">
        <f t="shared" si="23"/>
        <v>267.6478960373704</v>
      </c>
      <c r="FJ8" s="62">
        <f ca="1">AVERAGE(OFFSET($FI$3,0,0,'Données projet'!$E$16+1,1))-AVERAGE(OFFSET($H$3,0,0,'Données projet'!$E$16+1,1))</f>
        <v>335.83558218229564</v>
      </c>
      <c r="FK8" s="62">
        <f t="shared" si="48"/>
        <v>217.08423061559648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5.8</v>
      </c>
      <c r="N9" s="14">
        <f>IF('Données projet'!$A$36&gt;35,N8+M9-V8,IF(A9&lt;'Données projet'!$A$36,$K$205^A9,IF(A9='Données projet'!$A$36,'Données projet'!$B$36,N8+M9-V8)))</f>
        <v>5.9677098701087665</v>
      </c>
      <c r="O9" s="14">
        <f>N9*VLOOKUP('Données projet'!$B$9,Paramètres!$A$1:$I$89,3,0)*VLOOKUP('Données projet'!$B$9,Paramètres!$A$1:$I$89,5,0)</f>
        <v>5.2133913425270189</v>
      </c>
      <c r="P9" s="14">
        <f t="shared" si="33"/>
        <v>1.9824378698032765</v>
      </c>
      <c r="Q9" s="22">
        <f t="shared" si="2"/>
        <v>12.53273587814193</v>
      </c>
      <c r="R9" s="62">
        <f t="shared" si="0"/>
        <v>276.53273587814192</v>
      </c>
      <c r="S9" s="62">
        <f ca="1">AVERAGE(OFFSET($R$3,0,0,'Données projet'!$E$9+1,1))-AVERAGE(OFFSET($H$3,0,0,'Données projet'!$E$9+1,1))</f>
        <v>321.23599968992932</v>
      </c>
      <c r="T9" s="62">
        <f t="shared" si="34"/>
        <v>388.05195847800502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3.65</v>
      </c>
      <c r="AI9" s="14">
        <f>IF('Données projet'!$A$62&gt;35,AI8+AH9-AQ8,IF(A9&lt;'Données projet'!$A$62,$AF$205^A9,IF(A9='Données projet'!$A$62,'Données projet'!$B$62,AI8+AH9-AQ8)))</f>
        <v>3.6224037772879885</v>
      </c>
      <c r="AJ9" s="14">
        <f>AI9*VLOOKUP('Données projet'!$B$10,Paramètres!$A$1:$I$89,3,0)*VLOOKUP('Données projet'!$B$10,Paramètres!$A$1:$I$89,5,0)</f>
        <v>3.2775509376901719</v>
      </c>
      <c r="AK9" s="14">
        <f t="shared" si="35"/>
        <v>1.315502139804245</v>
      </c>
      <c r="AL9" s="22">
        <f t="shared" si="4"/>
        <v>7.9995674433027766</v>
      </c>
      <c r="AM9" s="62">
        <f t="shared" si="5"/>
        <v>271.99956744330279</v>
      </c>
      <c r="AN9" s="62">
        <f ca="1">AVERAGE(OFFSET($AM$3,0,0,'Données projet'!$E$10+1,1))-AVERAGE(OFFSET($H$3,0,0,'Données projet'!$E$10+1,1))</f>
        <v>439.19854273764042</v>
      </c>
      <c r="AO9" s="62">
        <f t="shared" si="36"/>
        <v>278.21741231699929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1.1000000000000001</v>
      </c>
      <c r="BD9" s="13">
        <f>IF('Données projet'!$A$88&gt;35,BD8+BC9-BL8,IF(A9&lt;'Données projet'!$A$88,$BA$205^A9,IF(A9='Données projet'!$A$88,'Données projet'!$B$88,BD8+BC9-BL8)))</f>
        <v>4.2153691330919028</v>
      </c>
      <c r="BE9" s="14">
        <f>BD9*VLOOKUP('Données projet'!$B$11,Paramètres!$A$1:$I$89,3,0)*VLOOKUP('Données projet'!$B$11,Paramètres!$A$1:$I$89,5,0)</f>
        <v>3.353747682287918</v>
      </c>
      <c r="BF9" s="14">
        <f t="shared" si="37"/>
        <v>1.3424889309030987</v>
      </c>
      <c r="BG9" s="22">
        <f t="shared" si="7"/>
        <v>8.1792787679743544</v>
      </c>
      <c r="BH9" s="62">
        <f t="shared" si="8"/>
        <v>272.17927876797438</v>
      </c>
      <c r="BI9" s="62">
        <f ca="1">AVERAGE(OFFSET($BH$3,0,0,'Données projet'!$E$11+1,1))-AVERAGE(OFFSET($H$3,0,0,'Données projet'!$E$11+1,1))</f>
        <v>352.88510024787888</v>
      </c>
      <c r="BJ9" s="62">
        <f t="shared" si="38"/>
        <v>343.77208530767069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1.1000000000000001</v>
      </c>
      <c r="BY9" s="13">
        <f>IF('Données projet'!$A$114&gt;35,BY8+BX9-CG8,IF(A9&lt;'Données projet'!$A$114,$BV$205^A9,IF(A9='Données projet'!$A$114,'Données projet'!$B$114,BY8+BX9-CG8)))</f>
        <v>4.2153691330919028</v>
      </c>
      <c r="BZ9" s="14">
        <f>BY9*VLOOKUP('Données projet'!$B$12,Paramètres!$A$1:$I$89,3,0)*VLOOKUP('Données projet'!$B$12,Paramètres!$A$1:$I$89,5,0)</f>
        <v>3.0907086483829831</v>
      </c>
      <c r="CA9" s="14">
        <f t="shared" si="39"/>
        <v>1.2490141923201104</v>
      </c>
      <c r="CB9" s="22">
        <f t="shared" si="10"/>
        <v>7.5583506142245538</v>
      </c>
      <c r="CC9" s="62">
        <f t="shared" si="11"/>
        <v>271.55835061422454</v>
      </c>
      <c r="CD9" s="62">
        <f ca="1">AVERAGE(OFFSET($CC$3,0,0,'Données projet'!$E$12+1,1))-AVERAGE(OFFSET($H$3,0,0,'Données projet'!$E$12+1,1))</f>
        <v>328.10411227536315</v>
      </c>
      <c r="CE9" s="62">
        <f t="shared" si="40"/>
        <v>320.24200483294322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2.6666666666666665</v>
      </c>
      <c r="CT9" s="13">
        <f>IF('Données projet'!$A$140&gt;35,CT8+CS9-DB8,IF(A9&lt;'Données projet'!$A$140,$CQ$205^A9,IF(A9='Données projet'!$A$140,'Données projet'!$B$140,CT8+CS9-DB8)))</f>
        <v>4.3734482957731098</v>
      </c>
      <c r="CU9" s="18">
        <f>CT9*VLOOKUP('Données projet'!$B$13,Paramètres!$A$1:$I$89,3,0)*VLOOKUP('Données projet'!$B$13,Paramètres!$A$1:$I$89,5,0)</f>
        <v>3.4112896707030256</v>
      </c>
      <c r="CV9" s="14">
        <f t="shared" si="41"/>
        <v>1.3628213830192535</v>
      </c>
      <c r="CW9" s="22">
        <f t="shared" si="13"/>
        <v>8.3149100852329703</v>
      </c>
      <c r="CX9" s="62">
        <f t="shared" si="14"/>
        <v>272.31491008523295</v>
      </c>
      <c r="CY9" s="62">
        <f ca="1">AVERAGE(OFFSET($CX$3,0,0,'Données projet'!$E$13+1,1))-AVERAGE(OFFSET($H$3,0,0,'Données projet'!$E$13+1,1))</f>
        <v>288.82868507674738</v>
      </c>
      <c r="CZ9" s="62">
        <f t="shared" si="42"/>
        <v>283.48738729114024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3.65</v>
      </c>
      <c r="DO9" s="13">
        <f>IF('Données projet'!$A$166&gt;35,DO8+DN9-DW8,IF(A9&lt;'Données projet'!$A$166,$DL$205^A9,IF(A9='Données projet'!$A$166,'Données projet'!$B$166,DO8+DN9-DW8)))</f>
        <v>3.6224037772879885</v>
      </c>
      <c r="DP9" s="18">
        <f>DO9*VLOOKUP('Données projet'!$B$14,Paramètres!$A$1:$I$89,3,0)*VLOOKUP('Données projet'!$B$14,Paramètres!$A$1:$I$89,5,0)</f>
        <v>3.6731174301700205</v>
      </c>
      <c r="DQ9" s="14">
        <f t="shared" si="43"/>
        <v>1.4548453345092642</v>
      </c>
      <c r="DR9" s="22">
        <f t="shared" si="16"/>
        <v>8.9312018151497536</v>
      </c>
      <c r="DS9" s="62">
        <f t="shared" si="17"/>
        <v>272.93120181514973</v>
      </c>
      <c r="DT9" s="62">
        <f ca="1">AVERAGE(OFFSET($DS$3,0,0,'Données projet'!$E$14+1,1))-AVERAGE(OFFSET($H$3,0,0,'Données projet'!$E$14+1,1))</f>
        <v>487.04124684635974</v>
      </c>
      <c r="DU9" s="62">
        <f t="shared" si="44"/>
        <v>306.61893266146666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3.65</v>
      </c>
      <c r="EJ9" s="13">
        <f>IF('Données projet'!$A$192&gt;35,EJ8+EI9-ER8,IF(A9&lt;'Données projet'!$A$192,$EG$205^A9,IF(A9='Données projet'!$A$192,'Données projet'!$B$192,EJ8+EI9-ER8)))</f>
        <v>3.6224037772879885</v>
      </c>
      <c r="EK9" s="18">
        <f>EJ9*VLOOKUP('Données projet'!$B$15,Paramètres!$A$1:$I$89,3,0)*VLOOKUP('Données projet'!$B$15,Paramètres!$A$1:$I$89,5,0)</f>
        <v>3.4470794344672502</v>
      </c>
      <c r="EL9" s="14">
        <f t="shared" si="45"/>
        <v>1.3754475242842723</v>
      </c>
      <c r="EM9" s="22">
        <f t="shared" si="19"/>
        <v>8.3992344531589023</v>
      </c>
      <c r="EN9" s="62">
        <f t="shared" si="20"/>
        <v>272.3992344531589</v>
      </c>
      <c r="EO9" s="62">
        <f ca="1">AVERAGE(OFFSET($EN$3,0,0,'Données projet'!$E$15+1,1))-AVERAGE(OFFSET($H$3,0,0,'Données projet'!$E$15+1,1))</f>
        <v>459.64120566196812</v>
      </c>
      <c r="EP9" s="62">
        <f t="shared" si="46"/>
        <v>290.39826583283588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3.65</v>
      </c>
      <c r="FE9" s="13">
        <f>IF('Données projet'!$A$218&gt;35,FE8+FD9-FM8,IF(A9&lt;'Données projet'!$A$218,$FB$205^A9,IF(A9='Données projet'!$A$218,'Données projet'!$B$218,FE8+FD9-FM8)))</f>
        <v>3.6224037772879885</v>
      </c>
      <c r="FF9" s="18">
        <f>FE9*VLOOKUP('Données projet'!$B$16,Paramètres!$A$1:$I$89,3,0)*VLOOKUP('Données projet'!$B$16,Paramètres!$A$1:$I$89,5,0)</f>
        <v>2.4299084538047828</v>
      </c>
      <c r="FG9" s="14">
        <f t="shared" si="47"/>
        <v>1.0098556766269089</v>
      </c>
      <c r="FH9" s="22">
        <f t="shared" si="22"/>
        <v>5.9909225271685296</v>
      </c>
      <c r="FI9" s="62">
        <f t="shared" si="23"/>
        <v>269.99092252716855</v>
      </c>
      <c r="FJ9" s="62">
        <f ca="1">AVERAGE(OFFSET($FI$3,0,0,'Données projet'!$E$16+1,1))-AVERAGE(OFFSET($H$3,0,0,'Données projet'!$E$16+1,1))</f>
        <v>335.83558218229564</v>
      </c>
      <c r="FK9" s="62">
        <f t="shared" si="48"/>
        <v>217.08423061559648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5.8</v>
      </c>
      <c r="N10" s="14">
        <f>IF('Données projet'!$A$36&gt;35,N9+M10-V9,IF(A10&lt;'Données projet'!$A$36,$K$205^A10,IF(A10='Données projet'!$A$36,'Données projet'!$B$36,N9+M10-V9)))</f>
        <v>8.0372778932539148</v>
      </c>
      <c r="O10" s="14">
        <f>N10*VLOOKUP('Données projet'!$B$9,Paramètres!$A$1:$I$89,3,0)*VLOOKUP('Données projet'!$B$9,Paramètres!$A$1:$I$89,5,0)</f>
        <v>7.0213659675466209</v>
      </c>
      <c r="P10" s="14">
        <f t="shared" si="33"/>
        <v>2.5789932139603198</v>
      </c>
      <c r="Q10" s="22">
        <f t="shared" si="2"/>
        <v>16.72062557445792</v>
      </c>
      <c r="R10" s="62">
        <f t="shared" si="0"/>
        <v>281.94284779668016</v>
      </c>
      <c r="S10" s="62">
        <f ca="1">AVERAGE(OFFSET($R$3,0,0,'Données projet'!$E$9+1,1))-AVERAGE(OFFSET($H$3,0,0,'Données projet'!$E$9+1,1))</f>
        <v>321.23599968992932</v>
      </c>
      <c r="T10" s="62">
        <f t="shared" si="34"/>
        <v>388.05195847800502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3.65</v>
      </c>
      <c r="AI10" s="14">
        <f>IF('Données projet'!$A$62&gt;35,AI9+AH10-AQ9,IF(A10&lt;'Données projet'!$A$62,$AF$205^A10,IF(A10='Données projet'!$A$62,'Données projet'!$B$62,AI9+AH10-AQ9)))</f>
        <v>4.4891384635544309</v>
      </c>
      <c r="AJ10" s="14">
        <f>AI10*VLOOKUP('Données projet'!$B$10,Paramètres!$A$1:$I$89,3,0)*VLOOKUP('Données projet'!$B$10,Paramètres!$A$1:$I$89,5,0)</f>
        <v>4.0617724818240486</v>
      </c>
      <c r="AK10" s="14">
        <f t="shared" si="35"/>
        <v>1.590058719758437</v>
      </c>
      <c r="AL10" s="22">
        <f t="shared" si="4"/>
        <v>9.8436060094228282</v>
      </c>
      <c r="AM10" s="62">
        <f t="shared" si="5"/>
        <v>275.06582823164507</v>
      </c>
      <c r="AN10" s="62">
        <f ca="1">AVERAGE(OFFSET($AM$3,0,0,'Données projet'!$E$10+1,1))-AVERAGE(OFFSET($H$3,0,0,'Données projet'!$E$10+1,1))</f>
        <v>439.19854273764042</v>
      </c>
      <c r="AO10" s="62">
        <f t="shared" si="36"/>
        <v>278.21741231699929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1.1000000000000001</v>
      </c>
      <c r="BD10" s="13">
        <f>IF('Données projet'!$A$88&gt;35,BD9+BC10-BL9,IF(A10&lt;'Données projet'!$A$88,$BA$205^A10,IF(A10='Données projet'!$A$88,'Données projet'!$B$88,BD9+BC10-BL9)))</f>
        <v>5.3576566694841175</v>
      </c>
      <c r="BE10" s="14">
        <f>BD10*VLOOKUP('Données projet'!$B$11,Paramètres!$A$1:$I$89,3,0)*VLOOKUP('Données projet'!$B$11,Paramètres!$A$1:$I$89,5,0)</f>
        <v>4.2625516462415645</v>
      </c>
      <c r="BF10" s="14">
        <f t="shared" si="37"/>
        <v>1.6593124478620722</v>
      </c>
      <c r="BG10" s="22">
        <f t="shared" si="7"/>
        <v>10.313913297230501</v>
      </c>
      <c r="BH10" s="62">
        <f t="shared" si="8"/>
        <v>275.53613551945273</v>
      </c>
      <c r="BI10" s="62">
        <f ca="1">AVERAGE(OFFSET($BH$3,0,0,'Données projet'!$E$11+1,1))-AVERAGE(OFFSET($H$3,0,0,'Données projet'!$E$11+1,1))</f>
        <v>352.88510024787888</v>
      </c>
      <c r="BJ10" s="62">
        <f t="shared" si="38"/>
        <v>343.77208530767069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1.1000000000000001</v>
      </c>
      <c r="BY10" s="13">
        <f>IF('Données projet'!$A$114&gt;35,BY9+BX10-CG9,IF(A10&lt;'Données projet'!$A$114,$BV$205^A10,IF(A10='Données projet'!$A$114,'Données projet'!$B$114,BY9+BX10-CG9)))</f>
        <v>5.3576566694841175</v>
      </c>
      <c r="BZ10" s="14">
        <f>BY10*VLOOKUP('Données projet'!$B$12,Paramètres!$A$1:$I$89,3,0)*VLOOKUP('Données projet'!$B$12,Paramètres!$A$1:$I$89,5,0)</f>
        <v>3.9282338700657551</v>
      </c>
      <c r="CA10" s="14">
        <f t="shared" si="39"/>
        <v>1.5437779404847436</v>
      </c>
      <c r="CB10" s="22">
        <f t="shared" si="10"/>
        <v>9.5304205700421178</v>
      </c>
      <c r="CC10" s="62">
        <f t="shared" si="11"/>
        <v>274.75264279226434</v>
      </c>
      <c r="CD10" s="62">
        <f ca="1">AVERAGE(OFFSET($CC$3,0,0,'Données projet'!$E$12+1,1))-AVERAGE(OFFSET($H$3,0,0,'Données projet'!$E$12+1,1))</f>
        <v>328.10411227536315</v>
      </c>
      <c r="CE10" s="62">
        <f t="shared" si="40"/>
        <v>320.24200483294322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2.6666666666666665</v>
      </c>
      <c r="CT10" s="13">
        <f>IF('Données projet'!$A$140&gt;35,CT9+CS10-DB9,IF(A10&lt;'Données projet'!$A$140,$CQ$205^A10,IF(A10='Données projet'!$A$140,'Données projet'!$B$140,CT9+CS10-DB9)))</f>
        <v>5.5927833467405659</v>
      </c>
      <c r="CU10" s="18">
        <f>CT10*VLOOKUP('Données projet'!$B$13,Paramètres!$A$1:$I$89,3,0)*VLOOKUP('Données projet'!$B$13,Paramètres!$A$1:$I$89,5,0)</f>
        <v>4.3623710104576414</v>
      </c>
      <c r="CV10" s="14">
        <f t="shared" si="41"/>
        <v>1.6936004212396314</v>
      </c>
      <c r="CW10" s="22">
        <f t="shared" si="13"/>
        <v>10.54748357687275</v>
      </c>
      <c r="CX10" s="62">
        <f t="shared" si="14"/>
        <v>275.76970579909499</v>
      </c>
      <c r="CY10" s="62">
        <f ca="1">AVERAGE(OFFSET($CX$3,0,0,'Données projet'!$E$13+1,1))-AVERAGE(OFFSET($H$3,0,0,'Données projet'!$E$13+1,1))</f>
        <v>288.82868507674738</v>
      </c>
      <c r="CZ10" s="62">
        <f t="shared" si="42"/>
        <v>283.48738729114024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3.65</v>
      </c>
      <c r="DO10" s="13">
        <f>IF('Données projet'!$A$166&gt;35,DO9+DN10-DW9,IF(A10&lt;'Données projet'!$A$166,$DL$205^A10,IF(A10='Données projet'!$A$166,'Données projet'!$B$166,DO9+DN10-DW9)))</f>
        <v>4.4891384635544309</v>
      </c>
      <c r="DP10" s="18">
        <f>DO10*VLOOKUP('Données projet'!$B$14,Paramètres!$A$1:$I$89,3,0)*VLOOKUP('Données projet'!$B$14,Paramètres!$A$1:$I$89,5,0)</f>
        <v>4.5519864020441929</v>
      </c>
      <c r="DQ10" s="14">
        <f t="shared" si="43"/>
        <v>1.7584840343783612</v>
      </c>
      <c r="DR10" s="22">
        <f t="shared" si="16"/>
        <v>10.990736010102614</v>
      </c>
      <c r="DS10" s="62">
        <f t="shared" si="17"/>
        <v>276.21295823232487</v>
      </c>
      <c r="DT10" s="62">
        <f ca="1">AVERAGE(OFFSET($DS$3,0,0,'Données projet'!$E$14+1,1))-AVERAGE(OFFSET($H$3,0,0,'Données projet'!$E$14+1,1))</f>
        <v>487.04124684635974</v>
      </c>
      <c r="DU10" s="62">
        <f t="shared" si="44"/>
        <v>306.61893266146666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3.65</v>
      </c>
      <c r="EJ10" s="13">
        <f>IF('Données projet'!$A$192&gt;35,EJ9+EI10-ER9,IF(A10&lt;'Données projet'!$A$192,$EG$205^A10,IF(A10='Données projet'!$A$192,'Données projet'!$B$192,EJ9+EI10-ER9)))</f>
        <v>4.4891384635544309</v>
      </c>
      <c r="EK10" s="18">
        <f>EJ10*VLOOKUP('Données projet'!$B$15,Paramètres!$A$1:$I$89,3,0)*VLOOKUP('Données projet'!$B$15,Paramètres!$A$1:$I$89,5,0)</f>
        <v>4.2718641619183968</v>
      </c>
      <c r="EL10" s="14">
        <f t="shared" si="45"/>
        <v>1.6625152201453717</v>
      </c>
      <c r="EM10" s="22">
        <f t="shared" si="19"/>
        <v>10.335710757094397</v>
      </c>
      <c r="EN10" s="62">
        <f t="shared" si="20"/>
        <v>275.5579329793166</v>
      </c>
      <c r="EO10" s="62">
        <f ca="1">AVERAGE(OFFSET($EN$3,0,0,'Données projet'!$E$15+1,1))-AVERAGE(OFFSET($H$3,0,0,'Données projet'!$E$15+1,1))</f>
        <v>459.64120566196812</v>
      </c>
      <c r="EP10" s="62">
        <f t="shared" si="46"/>
        <v>290.39826583283588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3.65</v>
      </c>
      <c r="FE10" s="13">
        <f>IF('Données projet'!$A$218&gt;35,FE9+FD10-FM9,IF(A10&lt;'Données projet'!$A$218,$FB$205^A10,IF(A10='Données projet'!$A$218,'Données projet'!$B$218,FE9+FD10-FM9)))</f>
        <v>4.4891384635544309</v>
      </c>
      <c r="FF10" s="18">
        <f>FE10*VLOOKUP('Données projet'!$B$16,Paramètres!$A$1:$I$89,3,0)*VLOOKUP('Données projet'!$B$16,Paramètres!$A$1:$I$89,5,0)</f>
        <v>3.011314081352312</v>
      </c>
      <c r="FG10" s="14">
        <f t="shared" si="47"/>
        <v>1.2206212181130434</v>
      </c>
      <c r="FH10" s="22">
        <f t="shared" si="22"/>
        <v>7.3706206465688275</v>
      </c>
      <c r="FI10" s="62">
        <f t="shared" si="23"/>
        <v>272.59284286879108</v>
      </c>
      <c r="FJ10" s="62">
        <f ca="1">AVERAGE(OFFSET($FI$3,0,0,'Données projet'!$E$16+1,1))-AVERAGE(OFFSET($H$3,0,0,'Données projet'!$E$16+1,1))</f>
        <v>335.83558218229564</v>
      </c>
      <c r="FK10" s="62">
        <f t="shared" si="48"/>
        <v>217.08423061559648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5.8</v>
      </c>
      <c r="N11" s="14">
        <f>IF('Données projet'!$A$36&gt;35,N10+M11-V10,IF(A11&lt;'Données projet'!$A$36,$K$205^A11,IF(A11='Données projet'!$A$36,'Données projet'!$B$36,N10+M11-V10)))</f>
        <v>10.824560399115168</v>
      </c>
      <c r="O11" s="14">
        <f>N11*VLOOKUP('Données projet'!$B$9,Paramètres!$A$1:$I$89,3,0)*VLOOKUP('Données projet'!$B$9,Paramètres!$A$1:$I$89,5,0)</f>
        <v>9.4563359646670122</v>
      </c>
      <c r="P11" s="14">
        <f t="shared" si="33"/>
        <v>3.3550640345230081</v>
      </c>
      <c r="Q11" s="22">
        <f t="shared" si="2"/>
        <v>22.313188331922618</v>
      </c>
      <c r="R11" s="62">
        <f t="shared" si="0"/>
        <v>288.75763277636707</v>
      </c>
      <c r="S11" s="62">
        <f ca="1">AVERAGE(OFFSET($R$3,0,0,'Données projet'!$E$9+1,1))-AVERAGE(OFFSET($H$3,0,0,'Données projet'!$E$9+1,1))</f>
        <v>321.23599968992932</v>
      </c>
      <c r="T11" s="62">
        <f t="shared" si="34"/>
        <v>388.05195847800502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3.65</v>
      </c>
      <c r="AI11" s="14">
        <f>IF('Données projet'!$A$62&gt;35,AI10+AH11-AQ10,IF(A11&lt;'Données projet'!$A$62,$AF$205^A11,IF(A11='Données projet'!$A$62,'Données projet'!$B$62,AI10+AH11-AQ10)))</f>
        <v>5.563257268920875</v>
      </c>
      <c r="AJ11" s="14">
        <f>AI11*VLOOKUP('Données projet'!$B$10,Paramètres!$A$1:$I$89,3,0)*VLOOKUP('Données projet'!$B$10,Paramètres!$A$1:$I$89,5,0)</f>
        <v>5.0336351769196082</v>
      </c>
      <c r="AK11" s="14">
        <f t="shared" si="35"/>
        <v>1.9219176128866391</v>
      </c>
      <c r="AL11" s="22">
        <f t="shared" si="4"/>
        <v>12.11425444224588</v>
      </c>
      <c r="AM11" s="62">
        <f t="shared" si="5"/>
        <v>278.55869888669031</v>
      </c>
      <c r="AN11" s="62">
        <f ca="1">AVERAGE(OFFSET($AM$3,0,0,'Données projet'!$E$10+1,1))-AVERAGE(OFFSET($H$3,0,0,'Données projet'!$E$10+1,1))</f>
        <v>439.19854273764042</v>
      </c>
      <c r="AO11" s="62">
        <f t="shared" si="36"/>
        <v>278.21741231699929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1.1000000000000001</v>
      </c>
      <c r="BD11" s="13">
        <f>IF('Données projet'!$A$88&gt;35,BD10+BC11-BL10,IF(A11&lt;'Données projet'!$A$88,$BA$205^A11,IF(A11='Données projet'!$A$88,'Données projet'!$B$88,BD10+BC11-BL10)))</f>
        <v>6.8094831275223076</v>
      </c>
      <c r="BE11" s="14">
        <f>BD11*VLOOKUP('Données projet'!$B$11,Paramètres!$A$1:$I$89,3,0)*VLOOKUP('Données projet'!$B$11,Paramètres!$A$1:$I$89,5,0)</f>
        <v>5.4176247762567487</v>
      </c>
      <c r="BF11" s="14">
        <f t="shared" si="37"/>
        <v>2.0509054013412618</v>
      </c>
      <c r="BG11" s="22">
        <f t="shared" si="7"/>
        <v>13.007690059316532</v>
      </c>
      <c r="BH11" s="62">
        <f t="shared" si="8"/>
        <v>279.45213450376099</v>
      </c>
      <c r="BI11" s="62">
        <f ca="1">AVERAGE(OFFSET($BH$3,0,0,'Données projet'!$E$11+1,1))-AVERAGE(OFFSET($H$3,0,0,'Données projet'!$E$11+1,1))</f>
        <v>352.88510024787888</v>
      </c>
      <c r="BJ11" s="62">
        <f t="shared" si="38"/>
        <v>343.77208530767069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1.1000000000000001</v>
      </c>
      <c r="BY11" s="13">
        <f>IF('Données projet'!$A$114&gt;35,BY10+BX11-CG10,IF(A11&lt;'Données projet'!$A$114,$BV$205^A11,IF(A11='Données projet'!$A$114,'Données projet'!$B$114,BY10+BX11-CG10)))</f>
        <v>6.8094831275223076</v>
      </c>
      <c r="BZ11" s="14">
        <f>BY11*VLOOKUP('Données projet'!$B$12,Paramètres!$A$1:$I$89,3,0)*VLOOKUP('Données projet'!$B$12,Paramètres!$A$1:$I$89,5,0)</f>
        <v>4.9927130290993551</v>
      </c>
      <c r="CA11" s="14">
        <f t="shared" si="39"/>
        <v>1.9081050833380053</v>
      </c>
      <c r="CB11" s="22">
        <f t="shared" si="10"/>
        <v>12.018924879161736</v>
      </c>
      <c r="CC11" s="62">
        <f t="shared" si="11"/>
        <v>278.46336932360617</v>
      </c>
      <c r="CD11" s="62">
        <f ca="1">AVERAGE(OFFSET($CC$3,0,0,'Données projet'!$E$12+1,1))-AVERAGE(OFFSET($H$3,0,0,'Données projet'!$E$12+1,1))</f>
        <v>328.10411227536315</v>
      </c>
      <c r="CE11" s="62">
        <f t="shared" si="40"/>
        <v>320.24200483294322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2.6666666666666665</v>
      </c>
      <c r="CT11" s="13">
        <f>IF('Données projet'!$A$140&gt;35,CT10+CS11-DB10,IF(A11&lt;'Données projet'!$A$140,$CQ$205^A11,IF(A11='Données projet'!$A$140,'Données projet'!$B$140,CT10+CS11-DB10)))</f>
        <v>7.1520739352994367</v>
      </c>
      <c r="CU11" s="18">
        <f>CT11*VLOOKUP('Données projet'!$B$13,Paramètres!$A$1:$I$89,3,0)*VLOOKUP('Données projet'!$B$13,Paramètres!$A$1:$I$89,5,0)</f>
        <v>5.5786176695335605</v>
      </c>
      <c r="CV11" s="14">
        <f t="shared" si="41"/>
        <v>2.1046649418345189</v>
      </c>
      <c r="CW11" s="22">
        <f t="shared" si="13"/>
        <v>13.381717214799407</v>
      </c>
      <c r="CX11" s="62">
        <f t="shared" si="14"/>
        <v>279.82616165924384</v>
      </c>
      <c r="CY11" s="62">
        <f ca="1">AVERAGE(OFFSET($CX$3,0,0,'Données projet'!$E$13+1,1))-AVERAGE(OFFSET($H$3,0,0,'Données projet'!$E$13+1,1))</f>
        <v>288.82868507674738</v>
      </c>
      <c r="CZ11" s="62">
        <f t="shared" si="42"/>
        <v>283.48738729114024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3.65</v>
      </c>
      <c r="DO11" s="13">
        <f>IF('Données projet'!$A$166&gt;35,DO10+DN11-DW10,IF(A11&lt;'Données projet'!$A$166,$DL$205^A11,IF(A11='Données projet'!$A$166,'Données projet'!$B$166,DO10+DN11-DW10)))</f>
        <v>5.563257268920875</v>
      </c>
      <c r="DP11" s="18">
        <f>DO11*VLOOKUP('Données projet'!$B$14,Paramètres!$A$1:$I$89,3,0)*VLOOKUP('Données projet'!$B$14,Paramètres!$A$1:$I$89,5,0)</f>
        <v>5.6411428706857674</v>
      </c>
      <c r="DQ11" s="14">
        <f t="shared" si="43"/>
        <v>2.125494735292019</v>
      </c>
      <c r="DR11" s="22">
        <f t="shared" si="16"/>
        <v>13.526893830411311</v>
      </c>
      <c r="DS11" s="62">
        <f t="shared" si="17"/>
        <v>279.97133827485578</v>
      </c>
      <c r="DT11" s="62">
        <f ca="1">AVERAGE(OFFSET($DS$3,0,0,'Données projet'!$E$14+1,1))-AVERAGE(OFFSET($H$3,0,0,'Données projet'!$E$14+1,1))</f>
        <v>487.04124684635974</v>
      </c>
      <c r="DU11" s="62">
        <f t="shared" si="44"/>
        <v>306.61893266146666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3.65</v>
      </c>
      <c r="EJ11" s="13">
        <f>IF('Données projet'!$A$192&gt;35,EJ10+EI11-ER10,IF(A11&lt;'Données projet'!$A$192,$EG$205^A11,IF(A11='Données projet'!$A$192,'Données projet'!$B$192,EJ10+EI11-ER10)))</f>
        <v>5.563257268920875</v>
      </c>
      <c r="EK11" s="18">
        <f>EJ11*VLOOKUP('Données projet'!$B$15,Paramètres!$A$1:$I$89,3,0)*VLOOKUP('Données projet'!$B$15,Paramètres!$A$1:$I$89,5,0)</f>
        <v>5.2939956171051046</v>
      </c>
      <c r="EL11" s="14">
        <f t="shared" si="45"/>
        <v>2.0094964063810909</v>
      </c>
      <c r="EM11" s="22">
        <f t="shared" si="19"/>
        <v>12.72024860757179</v>
      </c>
      <c r="EN11" s="62">
        <f t="shared" si="20"/>
        <v>279.16469305201622</v>
      </c>
      <c r="EO11" s="62">
        <f ca="1">AVERAGE(OFFSET($EN$3,0,0,'Données projet'!$E$15+1,1))-AVERAGE(OFFSET($H$3,0,0,'Données projet'!$E$15+1,1))</f>
        <v>459.64120566196812</v>
      </c>
      <c r="EP11" s="62">
        <f t="shared" si="46"/>
        <v>290.39826583283588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3.65</v>
      </c>
      <c r="FE11" s="13">
        <f>IF('Données projet'!$A$218&gt;35,FE10+FD11-FM10,IF(A11&lt;'Données projet'!$A$218,$FB$205^A11,IF(A11='Données projet'!$A$218,'Données projet'!$B$218,FE10+FD11-FM10)))</f>
        <v>5.563257268920875</v>
      </c>
      <c r="FF11" s="18">
        <f>FE11*VLOOKUP('Données projet'!$B$16,Paramètres!$A$1:$I$89,3,0)*VLOOKUP('Données projet'!$B$16,Paramètres!$A$1:$I$89,5,0)</f>
        <v>3.7318329759921229</v>
      </c>
      <c r="FG11" s="14">
        <f t="shared" si="47"/>
        <v>1.4753753358938833</v>
      </c>
      <c r="FH11" s="22">
        <f t="shared" si="22"/>
        <v>9.0692211432014602</v>
      </c>
      <c r="FI11" s="62">
        <f t="shared" si="23"/>
        <v>275.5136655876459</v>
      </c>
      <c r="FJ11" s="62">
        <f ca="1">AVERAGE(OFFSET($FI$3,0,0,'Données projet'!$E$16+1,1))-AVERAGE(OFFSET($H$3,0,0,'Données projet'!$E$16+1,1))</f>
        <v>335.83558218229564</v>
      </c>
      <c r="FK11" s="62">
        <f t="shared" si="48"/>
        <v>217.08423061559648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5.8</v>
      </c>
      <c r="N12" s="14">
        <f>IF('Données projet'!$A$36&gt;35,N11+M12-V11,IF(A12&lt;'Données projet'!$A$36,$K$205^A12,IF(A12='Données projet'!$A$36,'Données projet'!$B$36,N11+M12-V11)))</f>
        <v>14.578456710130657</v>
      </c>
      <c r="O12" s="14">
        <f>N12*VLOOKUP('Données projet'!$B$9,Paramètres!$A$1:$I$89,3,0)*VLOOKUP('Données projet'!$B$9,Paramètres!$A$1:$I$89,5,0)</f>
        <v>12.735739781970144</v>
      </c>
      <c r="P12" s="14">
        <f t="shared" si="33"/>
        <v>4.364670141362768</v>
      </c>
      <c r="Q12" s="22">
        <f t="shared" si="2"/>
        <v>29.783213949804821</v>
      </c>
      <c r="R12" s="62">
        <f t="shared" si="0"/>
        <v>297.44988061647149</v>
      </c>
      <c r="S12" s="62">
        <f ca="1">AVERAGE(OFFSET($R$3,0,0,'Données projet'!$E$9+1,1))-AVERAGE(OFFSET($H$3,0,0,'Données projet'!$E$9+1,1))</f>
        <v>321.23599968992932</v>
      </c>
      <c r="T12" s="62">
        <f t="shared" si="34"/>
        <v>388.05195847800502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3.65</v>
      </c>
      <c r="AI12" s="14">
        <f>IF('Données projet'!$A$62&gt;35,AI11+AH12-AQ11,IF(A12&lt;'Données projet'!$A$62,$AF$205^A12,IF(A12='Données projet'!$A$62,'Données projet'!$B$62,AI11+AH12-AQ11)))</f>
        <v>6.8943811137639424</v>
      </c>
      <c r="AJ12" s="14">
        <f>AI12*VLOOKUP('Données projet'!$B$10,Paramètres!$A$1:$I$89,3,0)*VLOOKUP('Données projet'!$B$10,Paramètres!$A$1:$I$89,5,0)</f>
        <v>6.2380360317336141</v>
      </c>
      <c r="AK12" s="14">
        <f t="shared" si="35"/>
        <v>2.3230383034439352</v>
      </c>
      <c r="AL12" s="22">
        <f t="shared" si="4"/>
        <v>14.910537800434229</v>
      </c>
      <c r="AM12" s="62">
        <f t="shared" si="5"/>
        <v>282.5772044671009</v>
      </c>
      <c r="AN12" s="62">
        <f ca="1">AVERAGE(OFFSET($AM$3,0,0,'Données projet'!$E$10+1,1))-AVERAGE(OFFSET($H$3,0,0,'Données projet'!$E$10+1,1))</f>
        <v>439.19854273764042</v>
      </c>
      <c r="AO12" s="62">
        <f t="shared" si="36"/>
        <v>278.21741231699929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1.1000000000000001</v>
      </c>
      <c r="BD12" s="13">
        <f>IF('Données projet'!$A$88&gt;35,BD11+BC12-BL11,IF(A12&lt;'Données projet'!$A$88,$BA$205^A12,IF(A12='Données projet'!$A$88,'Données projet'!$B$88,BD11+BC12-BL11)))</f>
        <v>8.6547278641645029</v>
      </c>
      <c r="BE12" s="14">
        <f>BD12*VLOOKUP('Données projet'!$B$11,Paramètres!$A$1:$I$89,3,0)*VLOOKUP('Données projet'!$B$11,Paramètres!$A$1:$I$89,5,0)</f>
        <v>6.8857014887292793</v>
      </c>
      <c r="BF12" s="14">
        <f t="shared" si="37"/>
        <v>2.5349131627802968</v>
      </c>
      <c r="BG12" s="22">
        <f t="shared" si="7"/>
        <v>16.407570518045844</v>
      </c>
      <c r="BH12" s="62">
        <f t="shared" si="8"/>
        <v>284.0742371847125</v>
      </c>
      <c r="BI12" s="62">
        <f ca="1">AVERAGE(OFFSET($BH$3,0,0,'Données projet'!$E$11+1,1))-AVERAGE(OFFSET($H$3,0,0,'Données projet'!$E$11+1,1))</f>
        <v>352.88510024787888</v>
      </c>
      <c r="BJ12" s="62">
        <f t="shared" si="38"/>
        <v>343.77208530767069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1.1000000000000001</v>
      </c>
      <c r="BY12" s="13">
        <f>IF('Données projet'!$A$114&gt;35,BY11+BX12-CG11,IF(A12&lt;'Données projet'!$A$114,$BV$205^A12,IF(A12='Données projet'!$A$114,'Données projet'!$B$114,BY11+BX12-CG11)))</f>
        <v>8.6547278641645029</v>
      </c>
      <c r="BZ12" s="14">
        <f>BY12*VLOOKUP('Données projet'!$B$12,Paramètres!$A$1:$I$89,3,0)*VLOOKUP('Données projet'!$B$12,Paramètres!$A$1:$I$89,5,0)</f>
        <v>6.3456464700054127</v>
      </c>
      <c r="CA12" s="14">
        <f t="shared" si="39"/>
        <v>2.3584123814576028</v>
      </c>
      <c r="CB12" s="22">
        <f t="shared" si="10"/>
        <v>15.159569166298086</v>
      </c>
      <c r="CC12" s="62">
        <f t="shared" si="11"/>
        <v>282.82623583296476</v>
      </c>
      <c r="CD12" s="62">
        <f ca="1">AVERAGE(OFFSET($CC$3,0,0,'Données projet'!$E$12+1,1))-AVERAGE(OFFSET($H$3,0,0,'Données projet'!$E$12+1,1))</f>
        <v>328.10411227536315</v>
      </c>
      <c r="CE12" s="62">
        <f t="shared" si="40"/>
        <v>320.24200483294322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2.6666666666666665</v>
      </c>
      <c r="CT12" s="13">
        <f>IF('Données projet'!$A$140&gt;35,CT11+CS12-DB11,IF(A12&lt;'Données projet'!$A$140,$CQ$205^A12,IF(A12='Données projet'!$A$140,'Données projet'!$B$140,CT11+CS12-DB11)))</f>
        <v>9.1461010385465205</v>
      </c>
      <c r="CU12" s="18">
        <f>CT12*VLOOKUP('Données projet'!$B$13,Paramètres!$A$1:$I$89,3,0)*VLOOKUP('Données projet'!$B$13,Paramètres!$A$1:$I$89,5,0)</f>
        <v>7.1339588100662858</v>
      </c>
      <c r="CV12" s="14">
        <f t="shared" si="41"/>
        <v>2.6155015444227643</v>
      </c>
      <c r="CW12" s="22">
        <f t="shared" si="13"/>
        <v>16.980310117401761</v>
      </c>
      <c r="CX12" s="62">
        <f t="shared" si="14"/>
        <v>284.64697678406844</v>
      </c>
      <c r="CY12" s="62">
        <f ca="1">AVERAGE(OFFSET($CX$3,0,0,'Données projet'!$E$13+1,1))-AVERAGE(OFFSET($H$3,0,0,'Données projet'!$E$13+1,1))</f>
        <v>288.82868507674738</v>
      </c>
      <c r="CZ12" s="62">
        <f t="shared" si="42"/>
        <v>283.48738729114024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3.65</v>
      </c>
      <c r="DO12" s="13">
        <f>IF('Données projet'!$A$166&gt;35,DO11+DN12-DW11,IF(A12&lt;'Données projet'!$A$166,$DL$205^A12,IF(A12='Données projet'!$A$166,'Données projet'!$B$166,DO11+DN12-DW11)))</f>
        <v>6.8943811137639424</v>
      </c>
      <c r="DP12" s="18">
        <f>DO12*VLOOKUP('Données projet'!$B$14,Paramètres!$A$1:$I$89,3,0)*VLOOKUP('Données projet'!$B$14,Paramètres!$A$1:$I$89,5,0)</f>
        <v>6.9909024493566383</v>
      </c>
      <c r="DQ12" s="14">
        <f t="shared" si="43"/>
        <v>2.5691037174250742</v>
      </c>
      <c r="DR12" s="22">
        <f t="shared" si="16"/>
        <v>16.650344073811482</v>
      </c>
      <c r="DS12" s="62">
        <f t="shared" si="17"/>
        <v>284.31701074047817</v>
      </c>
      <c r="DT12" s="62">
        <f ca="1">AVERAGE(OFFSET($DS$3,0,0,'Données projet'!$E$14+1,1))-AVERAGE(OFFSET($H$3,0,0,'Données projet'!$E$14+1,1))</f>
        <v>487.04124684635974</v>
      </c>
      <c r="DU12" s="62">
        <f t="shared" si="44"/>
        <v>306.61893266146666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3.65</v>
      </c>
      <c r="EJ12" s="13">
        <f>IF('Données projet'!$A$192&gt;35,EJ11+EI12-ER11,IF(A12&lt;'Données projet'!$A$192,$EG$205^A12,IF(A12='Données projet'!$A$192,'Données projet'!$B$192,EJ11+EI12-ER11)))</f>
        <v>6.8943811137639424</v>
      </c>
      <c r="EK12" s="18">
        <f>EJ12*VLOOKUP('Données projet'!$B$15,Paramètres!$A$1:$I$89,3,0)*VLOOKUP('Données projet'!$B$15,Paramètres!$A$1:$I$89,5,0)</f>
        <v>6.560693067857768</v>
      </c>
      <c r="EL12" s="14">
        <f t="shared" si="45"/>
        <v>2.4288955423249754</v>
      </c>
      <c r="EM12" s="22">
        <f t="shared" si="19"/>
        <v>15.65686682940161</v>
      </c>
      <c r="EN12" s="62">
        <f t="shared" si="20"/>
        <v>283.32353349606831</v>
      </c>
      <c r="EO12" s="62">
        <f ca="1">AVERAGE(OFFSET($EN$3,0,0,'Données projet'!$E$15+1,1))-AVERAGE(OFFSET($H$3,0,0,'Données projet'!$E$15+1,1))</f>
        <v>459.64120566196812</v>
      </c>
      <c r="EP12" s="62">
        <f t="shared" si="46"/>
        <v>290.39826583283588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3.65</v>
      </c>
      <c r="FE12" s="13">
        <f>IF('Données projet'!$A$218&gt;35,FE11+FD12-FM11,IF(A12&lt;'Données projet'!$A$218,$FB$205^A12,IF(A12='Données projet'!$A$218,'Données projet'!$B$218,FE11+FD12-FM11)))</f>
        <v>6.8943811137639424</v>
      </c>
      <c r="FF12" s="18">
        <f>FE12*VLOOKUP('Données projet'!$B$16,Paramètres!$A$1:$I$89,3,0)*VLOOKUP('Données projet'!$B$16,Paramètres!$A$1:$I$89,5,0)</f>
        <v>4.6247508511128528</v>
      </c>
      <c r="FG12" s="14">
        <f t="shared" si="47"/>
        <v>1.7832988231426912</v>
      </c>
      <c r="FH12" s="22">
        <f t="shared" si="22"/>
        <v>11.160686515995073</v>
      </c>
      <c r="FI12" s="62">
        <f t="shared" si="23"/>
        <v>278.82735318266174</v>
      </c>
      <c r="FJ12" s="62">
        <f ca="1">AVERAGE(OFFSET($FI$3,0,0,'Données projet'!$E$16+1,1))-AVERAGE(OFFSET($H$3,0,0,'Données projet'!$E$16+1,1))</f>
        <v>335.83558218229564</v>
      </c>
      <c r="FK12" s="62">
        <f t="shared" si="48"/>
        <v>217.08423061559648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5.8</v>
      </c>
      <c r="N13" s="14">
        <f>IF('Données projet'!$A$36&gt;35,N12+M13-V12,IF(A13&lt;'Données projet'!$A$36,$K$205^A13,IF(A13='Données projet'!$A$36,'Données projet'!$B$36,N12+M13-V12)))</f>
        <v>19.634183025716826</v>
      </c>
      <c r="O13" s="14">
        <f>N13*VLOOKUP('Données projet'!$B$9,Paramètres!$A$1:$I$89,3,0)*VLOOKUP('Données projet'!$B$9,Paramètres!$A$1:$I$89,5,0)</f>
        <v>17.152422291266223</v>
      </c>
      <c r="P13" s="14">
        <f t="shared" si="33"/>
        <v>5.678086989362658</v>
      </c>
      <c r="Q13" s="22">
        <f t="shared" si="2"/>
        <v>39.763136997095295</v>
      </c>
      <c r="R13" s="62">
        <f t="shared" si="0"/>
        <v>308.65202588598413</v>
      </c>
      <c r="S13" s="62">
        <f ca="1">AVERAGE(OFFSET($R$3,0,0,'Données projet'!$E$9+1,1))-AVERAGE(OFFSET($H$3,0,0,'Données projet'!$E$9+1,1))</f>
        <v>321.23599968992932</v>
      </c>
      <c r="T13" s="62">
        <f t="shared" si="34"/>
        <v>388.05195847800502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3.65</v>
      </c>
      <c r="AI13" s="14">
        <f>IF('Données projet'!$A$62&gt;35,AI12+AH13-AQ12,IF(A13&lt;'Données projet'!$A$62,$AF$205^A13,IF(A13='Données projet'!$A$62,'Données projet'!$B$62,AI12+AH13-AQ12)))</f>
        <v>8.5440037453175322</v>
      </c>
      <c r="AJ13" s="14">
        <f>AI13*VLOOKUP('Données projet'!$B$10,Paramètres!$A$1:$I$89,3,0)*VLOOKUP('Données projet'!$B$10,Paramètres!$A$1:$I$89,5,0)</f>
        <v>7.7306145887633031</v>
      </c>
      <c r="AK13" s="14">
        <f t="shared" si="35"/>
        <v>2.8078763226288115</v>
      </c>
      <c r="AL13" s="22">
        <f t="shared" si="4"/>
        <v>18.354538337341264</v>
      </c>
      <c r="AM13" s="62">
        <f t="shared" si="5"/>
        <v>287.2434272262301</v>
      </c>
      <c r="AN13" s="62">
        <f ca="1">AVERAGE(OFFSET($AM$3,0,0,'Données projet'!$E$10+1,1))-AVERAGE(OFFSET($H$3,0,0,'Données projet'!$E$10+1,1))</f>
        <v>439.19854273764042</v>
      </c>
      <c r="AO13" s="62">
        <f t="shared" si="36"/>
        <v>278.21741231699929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>
        <f>VLOOKUP(A13,'Données projet'!$A$87:$I$107,2,0)</f>
        <v>11</v>
      </c>
      <c r="BB13" s="13">
        <f>VLOOKUP(A13,'Données projet'!$A$87:$I$107,9,0)</f>
        <v>1.1000000000000001</v>
      </c>
      <c r="BC13" s="13">
        <f t="array" ref="BC13">INDEX(BB:BB,MIN(IF(ISNUMBER(BB13:BB209),ROW(BB13:BB209),"")))</f>
        <v>1.1000000000000001</v>
      </c>
      <c r="BD13" s="13">
        <f>IF('Données projet'!$A$88&gt;35,BD12+BC13-BL12,IF(A13&lt;'Données projet'!$A$88,$BA$205^A13,IF(A13='Données projet'!$A$88,'Données projet'!$B$88,BD12+BC13-BL12)))</f>
        <v>11</v>
      </c>
      <c r="BE13" s="14">
        <f>BD13*VLOOKUP('Données projet'!$B$11,Paramètres!$A$1:$I$89,3,0)*VLOOKUP('Données projet'!$B$11,Paramètres!$A$1:$I$89,5,0)</f>
        <v>8.7516000000000016</v>
      </c>
      <c r="BF13" s="14">
        <f t="shared" si="37"/>
        <v>3.1331453604025001</v>
      </c>
      <c r="BG13" s="22">
        <f t="shared" si="7"/>
        <v>20.699264836034356</v>
      </c>
      <c r="BH13" s="62">
        <f t="shared" si="8"/>
        <v>289.58815372492319</v>
      </c>
      <c r="BI13" s="62">
        <f ca="1">AVERAGE(OFFSET($BH$3,0,0,'Données projet'!$E$11+1,1))-AVERAGE(OFFSET($H$3,0,0,'Données projet'!$E$11+1,1))</f>
        <v>352.88510024787888</v>
      </c>
      <c r="BJ13" s="62">
        <f t="shared" si="38"/>
        <v>343.77208530767069</v>
      </c>
      <c r="BK13" s="16">
        <f>IF(ISNA(VLOOKUP(A13,'Données projet'!$A$87:$I$107,3,0)),0,VLOOKUP(A13,'Données projet'!$A$87:$I$107,3,0))</f>
        <v>1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>
        <f>VLOOKUP(A13,'Données projet'!$A$113:$I$133,2,0)</f>
        <v>11</v>
      </c>
      <c r="BW13" s="13">
        <f>VLOOKUP(A13,'Données projet'!$A$113:$I$133,9,0)</f>
        <v>1.1000000000000001</v>
      </c>
      <c r="BX13" s="13">
        <f t="array" ref="BX13">INDEX(BW:BW,MIN(IF(ISNUMBER(BW13:BW209),ROW(BW13:BW209),"")))</f>
        <v>1.1000000000000001</v>
      </c>
      <c r="BY13" s="13">
        <f>IF('Données projet'!$A$114&gt;35,BY12+BX13-CG12,IF(A13&lt;'Données projet'!$A$114,$BV$205^A13,IF(A13='Données projet'!$A$114,'Données projet'!$B$114,BY12+BX13-CG12)))</f>
        <v>11</v>
      </c>
      <c r="BZ13" s="14">
        <f>BY13*VLOOKUP('Données projet'!$B$12,Paramètres!$A$1:$I$89,3,0)*VLOOKUP('Données projet'!$B$12,Paramètres!$A$1:$I$89,5,0)</f>
        <v>8.0652000000000008</v>
      </c>
      <c r="CA13" s="14">
        <f t="shared" si="39"/>
        <v>2.9149909035839161</v>
      </c>
      <c r="CB13" s="22">
        <f t="shared" si="10"/>
        <v>19.123832490408656</v>
      </c>
      <c r="CC13" s="62">
        <f t="shared" si="11"/>
        <v>288.01272137929749</v>
      </c>
      <c r="CD13" s="62">
        <f ca="1">AVERAGE(OFFSET($CC$3,0,0,'Données projet'!$E$12+1,1))-AVERAGE(OFFSET($H$3,0,0,'Données projet'!$E$12+1,1))</f>
        <v>328.10411227536315</v>
      </c>
      <c r="CE13" s="62">
        <f t="shared" si="40"/>
        <v>320.24200483294322</v>
      </c>
      <c r="CF13" s="16">
        <f>IF(ISNA(VLOOKUP(A13,'Données projet'!$A$113:$I$133,3,0)),0,VLOOKUP(A13,'Données projet'!$A$113:$I$133,3,0))</f>
        <v>1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2.6666666666666665</v>
      </c>
      <c r="CT13" s="13">
        <f>IF('Données projet'!$A$140&gt;35,CT12+CS13-DB12,IF(A13&lt;'Données projet'!$A$140,$CQ$205^A13,IF(A13='Données projet'!$A$140,'Données projet'!$B$140,CT12+CS13-DB12)))</f>
        <v>11.696070952851455</v>
      </c>
      <c r="CU13" s="18">
        <f>CT13*VLOOKUP('Données projet'!$B$13,Paramètres!$A$1:$I$89,3,0)*VLOOKUP('Données projet'!$B$13,Paramètres!$A$1:$I$89,5,0)</f>
        <v>9.1229353432241354</v>
      </c>
      <c r="CV13" s="14">
        <f t="shared" si="41"/>
        <v>3.2503265450485803</v>
      </c>
      <c r="CW13" s="22">
        <f t="shared" si="13"/>
        <v>21.550097788741649</v>
      </c>
      <c r="CX13" s="62">
        <f t="shared" si="14"/>
        <v>290.43898667763051</v>
      </c>
      <c r="CY13" s="62">
        <f ca="1">AVERAGE(OFFSET($CX$3,0,0,'Données projet'!$E$13+1,1))-AVERAGE(OFFSET($H$3,0,0,'Données projet'!$E$13+1,1))</f>
        <v>288.82868507674738</v>
      </c>
      <c r="CZ13" s="62">
        <f t="shared" si="42"/>
        <v>283.48738729114024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3.65</v>
      </c>
      <c r="DO13" s="13">
        <f>IF('Données projet'!$A$166&gt;35,DO12+DN13-DW12,IF(A13&lt;'Données projet'!$A$166,$DL$205^A13,IF(A13='Données projet'!$A$166,'Données projet'!$B$166,DO12+DN13-DW12)))</f>
        <v>8.5440037453175322</v>
      </c>
      <c r="DP13" s="18">
        <f>DO13*VLOOKUP('Données projet'!$B$14,Paramètres!$A$1:$I$89,3,0)*VLOOKUP('Données projet'!$B$14,Paramètres!$A$1:$I$89,5,0)</f>
        <v>8.6636197977519771</v>
      </c>
      <c r="DQ13" s="14">
        <f t="shared" si="43"/>
        <v>3.1052976990698267</v>
      </c>
      <c r="DR13" s="22">
        <f t="shared" si="16"/>
        <v>20.497531306964643</v>
      </c>
      <c r="DS13" s="62">
        <f t="shared" si="17"/>
        <v>289.38642019585347</v>
      </c>
      <c r="DT13" s="62">
        <f ca="1">AVERAGE(OFFSET($DS$3,0,0,'Données projet'!$E$14+1,1))-AVERAGE(OFFSET($H$3,0,0,'Données projet'!$E$14+1,1))</f>
        <v>487.04124684635974</v>
      </c>
      <c r="DU13" s="62">
        <f t="shared" si="44"/>
        <v>306.61893266146666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3.65</v>
      </c>
      <c r="EJ13" s="13">
        <f>IF('Données projet'!$A$192&gt;35,EJ12+EI13-ER12,IF(A13&lt;'Données projet'!$A$192,$EG$205^A13,IF(A13='Données projet'!$A$192,'Données projet'!$B$192,EJ12+EI13-ER12)))</f>
        <v>8.5440037453175322</v>
      </c>
      <c r="EK13" s="18">
        <f>EJ13*VLOOKUP('Données projet'!$B$15,Paramètres!$A$1:$I$89,3,0)*VLOOKUP('Données projet'!$B$15,Paramètres!$A$1:$I$89,5,0)</f>
        <v>8.1304739640441639</v>
      </c>
      <c r="EL13" s="14">
        <f t="shared" si="45"/>
        <v>2.9358268752272259</v>
      </c>
      <c r="EM13" s="22">
        <f t="shared" si="19"/>
        <v>19.273807295064337</v>
      </c>
      <c r="EN13" s="62">
        <f t="shared" si="20"/>
        <v>288.16269618395319</v>
      </c>
      <c r="EO13" s="62">
        <f ca="1">AVERAGE(OFFSET($EN$3,0,0,'Données projet'!$E$15+1,1))-AVERAGE(OFFSET($H$3,0,0,'Données projet'!$E$15+1,1))</f>
        <v>459.64120566196812</v>
      </c>
      <c r="EP13" s="62">
        <f t="shared" si="46"/>
        <v>290.39826583283588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3.65</v>
      </c>
      <c r="FE13" s="13">
        <f>IF('Données projet'!$A$218&gt;35,FE12+FD13-FM12,IF(A13&lt;'Données projet'!$A$218,$FB$205^A13,IF(A13='Données projet'!$A$218,'Données projet'!$B$218,FE12+FD13-FM12)))</f>
        <v>8.5440037453175322</v>
      </c>
      <c r="FF13" s="18">
        <f>FE13*VLOOKUP('Données projet'!$B$16,Paramètres!$A$1:$I$89,3,0)*VLOOKUP('Données projet'!$B$16,Paramètres!$A$1:$I$89,5,0)</f>
        <v>5.7313177123590009</v>
      </c>
      <c r="FG13" s="14">
        <f t="shared" si="47"/>
        <v>2.1554885833138533</v>
      </c>
      <c r="FH13" s="22">
        <f t="shared" si="22"/>
        <v>13.736187631630221</v>
      </c>
      <c r="FI13" s="62">
        <f t="shared" si="23"/>
        <v>282.62507652051909</v>
      </c>
      <c r="FJ13" s="62">
        <f ca="1">AVERAGE(OFFSET($FI$3,0,0,'Données projet'!$E$16+1,1))-AVERAGE(OFFSET($H$3,0,0,'Données projet'!$E$16+1,1))</f>
        <v>335.83558218229564</v>
      </c>
      <c r="FK13" s="62">
        <f t="shared" si="48"/>
        <v>217.08423061559648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5.8</v>
      </c>
      <c r="N14" s="14">
        <f>IF('Données projet'!$A$36&gt;35,N13+M14-V13,IF(A14&lt;'Données projet'!$A$36,$K$205^A14,IF(A14='Données projet'!$A$36,'Données projet'!$B$36,N13+M14-V13)))</f>
        <v>26.443206626903088</v>
      </c>
      <c r="O14" s="14">
        <f>N14*VLOOKUP('Données projet'!$B$9,Paramètres!$A$1:$I$89,3,0)*VLOOKUP('Données projet'!$B$9,Paramètres!$A$1:$I$89,5,0)</f>
        <v>23.100785309262541</v>
      </c>
      <c r="P14" s="14">
        <f t="shared" si="33"/>
        <v>7.3867373282653306</v>
      </c>
      <c r="Q14" s="22">
        <f t="shared" si="2"/>
        <v>53.099101927027704</v>
      </c>
      <c r="R14" s="62">
        <f t="shared" si="0"/>
        <v>323.21021303813882</v>
      </c>
      <c r="S14" s="62">
        <f ca="1">AVERAGE(OFFSET($R$3,0,0,'Données projet'!$E$9+1,1))-AVERAGE(OFFSET($H$3,0,0,'Données projet'!$E$9+1,1))</f>
        <v>321.23599968992932</v>
      </c>
      <c r="T14" s="62">
        <f t="shared" si="34"/>
        <v>388.05195847800502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3.65</v>
      </c>
      <c r="AI14" s="14">
        <f>IF('Données projet'!$A$62&gt;35,AI13+AH14-AQ13,IF(A14&lt;'Données projet'!$A$62,$AF$205^A14,IF(A14='Données projet'!$A$62,'Données projet'!$B$62,AI13+AH14-AQ13)))</f>
        <v>10.588332555950936</v>
      </c>
      <c r="AJ14" s="14">
        <f>AI14*VLOOKUP('Données projet'!$B$10,Paramètres!$A$1:$I$89,3,0)*VLOOKUP('Données projet'!$B$10,Paramètres!$A$1:$I$89,5,0)</f>
        <v>9.5803232966244067</v>
      </c>
      <c r="AK14" s="14">
        <f t="shared" si="35"/>
        <v>3.3939041949894282</v>
      </c>
      <c r="AL14" s="22">
        <f t="shared" si="4"/>
        <v>22.596779547894098</v>
      </c>
      <c r="AM14" s="62">
        <f t="shared" si="5"/>
        <v>292.70789065900522</v>
      </c>
      <c r="AN14" s="62">
        <f ca="1">AVERAGE(OFFSET($AM$3,0,0,'Données projet'!$E$10+1,1))-AVERAGE(OFFSET($H$3,0,0,'Données projet'!$E$10+1,1))</f>
        <v>439.19854273764042</v>
      </c>
      <c r="AO14" s="62">
        <f t="shared" si="36"/>
        <v>278.21741231699929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10.8</v>
      </c>
      <c r="BD14" s="13">
        <f>IF('Données projet'!$A$88&gt;35,BD13+BC14-BL13,IF(A14&lt;'Données projet'!$A$88,$BA$205^A14,IF(A14='Données projet'!$A$88,'Données projet'!$B$88,BD13+BC14-BL13)))</f>
        <v>21.8</v>
      </c>
      <c r="BE14" s="14">
        <f>BD14*VLOOKUP('Données projet'!$B$11,Paramètres!$A$1:$I$89,3,0)*VLOOKUP('Données projet'!$B$11,Paramètres!$A$1:$I$89,5,0)</f>
        <v>17.344080000000002</v>
      </c>
      <c r="BF14" s="14">
        <f t="shared" si="37"/>
        <v>5.7341113912136308</v>
      </c>
      <c r="BG14" s="22">
        <f t="shared" si="7"/>
        <v>40.194516673030414</v>
      </c>
      <c r="BH14" s="62">
        <f t="shared" si="8"/>
        <v>310.30562778414156</v>
      </c>
      <c r="BI14" s="62">
        <f ca="1">AVERAGE(OFFSET($BH$3,0,0,'Données projet'!$E$11+1,1))-AVERAGE(OFFSET($H$3,0,0,'Données projet'!$E$11+1,1))</f>
        <v>352.88510024787888</v>
      </c>
      <c r="BJ14" s="62">
        <f t="shared" si="38"/>
        <v>343.77208530767069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10.8</v>
      </c>
      <c r="BY14" s="13">
        <f>IF('Données projet'!$A$114&gt;35,BY13+BX14-CG13,IF(A14&lt;'Données projet'!$A$114,$BV$205^A14,IF(A14='Données projet'!$A$114,'Données projet'!$B$114,BY13+BX14-CG13)))</f>
        <v>21.8</v>
      </c>
      <c r="BZ14" s="14">
        <f>BY14*VLOOKUP('Données projet'!$B$12,Paramètres!$A$1:$I$89,3,0)*VLOOKUP('Données projet'!$B$12,Paramètres!$A$1:$I$89,5,0)</f>
        <v>15.983760000000002</v>
      </c>
      <c r="CA14" s="14">
        <f t="shared" si="39"/>
        <v>5.3348570279475842</v>
      </c>
      <c r="CB14" s="22">
        <f t="shared" si="10"/>
        <v>37.129924657008708</v>
      </c>
      <c r="CC14" s="62">
        <f t="shared" si="11"/>
        <v>307.24103576811984</v>
      </c>
      <c r="CD14" s="62">
        <f ca="1">AVERAGE(OFFSET($CC$3,0,0,'Données projet'!$E$12+1,1))-AVERAGE(OFFSET($H$3,0,0,'Données projet'!$E$12+1,1))</f>
        <v>328.10411227536315</v>
      </c>
      <c r="CE14" s="62">
        <f t="shared" si="40"/>
        <v>320.24200483294322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2.6666666666666665</v>
      </c>
      <c r="CT14" s="13">
        <f>IF('Données projet'!$A$140&gt;35,CT13+CS14-DB13,IF(A14&lt;'Données projet'!$A$140,$CQ$205^A14,IF(A14='Données projet'!$A$140,'Données projet'!$B$140,CT13+CS14-DB13)))</f>
        <v>14.956982779612416</v>
      </c>
      <c r="CU14" s="18">
        <f>CT14*VLOOKUP('Données projet'!$B$13,Paramètres!$A$1:$I$89,3,0)*VLOOKUP('Données projet'!$B$13,Paramètres!$A$1:$I$89,5,0)</f>
        <v>11.666446568097685</v>
      </c>
      <c r="CV14" s="14">
        <f t="shared" si="41"/>
        <v>4.0392339557111736</v>
      </c>
      <c r="CW14" s="22">
        <f t="shared" si="13"/>
        <v>27.354060245633761</v>
      </c>
      <c r="CX14" s="62">
        <f t="shared" si="14"/>
        <v>297.46517135674492</v>
      </c>
      <c r="CY14" s="62">
        <f ca="1">AVERAGE(OFFSET($CX$3,0,0,'Données projet'!$E$13+1,1))-AVERAGE(OFFSET($H$3,0,0,'Données projet'!$E$13+1,1))</f>
        <v>288.82868507674738</v>
      </c>
      <c r="CZ14" s="62">
        <f t="shared" si="42"/>
        <v>283.48738729114024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3.65</v>
      </c>
      <c r="DO14" s="13">
        <f>IF('Données projet'!$A$166&gt;35,DO13+DN14-DW13,IF(A14&lt;'Données projet'!$A$166,$DL$205^A14,IF(A14='Données projet'!$A$166,'Données projet'!$B$166,DO13+DN14-DW13)))</f>
        <v>10.588332555950936</v>
      </c>
      <c r="DP14" s="18">
        <f>DO14*VLOOKUP('Données projet'!$B$14,Paramètres!$A$1:$I$89,3,0)*VLOOKUP('Données projet'!$B$14,Paramètres!$A$1:$I$89,5,0)</f>
        <v>10.736569211734251</v>
      </c>
      <c r="DQ14" s="14">
        <f t="shared" si="43"/>
        <v>3.7533999637480915</v>
      </c>
      <c r="DR14" s="22">
        <f t="shared" si="16"/>
        <v>25.23669631396508</v>
      </c>
      <c r="DS14" s="62">
        <f t="shared" si="17"/>
        <v>295.34780742507621</v>
      </c>
      <c r="DT14" s="62">
        <f ca="1">AVERAGE(OFFSET($DS$3,0,0,'Données projet'!$E$14+1,1))-AVERAGE(OFFSET($H$3,0,0,'Données projet'!$E$14+1,1))</f>
        <v>487.04124684635974</v>
      </c>
      <c r="DU14" s="62">
        <f t="shared" si="44"/>
        <v>306.61893266146666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3.65</v>
      </c>
      <c r="EJ14" s="13">
        <f>IF('Données projet'!$A$192&gt;35,EJ13+EI14-ER13,IF(A14&lt;'Données projet'!$A$192,$EG$205^A14,IF(A14='Données projet'!$A$192,'Données projet'!$B$192,EJ13+EI14-ER13)))</f>
        <v>10.588332555950936</v>
      </c>
      <c r="EK14" s="18">
        <f>EJ14*VLOOKUP('Données projet'!$B$15,Paramètres!$A$1:$I$89,3,0)*VLOOKUP('Données projet'!$B$15,Paramètres!$A$1:$I$89,5,0)</f>
        <v>10.075857260242911</v>
      </c>
      <c r="EL14" s="14">
        <f t="shared" si="45"/>
        <v>3.5485591253776776</v>
      </c>
      <c r="EM14" s="22">
        <f t="shared" si="19"/>
        <v>23.729191871622522</v>
      </c>
      <c r="EN14" s="62">
        <f t="shared" si="20"/>
        <v>293.84030298273365</v>
      </c>
      <c r="EO14" s="62">
        <f ca="1">AVERAGE(OFFSET($EN$3,0,0,'Données projet'!$E$15+1,1))-AVERAGE(OFFSET($H$3,0,0,'Données projet'!$E$15+1,1))</f>
        <v>459.64120566196812</v>
      </c>
      <c r="EP14" s="62">
        <f t="shared" si="46"/>
        <v>290.39826583283588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3.65</v>
      </c>
      <c r="FE14" s="13">
        <f>IF('Données projet'!$A$218&gt;35,FE13+FD14-FM13,IF(A14&lt;'Données projet'!$A$218,$FB$205^A14,IF(A14='Données projet'!$A$218,'Données projet'!$B$218,FE13+FD14-FM13)))</f>
        <v>10.588332555950936</v>
      </c>
      <c r="FF14" s="18">
        <f>FE14*VLOOKUP('Données projet'!$B$16,Paramètres!$A$1:$I$89,3,0)*VLOOKUP('Données projet'!$B$16,Paramètres!$A$1:$I$89,5,0)</f>
        <v>7.102653478531888</v>
      </c>
      <c r="FG14" s="14">
        <f t="shared" si="47"/>
        <v>2.6053575387934864</v>
      </c>
      <c r="FH14" s="22">
        <f t="shared" si="22"/>
        <v>16.908119188508362</v>
      </c>
      <c r="FI14" s="62">
        <f t="shared" si="23"/>
        <v>287.01923029961949</v>
      </c>
      <c r="FJ14" s="62">
        <f ca="1">AVERAGE(OFFSET($FI$3,0,0,'Données projet'!$E$16+1,1))-AVERAGE(OFFSET($H$3,0,0,'Données projet'!$E$16+1,1))</f>
        <v>335.83558218229564</v>
      </c>
      <c r="FK14" s="62">
        <f t="shared" si="48"/>
        <v>217.08423061559648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5.8</v>
      </c>
      <c r="N15" s="14">
        <f>IF('Données projet'!$A$36&gt;35,N14+M15-V14,IF(A15&lt;'Données projet'!$A$36,$K$205^A15,IF(A15='Données projet'!$A$36,'Données projet'!$B$36,N14+M15-V14)))</f>
        <v>35.613561093793592</v>
      </c>
      <c r="O15" s="14">
        <f>N15*VLOOKUP('Données projet'!$B$9,Paramètres!$A$1:$I$89,3,0)*VLOOKUP('Données projet'!$B$9,Paramètres!$A$1:$I$89,5,0)</f>
        <v>31.112006971538086</v>
      </c>
      <c r="P15" s="14">
        <f t="shared" si="33"/>
        <v>9.6095548481396289</v>
      </c>
      <c r="Q15" s="22">
        <f t="shared" si="2"/>
        <v>70.9233868359387</v>
      </c>
      <c r="R15" s="62">
        <f t="shared" si="0"/>
        <v>342.256720169272</v>
      </c>
      <c r="S15" s="62">
        <f ca="1">AVERAGE(OFFSET($R$3,0,0,'Données projet'!$E$9+1,1))-AVERAGE(OFFSET($H$3,0,0,'Données projet'!$E$9+1,1))</f>
        <v>321.23599968992932</v>
      </c>
      <c r="T15" s="62">
        <f t="shared" si="34"/>
        <v>388.05195847800502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3.65</v>
      </c>
      <c r="AI15" s="14">
        <f>IF('Données projet'!$A$62&gt;35,AI14+AH15-AQ14,IF(A15&lt;'Données projet'!$A$62,$AF$205^A15,IF(A15='Données projet'!$A$62,'Données projet'!$B$62,AI14+AH15-AQ14)))</f>
        <v>13.121809125710287</v>
      </c>
      <c r="AJ15" s="14">
        <f>AI15*VLOOKUP('Données projet'!$B$10,Paramètres!$A$1:$I$89,3,0)*VLOOKUP('Données projet'!$B$10,Paramètres!$A$1:$I$89,5,0)</f>
        <v>11.872612896942668</v>
      </c>
      <c r="AK15" s="14">
        <f t="shared" si="35"/>
        <v>4.1022411108131784</v>
      </c>
      <c r="AL15" s="22">
        <f t="shared" si="4"/>
        <v>27.822870730174767</v>
      </c>
      <c r="AM15" s="62">
        <f t="shared" si="5"/>
        <v>299.15620406350808</v>
      </c>
      <c r="AN15" s="62">
        <f ca="1">AVERAGE(OFFSET($AM$3,0,0,'Données projet'!$E$10+1,1))-AVERAGE(OFFSET($H$3,0,0,'Données projet'!$E$10+1,1))</f>
        <v>439.19854273764042</v>
      </c>
      <c r="AO15" s="62">
        <f t="shared" si="36"/>
        <v>278.21741231699929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10.8</v>
      </c>
      <c r="BD15" s="13">
        <f>IF('Données projet'!$A$88&gt;35,BD14+BC15-BL14,IF(A15&lt;'Données projet'!$A$88,$BA$205^A15,IF(A15='Données projet'!$A$88,'Données projet'!$B$88,BD14+BC15-BL14)))</f>
        <v>32.6</v>
      </c>
      <c r="BE15" s="14">
        <f>BD15*VLOOKUP('Données projet'!$B$11,Paramètres!$A$1:$I$89,3,0)*VLOOKUP('Données projet'!$B$11,Paramètres!$A$1:$I$89,5,0)</f>
        <v>25.936560000000004</v>
      </c>
      <c r="BF15" s="14">
        <f t="shared" si="37"/>
        <v>8.1824816304360635</v>
      </c>
      <c r="BG15" s="22">
        <f t="shared" si="7"/>
        <v>59.423997506342801</v>
      </c>
      <c r="BH15" s="62">
        <f t="shared" si="8"/>
        <v>330.75733083967611</v>
      </c>
      <c r="BI15" s="62">
        <f ca="1">AVERAGE(OFFSET($BH$3,0,0,'Données projet'!$E$11+1,1))-AVERAGE(OFFSET($H$3,0,0,'Données projet'!$E$11+1,1))</f>
        <v>352.88510024787888</v>
      </c>
      <c r="BJ15" s="62">
        <f t="shared" si="38"/>
        <v>343.77208530767069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10.8</v>
      </c>
      <c r="BY15" s="13">
        <f>IF('Données projet'!$A$114&gt;35,BY14+BX15-CG14,IF(A15&lt;'Données projet'!$A$114,$BV$205^A15,IF(A15='Données projet'!$A$114,'Données projet'!$B$114,BY14+BX15-CG14)))</f>
        <v>32.6</v>
      </c>
      <c r="BZ15" s="14">
        <f>BY15*VLOOKUP('Données projet'!$B$12,Paramètres!$A$1:$I$89,3,0)*VLOOKUP('Données projet'!$B$12,Paramètres!$A$1:$I$89,5,0)</f>
        <v>23.90232</v>
      </c>
      <c r="CA15" s="14">
        <f t="shared" si="39"/>
        <v>7.6127522913266521</v>
      </c>
      <c r="CB15" s="22">
        <f t="shared" si="10"/>
        <v>54.88875090739392</v>
      </c>
      <c r="CC15" s="62">
        <f t="shared" si="11"/>
        <v>326.22208424072721</v>
      </c>
      <c r="CD15" s="62">
        <f ca="1">AVERAGE(OFFSET($CC$3,0,0,'Données projet'!$E$12+1,1))-AVERAGE(OFFSET($H$3,0,0,'Données projet'!$E$12+1,1))</f>
        <v>328.10411227536315</v>
      </c>
      <c r="CE15" s="62">
        <f t="shared" si="40"/>
        <v>320.24200483294322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2.6666666666666665</v>
      </c>
      <c r="CT15" s="13">
        <f>IF('Données projet'!$A$140&gt;35,CT14+CS15-DB14,IF(A15&lt;'Données projet'!$A$140,$CQ$205^A15,IF(A15='Données projet'!$A$140,'Données projet'!$B$140,CT14+CS15-DB14)))</f>
        <v>19.127049995800721</v>
      </c>
      <c r="CU15" s="18">
        <f>CT15*VLOOKUP('Données projet'!$B$13,Paramètres!$A$1:$I$89,3,0)*VLOOKUP('Données projet'!$B$13,Paramètres!$A$1:$I$89,5,0)</f>
        <v>14.919098996724562</v>
      </c>
      <c r="CV15" s="14">
        <f t="shared" si="41"/>
        <v>5.019622097301081</v>
      </c>
      <c r="CW15" s="22">
        <f t="shared" si="13"/>
        <v>34.726605905427995</v>
      </c>
      <c r="CX15" s="62">
        <f t="shared" si="14"/>
        <v>306.05993923876133</v>
      </c>
      <c r="CY15" s="62">
        <f ca="1">AVERAGE(OFFSET($CX$3,0,0,'Données projet'!$E$13+1,1))-AVERAGE(OFFSET($H$3,0,0,'Données projet'!$E$13+1,1))</f>
        <v>288.82868507674738</v>
      </c>
      <c r="CZ15" s="62">
        <f t="shared" si="42"/>
        <v>283.48738729114024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3.65</v>
      </c>
      <c r="DO15" s="13">
        <f>IF('Données projet'!$A$166&gt;35,DO14+DN15-DW14,IF(A15&lt;'Données projet'!$A$166,$DL$205^A15,IF(A15='Données projet'!$A$166,'Données projet'!$B$166,DO14+DN15-DW14)))</f>
        <v>13.121809125710287</v>
      </c>
      <c r="DP15" s="18">
        <f>DO15*VLOOKUP('Données projet'!$B$14,Paramètres!$A$1:$I$89,3,0)*VLOOKUP('Données projet'!$B$14,Paramètres!$A$1:$I$89,5,0)</f>
        <v>13.305514453470233</v>
      </c>
      <c r="DQ15" s="14">
        <f t="shared" si="43"/>
        <v>4.5367667299931158</v>
      </c>
      <c r="DR15" s="22">
        <f t="shared" si="16"/>
        <v>31.075306394532003</v>
      </c>
      <c r="DS15" s="62">
        <f t="shared" si="17"/>
        <v>302.40863972786531</v>
      </c>
      <c r="DT15" s="62">
        <f ca="1">AVERAGE(OFFSET($DS$3,0,0,'Données projet'!$E$14+1,1))-AVERAGE(OFFSET($H$3,0,0,'Données projet'!$E$14+1,1))</f>
        <v>487.04124684635974</v>
      </c>
      <c r="DU15" s="62">
        <f t="shared" si="44"/>
        <v>306.61893266146666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3.65</v>
      </c>
      <c r="EJ15" s="13">
        <f>IF('Données projet'!$A$192&gt;35,EJ14+EI15-ER14,IF(A15&lt;'Données projet'!$A$192,$EG$205^A15,IF(A15='Données projet'!$A$192,'Données projet'!$B$192,EJ14+EI15-ER14)))</f>
        <v>13.121809125710287</v>
      </c>
      <c r="EK15" s="18">
        <f>EJ15*VLOOKUP('Données projet'!$B$15,Paramètres!$A$1:$I$89,3,0)*VLOOKUP('Données projet'!$B$15,Paramètres!$A$1:$I$89,5,0)</f>
        <v>12.486713564025909</v>
      </c>
      <c r="EL15" s="14">
        <f t="shared" si="45"/>
        <v>4.289173851685848</v>
      </c>
      <c r="EM15" s="22">
        <f t="shared" si="19"/>
        <v>29.218003915697977</v>
      </c>
      <c r="EN15" s="62">
        <f t="shared" si="20"/>
        <v>300.55133724903129</v>
      </c>
      <c r="EO15" s="62">
        <f ca="1">AVERAGE(OFFSET($EN$3,0,0,'Données projet'!$E$15+1,1))-AVERAGE(OFFSET($H$3,0,0,'Données projet'!$E$15+1,1))</f>
        <v>459.64120566196812</v>
      </c>
      <c r="EP15" s="62">
        <f t="shared" si="46"/>
        <v>290.39826583283588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3.65</v>
      </c>
      <c r="FE15" s="13">
        <f>IF('Données projet'!$A$218&gt;35,FE14+FD15-FM14,IF(A15&lt;'Données projet'!$A$218,$FB$205^A15,IF(A15='Données projet'!$A$218,'Données projet'!$B$218,FE14+FD15-FM14)))</f>
        <v>13.121809125710287</v>
      </c>
      <c r="FF15" s="18">
        <f>FE15*VLOOKUP('Données projet'!$B$16,Paramètres!$A$1:$I$89,3,0)*VLOOKUP('Données projet'!$B$16,Paramètres!$A$1:$I$89,5,0)</f>
        <v>8.8021095615264606</v>
      </c>
      <c r="FG15" s="14">
        <f t="shared" si="47"/>
        <v>3.1491180039155391</v>
      </c>
      <c r="FH15" s="22">
        <f t="shared" si="22"/>
        <v>20.815054676478152</v>
      </c>
      <c r="FI15" s="62">
        <f t="shared" si="23"/>
        <v>292.14838800981147</v>
      </c>
      <c r="FJ15" s="62">
        <f ca="1">AVERAGE(OFFSET($FI$3,0,0,'Données projet'!$E$16+1,1))-AVERAGE(OFFSET($H$3,0,0,'Données projet'!$E$16+1,1))</f>
        <v>335.83558218229564</v>
      </c>
      <c r="FK15" s="62">
        <f t="shared" si="48"/>
        <v>217.08423061559648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5.8</v>
      </c>
      <c r="N16" s="14">
        <f>IF('Données projet'!$A$36&gt;35,N15+M16-V15,IF(A16&lt;'Données projet'!$A$36,$K$205^A16,IF(A16='Données projet'!$A$36,'Données projet'!$B$36,N15+M16-V15)))</f>
        <v>47.964142612378375</v>
      </c>
      <c r="O16" s="14">
        <f>N16*VLOOKUP('Données projet'!$B$9,Paramètres!$A$1:$I$89,3,0)*VLOOKUP('Données projet'!$B$9,Paramètres!$A$1:$I$89,5,0)</f>
        <v>41.901474986173753</v>
      </c>
      <c r="P16" s="14">
        <f t="shared" si="33"/>
        <v>12.501262773491545</v>
      </c>
      <c r="Q16" s="22">
        <f t="shared" si="2"/>
        <v>94.751434931417066</v>
      </c>
      <c r="R16" s="62">
        <f t="shared" si="0"/>
        <v>367.30699048697261</v>
      </c>
      <c r="S16" s="62">
        <f ca="1">AVERAGE(OFFSET($R$3,0,0,'Données projet'!$E$9+1,1))-AVERAGE(OFFSET($H$3,0,0,'Données projet'!$E$9+1,1))</f>
        <v>321.23599968992932</v>
      </c>
      <c r="T16" s="62">
        <f t="shared" si="34"/>
        <v>388.05195847800502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3.65</v>
      </c>
      <c r="AI16" s="14">
        <f>IF('Données projet'!$A$62&gt;35,AI15+AH16-AQ15,IF(A16&lt;'Données projet'!$A$62,$AF$205^A16,IF(A16='Données projet'!$A$62,'Données projet'!$B$62,AI15+AH16-AQ15)))</f>
        <v>16.261472127148366</v>
      </c>
      <c r="AJ16" s="14">
        <f>AI16*VLOOKUP('Données projet'!$B$10,Paramètres!$A$1:$I$89,3,0)*VLOOKUP('Données projet'!$B$10,Paramètres!$A$1:$I$89,5,0)</f>
        <v>14.713379980643843</v>
      </c>
      <c r="AK16" s="14">
        <f t="shared" si="35"/>
        <v>4.9584140165447881</v>
      </c>
      <c r="AL16" s="22">
        <f t="shared" si="4"/>
        <v>34.261707878436859</v>
      </c>
      <c r="AM16" s="62">
        <f t="shared" si="5"/>
        <v>306.81726343399242</v>
      </c>
      <c r="AN16" s="62">
        <f ca="1">AVERAGE(OFFSET($AM$3,0,0,'Données projet'!$E$10+1,1))-AVERAGE(OFFSET($H$3,0,0,'Données projet'!$E$10+1,1))</f>
        <v>439.19854273764042</v>
      </c>
      <c r="AO16" s="62">
        <f t="shared" si="36"/>
        <v>278.21741231699929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10.8</v>
      </c>
      <c r="BD16" s="13">
        <f>IF('Données projet'!$A$88&gt;35,BD15+BC16-BL15,IF(A16&lt;'Données projet'!$A$88,$BA$205^A16,IF(A16='Données projet'!$A$88,'Données projet'!$B$88,BD15+BC16-BL15)))</f>
        <v>43.400000000000006</v>
      </c>
      <c r="BE16" s="14">
        <f>BD16*VLOOKUP('Données projet'!$B$11,Paramètres!$A$1:$I$89,3,0)*VLOOKUP('Données projet'!$B$11,Paramètres!$A$1:$I$89,5,0)</f>
        <v>34.529040000000009</v>
      </c>
      <c r="BF16" s="14">
        <f t="shared" si="37"/>
        <v>10.536391336679102</v>
      </c>
      <c r="BG16" s="22">
        <f t="shared" si="7"/>
        <v>78.488959578049446</v>
      </c>
      <c r="BH16" s="62">
        <f t="shared" si="8"/>
        <v>351.04451513360499</v>
      </c>
      <c r="BI16" s="62">
        <f ca="1">AVERAGE(OFFSET($BH$3,0,0,'Données projet'!$E$11+1,1))-AVERAGE(OFFSET($H$3,0,0,'Données projet'!$E$11+1,1))</f>
        <v>352.88510024787888</v>
      </c>
      <c r="BJ16" s="62">
        <f t="shared" si="38"/>
        <v>343.77208530767069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10.8</v>
      </c>
      <c r="BY16" s="13">
        <f>IF('Données projet'!$A$114&gt;35,BY15+BX16-CG15,IF(A16&lt;'Données projet'!$A$114,$BV$205^A16,IF(A16='Données projet'!$A$114,'Données projet'!$B$114,BY15+BX16-CG15)))</f>
        <v>43.400000000000006</v>
      </c>
      <c r="BZ16" s="14">
        <f>BY16*VLOOKUP('Données projet'!$B$12,Paramètres!$A$1:$I$89,3,0)*VLOOKUP('Données projet'!$B$12,Paramètres!$A$1:$I$89,5,0)</f>
        <v>31.820880000000006</v>
      </c>
      <c r="CA16" s="14">
        <f t="shared" si="39"/>
        <v>9.8027641140385384</v>
      </c>
      <c r="CB16" s="22">
        <f t="shared" si="10"/>
        <v>72.494513498617124</v>
      </c>
      <c r="CC16" s="62">
        <f t="shared" si="11"/>
        <v>345.0500690541727</v>
      </c>
      <c r="CD16" s="62">
        <f ca="1">AVERAGE(OFFSET($CC$3,0,0,'Données projet'!$E$12+1,1))-AVERAGE(OFFSET($H$3,0,0,'Données projet'!$E$12+1,1))</f>
        <v>328.10411227536315</v>
      </c>
      <c r="CE16" s="62">
        <f t="shared" si="40"/>
        <v>320.24200483294322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2.6666666666666665</v>
      </c>
      <c r="CT16" s="13">
        <f>IF('Données projet'!$A$140&gt;35,CT15+CS16-DB15,IF(A16&lt;'Données projet'!$A$140,$CQ$205^A16,IF(A16='Données projet'!$A$140,'Données projet'!$B$140,CT15+CS16-DB15)))</f>
        <v>24.459748796430759</v>
      </c>
      <c r="CU16" s="18">
        <f>CT16*VLOOKUP('Données projet'!$B$13,Paramètres!$A$1:$I$89,3,0)*VLOOKUP('Données projet'!$B$13,Paramètres!$A$1:$I$89,5,0)</f>
        <v>19.078604061215994</v>
      </c>
      <c r="CV16" s="14">
        <f t="shared" si="41"/>
        <v>6.2379664748280286</v>
      </c>
      <c r="CW16" s="22">
        <f t="shared" si="13"/>
        <v>44.093027016943331</v>
      </c>
      <c r="CX16" s="62">
        <f t="shared" si="14"/>
        <v>316.64858257249887</v>
      </c>
      <c r="CY16" s="62">
        <f ca="1">AVERAGE(OFFSET($CX$3,0,0,'Données projet'!$E$13+1,1))-AVERAGE(OFFSET($H$3,0,0,'Données projet'!$E$13+1,1))</f>
        <v>288.82868507674738</v>
      </c>
      <c r="CZ16" s="62">
        <f t="shared" si="42"/>
        <v>283.48738729114024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3.65</v>
      </c>
      <c r="DO16" s="13">
        <f>IF('Données projet'!$A$166&gt;35,DO15+DN16-DW15,IF(A16&lt;'Données projet'!$A$166,$DL$205^A16,IF(A16='Données projet'!$A$166,'Données projet'!$B$166,DO15+DN16-DW15)))</f>
        <v>16.261472127148366</v>
      </c>
      <c r="DP16" s="18">
        <f>DO16*VLOOKUP('Données projet'!$B$14,Paramètres!$A$1:$I$89,3,0)*VLOOKUP('Données projet'!$B$14,Paramètres!$A$1:$I$89,5,0)</f>
        <v>16.489132736928447</v>
      </c>
      <c r="DQ16" s="14">
        <f t="shared" si="43"/>
        <v>5.4836288594779292</v>
      </c>
      <c r="DR16" s="22">
        <f t="shared" si="16"/>
        <v>38.269226447074438</v>
      </c>
      <c r="DS16" s="62">
        <f t="shared" si="17"/>
        <v>310.82478200263</v>
      </c>
      <c r="DT16" s="62">
        <f ca="1">AVERAGE(OFFSET($DS$3,0,0,'Données projet'!$E$14+1,1))-AVERAGE(OFFSET($H$3,0,0,'Données projet'!$E$14+1,1))</f>
        <v>487.04124684635974</v>
      </c>
      <c r="DU16" s="62">
        <f t="shared" si="44"/>
        <v>306.61893266146666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3.65</v>
      </c>
      <c r="EJ16" s="13">
        <f>IF('Données projet'!$A$192&gt;35,EJ15+EI16-ER15,IF(A16&lt;'Données projet'!$A$192,$EG$205^A16,IF(A16='Données projet'!$A$192,'Données projet'!$B$192,EJ15+EI16-ER15)))</f>
        <v>16.261472127148366</v>
      </c>
      <c r="EK16" s="18">
        <f>EJ16*VLOOKUP('Données projet'!$B$15,Paramètres!$A$1:$I$89,3,0)*VLOOKUP('Données projet'!$B$15,Paramètres!$A$1:$I$89,5,0)</f>
        <v>15.474416876194386</v>
      </c>
      <c r="EL16" s="14">
        <f t="shared" si="45"/>
        <v>5.1843612238044923</v>
      </c>
      <c r="EM16" s="22">
        <f t="shared" si="19"/>
        <v>35.980705190831372</v>
      </c>
      <c r="EN16" s="62">
        <f t="shared" si="20"/>
        <v>308.53626074638692</v>
      </c>
      <c r="EO16" s="62">
        <f ca="1">AVERAGE(OFFSET($EN$3,0,0,'Données projet'!$E$15+1,1))-AVERAGE(OFFSET($H$3,0,0,'Données projet'!$E$15+1,1))</f>
        <v>459.64120566196812</v>
      </c>
      <c r="EP16" s="62">
        <f t="shared" si="46"/>
        <v>290.39826583283588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3.65</v>
      </c>
      <c r="FE16" s="13">
        <f>IF('Données projet'!$A$218&gt;35,FE15+FD16-FM15,IF(A16&lt;'Données projet'!$A$218,$FB$205^A16,IF(A16='Données projet'!$A$218,'Données projet'!$B$218,FE15+FD16-FM15)))</f>
        <v>16.261472127148366</v>
      </c>
      <c r="FF16" s="18">
        <f>FE16*VLOOKUP('Données projet'!$B$16,Paramètres!$A$1:$I$89,3,0)*VLOOKUP('Données projet'!$B$16,Paramètres!$A$1:$I$89,5,0)</f>
        <v>10.908195502891123</v>
      </c>
      <c r="FG16" s="14">
        <f t="shared" si="47"/>
        <v>3.8063659420723552</v>
      </c>
      <c r="FH16" s="22">
        <f t="shared" si="22"/>
        <v>25.627861183311392</v>
      </c>
      <c r="FI16" s="62">
        <f t="shared" si="23"/>
        <v>298.18341673886692</v>
      </c>
      <c r="FJ16" s="62">
        <f ca="1">AVERAGE(OFFSET($FI$3,0,0,'Données projet'!$E$16+1,1))-AVERAGE(OFFSET($H$3,0,0,'Données projet'!$E$16+1,1))</f>
        <v>335.83558218229564</v>
      </c>
      <c r="FK16" s="62">
        <f t="shared" si="48"/>
        <v>217.08423061559648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5.8</v>
      </c>
      <c r="N17" s="14">
        <f>IF('Données projet'!$A$36&gt;35,N16+M17-V16,IF(A17&lt;'Données projet'!$A$36,$K$205^A17,IF(A17='Données projet'!$A$36,'Données projet'!$B$36,N16+M17-V16)))</f>
        <v>64.597835933388069</v>
      </c>
      <c r="O17" s="14">
        <f>N17*VLOOKUP('Données projet'!$B$9,Paramètres!$A$1:$I$89,3,0)*VLOOKUP('Données projet'!$B$9,Paramètres!$A$1:$I$89,5,0)</f>
        <v>56.432669471407827</v>
      </c>
      <c r="P17" s="14">
        <f t="shared" si="33"/>
        <v>16.263143652501352</v>
      </c>
      <c r="Q17" s="22">
        <f t="shared" si="2"/>
        <v>126.61187452414181</v>
      </c>
      <c r="R17" s="62">
        <f t="shared" si="0"/>
        <v>400.38965230191957</v>
      </c>
      <c r="S17" s="62">
        <f ca="1">AVERAGE(OFFSET($R$3,0,0,'Données projet'!$E$9+1,1))-AVERAGE(OFFSET($H$3,0,0,'Données projet'!$E$9+1,1))</f>
        <v>321.23599968992932</v>
      </c>
      <c r="T17" s="62">
        <f t="shared" si="34"/>
        <v>388.05195847800502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3.65</v>
      </c>
      <c r="AI17" s="14">
        <f>IF('Données projet'!$A$62&gt;35,AI16+AH17-AQ16,IF(A17&lt;'Données projet'!$A$62,$AF$205^A17,IF(A17='Données projet'!$A$62,'Données projet'!$B$62,AI16+AH17-AQ16)))</f>
        <v>20.152364144963837</v>
      </c>
      <c r="AJ17" s="14">
        <f>AI17*VLOOKUP('Données projet'!$B$10,Paramètres!$A$1:$I$89,3,0)*VLOOKUP('Données projet'!$B$10,Paramètres!$A$1:$I$89,5,0)</f>
        <v>18.233859078363277</v>
      </c>
      <c r="AK17" s="14">
        <f t="shared" si="35"/>
        <v>5.9932775513027368</v>
      </c>
      <c r="AL17" s="22">
        <f t="shared" si="4"/>
        <v>42.195596296668306</v>
      </c>
      <c r="AM17" s="62">
        <f t="shared" si="5"/>
        <v>315.9733740744461</v>
      </c>
      <c r="AN17" s="62">
        <f ca="1">AVERAGE(OFFSET($AM$3,0,0,'Données projet'!$E$10+1,1))-AVERAGE(OFFSET($H$3,0,0,'Données projet'!$E$10+1,1))</f>
        <v>439.19854273764042</v>
      </c>
      <c r="AO17" s="62">
        <f t="shared" si="36"/>
        <v>278.21741231699929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10.8</v>
      </c>
      <c r="BD17" s="13">
        <f>IF('Données projet'!$A$88&gt;35,BD16+BC17-BL16,IF(A17&lt;'Données projet'!$A$88,$BA$205^A17,IF(A17='Données projet'!$A$88,'Données projet'!$B$88,BD16+BC17-BL16)))</f>
        <v>54.2</v>
      </c>
      <c r="BE17" s="14">
        <f>BD17*VLOOKUP('Données projet'!$B$11,Paramètres!$A$1:$I$89,3,0)*VLOOKUP('Données projet'!$B$11,Paramètres!$A$1:$I$89,5,0)</f>
        <v>43.121520000000004</v>
      </c>
      <c r="BF17" s="14">
        <f t="shared" si="37"/>
        <v>12.822353245070515</v>
      </c>
      <c r="BG17" s="22">
        <f t="shared" si="7"/>
        <v>97.435579235164482</v>
      </c>
      <c r="BH17" s="62">
        <f t="shared" si="8"/>
        <v>371.21335701294225</v>
      </c>
      <c r="BI17" s="62">
        <f ca="1">AVERAGE(OFFSET($BH$3,0,0,'Données projet'!$E$11+1,1))-AVERAGE(OFFSET($H$3,0,0,'Données projet'!$E$11+1,1))</f>
        <v>352.88510024787888</v>
      </c>
      <c r="BJ17" s="62">
        <f t="shared" si="38"/>
        <v>343.77208530767069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10.8</v>
      </c>
      <c r="BY17" s="13">
        <f>IF('Données projet'!$A$114&gt;35,BY16+BX17-CG16,IF(A17&lt;'Données projet'!$A$114,$BV$205^A17,IF(A17='Données projet'!$A$114,'Données projet'!$B$114,BY16+BX17-CG16)))</f>
        <v>54.2</v>
      </c>
      <c r="BZ17" s="14">
        <f>BY17*VLOOKUP('Données projet'!$B$12,Paramètres!$A$1:$I$89,3,0)*VLOOKUP('Données projet'!$B$12,Paramètres!$A$1:$I$89,5,0)</f>
        <v>39.739440000000002</v>
      </c>
      <c r="CA17" s="14">
        <f t="shared" si="39"/>
        <v>11.929559204083212</v>
      </c>
      <c r="CB17" s="22">
        <f t="shared" si="10"/>
        <v>89.990173613778268</v>
      </c>
      <c r="CC17" s="62">
        <f t="shared" si="11"/>
        <v>363.76795139155604</v>
      </c>
      <c r="CD17" s="62">
        <f ca="1">AVERAGE(OFFSET($CC$3,0,0,'Données projet'!$E$12+1,1))-AVERAGE(OFFSET($H$3,0,0,'Données projet'!$E$12+1,1))</f>
        <v>328.10411227536315</v>
      </c>
      <c r="CE17" s="62">
        <f t="shared" si="40"/>
        <v>320.24200483294322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2.6666666666666665</v>
      </c>
      <c r="CT17" s="13">
        <f>IF('Données projet'!$A$140&gt;35,CT16+CS17-DB16,IF(A17&lt;'Données projet'!$A$140,$CQ$205^A17,IF(A17='Données projet'!$A$140,'Données projet'!$B$140,CT16+CS17-DB16)))</f>
        <v>31.279225563578599</v>
      </c>
      <c r="CU17" s="18">
        <f>CT17*VLOOKUP('Données projet'!$B$13,Paramètres!$A$1:$I$89,3,0)*VLOOKUP('Données projet'!$B$13,Paramètres!$A$1:$I$89,5,0)</f>
        <v>24.397795939591308</v>
      </c>
      <c r="CV17" s="14">
        <f t="shared" si="41"/>
        <v>7.75202295846145</v>
      </c>
      <c r="CW17" s="22">
        <f t="shared" si="13"/>
        <v>55.994267914108548</v>
      </c>
      <c r="CX17" s="62">
        <f t="shared" si="14"/>
        <v>329.77204569188632</v>
      </c>
      <c r="CY17" s="62">
        <f ca="1">AVERAGE(OFFSET($CX$3,0,0,'Données projet'!$E$13+1,1))-AVERAGE(OFFSET($H$3,0,0,'Données projet'!$E$13+1,1))</f>
        <v>288.82868507674738</v>
      </c>
      <c r="CZ17" s="62">
        <f t="shared" si="42"/>
        <v>283.48738729114024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3.65</v>
      </c>
      <c r="DO17" s="13">
        <f>IF('Données projet'!$A$166&gt;35,DO16+DN17-DW16,IF(A17&lt;'Données projet'!$A$166,$DL$205^A17,IF(A17='Données projet'!$A$166,'Données projet'!$B$166,DO16+DN17-DW16)))</f>
        <v>20.152364144963837</v>
      </c>
      <c r="DP17" s="18">
        <f>DO17*VLOOKUP('Données projet'!$B$14,Paramètres!$A$1:$I$89,3,0)*VLOOKUP('Données projet'!$B$14,Paramètres!$A$1:$I$89,5,0)</f>
        <v>20.434497242993334</v>
      </c>
      <c r="DQ17" s="14">
        <f t="shared" si="43"/>
        <v>6.6281092368495731</v>
      </c>
      <c r="DR17" s="22">
        <f t="shared" si="16"/>
        <v>47.134039619059727</v>
      </c>
      <c r="DS17" s="62">
        <f t="shared" si="17"/>
        <v>320.91181739683748</v>
      </c>
      <c r="DT17" s="62">
        <f ca="1">AVERAGE(OFFSET($DS$3,0,0,'Données projet'!$E$14+1,1))-AVERAGE(OFFSET($H$3,0,0,'Données projet'!$E$14+1,1))</f>
        <v>487.04124684635974</v>
      </c>
      <c r="DU17" s="62">
        <f t="shared" si="44"/>
        <v>306.61893266146666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3.65</v>
      </c>
      <c r="EJ17" s="13">
        <f>IF('Données projet'!$A$192&gt;35,EJ16+EI17-ER16,IF(A17&lt;'Données projet'!$A$192,$EG$205^A17,IF(A17='Données projet'!$A$192,'Données projet'!$B$192,EJ16+EI17-ER16)))</f>
        <v>20.152364144963837</v>
      </c>
      <c r="EK17" s="18">
        <f>EJ17*VLOOKUP('Données projet'!$B$15,Paramètres!$A$1:$I$89,3,0)*VLOOKUP('Données projet'!$B$15,Paramètres!$A$1:$I$89,5,0)</f>
        <v>19.176989720347589</v>
      </c>
      <c r="EL17" s="14">
        <f t="shared" si="45"/>
        <v>6.2663818787208765</v>
      </c>
      <c r="EM17" s="22">
        <f t="shared" si="19"/>
        <v>44.3138722017109</v>
      </c>
      <c r="EN17" s="62">
        <f t="shared" si="20"/>
        <v>318.09164997948869</v>
      </c>
      <c r="EO17" s="62">
        <f ca="1">AVERAGE(OFFSET($EN$3,0,0,'Données projet'!$E$15+1,1))-AVERAGE(OFFSET($H$3,0,0,'Données projet'!$E$15+1,1))</f>
        <v>459.64120566196812</v>
      </c>
      <c r="EP17" s="62">
        <f t="shared" si="46"/>
        <v>290.39826583283588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3.65</v>
      </c>
      <c r="FE17" s="13">
        <f>IF('Données projet'!$A$218&gt;35,FE16+FD17-FM16,IF(A17&lt;'Données projet'!$A$218,$FB$205^A17,IF(A17='Données projet'!$A$218,'Données projet'!$B$218,FE16+FD17-FM16)))</f>
        <v>20.152364144963837</v>
      </c>
      <c r="FF17" s="18">
        <f>FE17*VLOOKUP('Données projet'!$B$16,Paramètres!$A$1:$I$89,3,0)*VLOOKUP('Données projet'!$B$16,Paramètres!$A$1:$I$89,5,0)</f>
        <v>13.518205868441742</v>
      </c>
      <c r="FG17" s="14">
        <f t="shared" si="47"/>
        <v>4.6007871622955445</v>
      </c>
      <c r="FH17" s="22">
        <f t="shared" si="22"/>
        <v>31.557246195200772</v>
      </c>
      <c r="FI17" s="62">
        <f t="shared" si="23"/>
        <v>305.33502397297855</v>
      </c>
      <c r="FJ17" s="62">
        <f ca="1">AVERAGE(OFFSET($FI$3,0,0,'Données projet'!$E$16+1,1))-AVERAGE(OFFSET($H$3,0,0,'Données projet'!$E$16+1,1))</f>
        <v>335.83558218229564</v>
      </c>
      <c r="FK17" s="62">
        <f t="shared" si="48"/>
        <v>217.08423061559648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87</v>
      </c>
      <c r="L18" s="13">
        <f>VLOOKUP(A18,'Données projet'!$A$35:$I$55,9,0)</f>
        <v>5.8</v>
      </c>
      <c r="M18" s="13">
        <f t="array" ref="M18">INDEX(L:L,MIN(IF(ISNUMBER(L18:L214),ROW(L18:L214),"")))</f>
        <v>5.8</v>
      </c>
      <c r="N18" s="14">
        <f>IF('Données projet'!$A$36&gt;35,N17+M18-V17,IF(A18&lt;'Données projet'!$A$36,$K$205^A18,IF(A18='Données projet'!$A$36,'Données projet'!$B$36,N17+M18-V17)))</f>
        <v>87</v>
      </c>
      <c r="O18" s="14">
        <f>N18*VLOOKUP('Données projet'!$B$9,Paramètres!$A$1:$I$89,3,0)*VLOOKUP('Données projet'!$B$9,Paramètres!$A$1:$I$89,5,0)</f>
        <v>76.003200000000007</v>
      </c>
      <c r="P18" s="14">
        <f t="shared" si="33"/>
        <v>21.157049992000456</v>
      </c>
      <c r="Q18" s="22">
        <f t="shared" si="2"/>
        <v>169.22076873606747</v>
      </c>
      <c r="R18" s="62">
        <f t="shared" si="0"/>
        <v>444.2207687360675</v>
      </c>
      <c r="S18" s="62">
        <f ca="1">AVERAGE(OFFSET($R$3,0,0,'Données projet'!$E$9+1,1))-AVERAGE(OFFSET($H$3,0,0,'Données projet'!$E$9+1,1))</f>
        <v>321.23599968992932</v>
      </c>
      <c r="T18" s="62">
        <f t="shared" si="34"/>
        <v>388.05195847800502</v>
      </c>
      <c r="U18" s="16">
        <f>IF(ISNA(VLOOKUP(A18,'Données projet'!$A$35:$I$55,3,0)),0,VLOOKUP(A18,'Données projet'!$A$35:$I$55,3,0))</f>
        <v>1</v>
      </c>
      <c r="V18" s="16">
        <f>IF(ISNA(VLOOKUP(A18,'Données projet'!$A$35:$I$55,4,0)),0,VLOOKUP(A18,'Données projet'!$A$35:$I$55,4,0))</f>
        <v>21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3.65</v>
      </c>
      <c r="AI18" s="14">
        <f>IF('Données projet'!$A$62&gt;35,AI17+AH18-AQ17,IF(A18&lt;'Données projet'!$A$62,$AF$205^A18,IF(A18='Données projet'!$A$62,'Données projet'!$B$62,AI17+AH18-AQ17)))</f>
        <v>24.974232188561476</v>
      </c>
      <c r="AJ18" s="14">
        <f>AI18*VLOOKUP('Données projet'!$B$10,Paramètres!$A$1:$I$89,3,0)*VLOOKUP('Données projet'!$B$10,Paramètres!$A$1:$I$89,5,0)</f>
        <v>22.596685284210423</v>
      </c>
      <c r="AK18" s="14">
        <f t="shared" si="35"/>
        <v>7.2441259820371586</v>
      </c>
      <c r="AL18" s="22">
        <f t="shared" si="4"/>
        <v>51.972746288714539</v>
      </c>
      <c r="AM18" s="62">
        <f t="shared" si="5"/>
        <v>326.97274628871452</v>
      </c>
      <c r="AN18" s="62">
        <f ca="1">AVERAGE(OFFSET($AM$3,0,0,'Données projet'!$E$10+1,1))-AVERAGE(OFFSET($H$3,0,0,'Données projet'!$E$10+1,1))</f>
        <v>439.19854273764042</v>
      </c>
      <c r="AO18" s="62">
        <f t="shared" si="36"/>
        <v>278.21741231699929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65</v>
      </c>
      <c r="BB18" s="13">
        <f>VLOOKUP(A18,'Données projet'!$A$87:$I$107,9,0)</f>
        <v>10.8</v>
      </c>
      <c r="BC18" s="13">
        <f t="array" ref="BC18">INDEX(BB:BB,MIN(IF(ISNUMBER(BB18:BB214),ROW(BB18:BB214),"")))</f>
        <v>10.8</v>
      </c>
      <c r="BD18" s="13">
        <f>IF('Données projet'!$A$88&gt;35,BD17+BC18-BL17,IF(A18&lt;'Données projet'!$A$88,$BA$205^A18,IF(A18='Données projet'!$A$88,'Données projet'!$B$88,BD17+BC18-BL17)))</f>
        <v>65</v>
      </c>
      <c r="BE18" s="14">
        <f>BD18*VLOOKUP('Données projet'!$B$11,Paramètres!$A$1:$I$89,3,0)*VLOOKUP('Données projet'!$B$11,Paramètres!$A$1:$I$89,5,0)</f>
        <v>51.713999999999999</v>
      </c>
      <c r="BF18" s="14">
        <f t="shared" si="37"/>
        <v>15.055535578337075</v>
      </c>
      <c r="BG18" s="22">
        <f t="shared" si="7"/>
        <v>116.29027446560372</v>
      </c>
      <c r="BH18" s="62">
        <f t="shared" si="8"/>
        <v>391.29027446560372</v>
      </c>
      <c r="BI18" s="62">
        <f ca="1">AVERAGE(OFFSET($BH$3,0,0,'Données projet'!$E$11+1,1))-AVERAGE(OFFSET($H$3,0,0,'Données projet'!$E$11+1,1))</f>
        <v>352.88510024787888</v>
      </c>
      <c r="BJ18" s="62">
        <f t="shared" si="38"/>
        <v>343.77208530767069</v>
      </c>
      <c r="BK18" s="16">
        <f>IF(ISNA(VLOOKUP(A18,'Données projet'!$A$87:$I$107,3,0)),0,VLOOKUP(A18,'Données projet'!$A$87:$I$107,3,0))</f>
        <v>2</v>
      </c>
      <c r="BL18" s="16">
        <f>IF(ISNA(VLOOKUP(A18,'Données projet'!$A$87:$I$107,4,0)),0,VLOOKUP(A18,'Données projet'!$A$87:$I$107,4,0))</f>
        <v>32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0.26500000000000001</v>
      </c>
      <c r="BO18" s="17">
        <f>IF(ISNA(VLOOKUP(A18,'Données projet'!$A$87:$I$107,7,0)),0%,VLOOKUP(A18,'Données projet'!$A$87:$I$107,7,0))</f>
        <v>0.5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7.4288977177691864</v>
      </c>
      <c r="BR18" s="23">
        <f>EXP(-LN(2)/2)*BR17+(1-EXP(-LN(2)/2))/(LN(2)/2)*BL18*BO18*VLOOKUP('Données projet'!$B$11,Paramètres!$A$1:$I$89,3,0)*0.475*44/12</f>
        <v>12.010720212160749</v>
      </c>
      <c r="BS18" s="24">
        <f t="shared" si="9"/>
        <v>19.439617929929934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65</v>
      </c>
      <c r="BW18" s="13">
        <f>VLOOKUP(A18,'Données projet'!$A$113:$I$133,9,0)</f>
        <v>10.8</v>
      </c>
      <c r="BX18" s="13">
        <f t="array" ref="BX18">INDEX(BW:BW,MIN(IF(ISNUMBER(BW18:BW214),ROW(BW18:BW214),"")))</f>
        <v>10.8</v>
      </c>
      <c r="BY18" s="13">
        <f>IF('Données projet'!$A$114&gt;35,BY17+BX18-CG17,IF(A18&lt;'Données projet'!$A$114,$BV$205^A18,IF(A18='Données projet'!$A$114,'Données projet'!$B$114,BY17+BX18-CG17)))</f>
        <v>65</v>
      </c>
      <c r="BZ18" s="14">
        <f>BY18*VLOOKUP('Données projet'!$B$12,Paramètres!$A$1:$I$89,3,0)*VLOOKUP('Données projet'!$B$12,Paramètres!$A$1:$I$89,5,0)</f>
        <v>47.657999999999994</v>
      </c>
      <c r="CA18" s="14">
        <f t="shared" si="39"/>
        <v>14.007249652087213</v>
      </c>
      <c r="CB18" s="22">
        <f t="shared" si="10"/>
        <v>107.40030981071855</v>
      </c>
      <c r="CC18" s="62">
        <f t="shared" si="11"/>
        <v>382.40030981071857</v>
      </c>
      <c r="CD18" s="62">
        <f ca="1">AVERAGE(OFFSET($CC$3,0,0,'Données projet'!$E$12+1,1))-AVERAGE(OFFSET($H$3,0,0,'Données projet'!$E$12+1,1))</f>
        <v>328.10411227536315</v>
      </c>
      <c r="CE18" s="62">
        <f t="shared" si="40"/>
        <v>320.24200483294322</v>
      </c>
      <c r="CF18" s="16">
        <f>IF(ISNA(VLOOKUP(A18,'Données projet'!$A$113:$I$133,3,0)),0,VLOOKUP(A18,'Données projet'!$A$113:$I$133,3,0))</f>
        <v>2</v>
      </c>
      <c r="CG18" s="16">
        <f>IF(ISNA(VLOOKUP(A18,'Données projet'!$A$113:$I$133,4,0)),0,VLOOKUP(A18,'Données projet'!$A$113:$I$133,4,0))</f>
        <v>32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40</v>
      </c>
      <c r="CR18" s="13">
        <f>VLOOKUP(A18,'Données projet'!$A$139:$I$159,9,0)</f>
        <v>2.6666666666666665</v>
      </c>
      <c r="CS18" s="13">
        <f t="array" ref="CS18">INDEX(CR:CR,MIN(IF(ISNUMBER(CR18:CR214),ROW(CR18:CR214),"")))</f>
        <v>2.6666666666666665</v>
      </c>
      <c r="CT18" s="13">
        <f>IF('Données projet'!$A$140&gt;35,CT17+CS18-DB17,IF(A18&lt;'Données projet'!$A$140,$CQ$205^A18,IF(A18='Données projet'!$A$140,'Données projet'!$B$140,CT17+CS18-DB17)))</f>
        <v>40</v>
      </c>
      <c r="CU18" s="18">
        <f>CT18*VLOOKUP('Données projet'!$B$13,Paramètres!$A$1:$I$89,3,0)*VLOOKUP('Données projet'!$B$13,Paramètres!$A$1:$I$89,5,0)</f>
        <v>31.200000000000003</v>
      </c>
      <c r="CV18" s="14">
        <f t="shared" si="41"/>
        <v>9.6335657126419925</v>
      </c>
      <c r="CW18" s="22">
        <f t="shared" si="13"/>
        <v>71.118460282851473</v>
      </c>
      <c r="CX18" s="62">
        <f t="shared" si="14"/>
        <v>346.11846028285146</v>
      </c>
      <c r="CY18" s="62">
        <f ca="1">AVERAGE(OFFSET($CX$3,0,0,'Données projet'!$E$13+1,1))-AVERAGE(OFFSET($H$3,0,0,'Données projet'!$E$13+1,1))</f>
        <v>288.82868507674738</v>
      </c>
      <c r="CZ18" s="62">
        <f t="shared" si="42"/>
        <v>283.48738729114024</v>
      </c>
      <c r="DA18" s="16">
        <f>IF(ISNA(VLOOKUP(A18,'Données projet'!$A$139:$I$159,3,0)),0,VLOOKUP(A18,'Données projet'!$A$139:$I$159,3,0))</f>
        <v>1</v>
      </c>
      <c r="DB18" s="16">
        <f>IF(ISNA(VLOOKUP(A18,'Données projet'!$A$139:$I$159,4,0)),0,VLOOKUP(A18,'Données projet'!$A$139:$I$159,4,0))</f>
        <v>3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3.65</v>
      </c>
      <c r="DO18" s="13">
        <f>IF('Données projet'!$A$166&gt;35,DO17+DN18-DW17,IF(A18&lt;'Données projet'!$A$166,$DL$205^A18,IF(A18='Données projet'!$A$166,'Données projet'!$B$166,DO17+DN18-DW17)))</f>
        <v>24.974232188561476</v>
      </c>
      <c r="DP18" s="18">
        <f>DO18*VLOOKUP('Données projet'!$B$14,Paramètres!$A$1:$I$89,3,0)*VLOOKUP('Données projet'!$B$14,Paramètres!$A$1:$I$89,5,0)</f>
        <v>25.323871439201337</v>
      </c>
      <c r="DQ18" s="14">
        <f t="shared" si="43"/>
        <v>8.0114524854610902</v>
      </c>
      <c r="DR18" s="22">
        <f t="shared" si="16"/>
        <v>58.059022502120392</v>
      </c>
      <c r="DS18" s="62">
        <f t="shared" si="17"/>
        <v>333.0590225021204</v>
      </c>
      <c r="DT18" s="62">
        <f ca="1">AVERAGE(OFFSET($DS$3,0,0,'Données projet'!$E$14+1,1))-AVERAGE(OFFSET($H$3,0,0,'Données projet'!$E$14+1,1))</f>
        <v>487.04124684635974</v>
      </c>
      <c r="DU18" s="62">
        <f t="shared" si="44"/>
        <v>306.61893266146666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3.65</v>
      </c>
      <c r="EJ18" s="13">
        <f>IF('Données projet'!$A$192&gt;35,EJ17+EI18-ER17,IF(A18&lt;'Données projet'!$A$192,$EG$205^A18,IF(A18='Données projet'!$A$192,'Données projet'!$B$192,EJ17+EI18-ER17)))</f>
        <v>24.974232188561476</v>
      </c>
      <c r="EK18" s="18">
        <f>EJ18*VLOOKUP('Données projet'!$B$15,Paramètres!$A$1:$I$89,3,0)*VLOOKUP('Données projet'!$B$15,Paramètres!$A$1:$I$89,5,0)</f>
        <v>23.765479350635101</v>
      </c>
      <c r="EL18" s="14">
        <f t="shared" si="45"/>
        <v>7.5742295250687146</v>
      </c>
      <c r="EM18" s="22">
        <f t="shared" si="19"/>
        <v>54.583326291850803</v>
      </c>
      <c r="EN18" s="62">
        <f t="shared" si="20"/>
        <v>329.58332629185082</v>
      </c>
      <c r="EO18" s="62">
        <f ca="1">AVERAGE(OFFSET($EN$3,0,0,'Données projet'!$E$15+1,1))-AVERAGE(OFFSET($H$3,0,0,'Données projet'!$E$15+1,1))</f>
        <v>459.64120566196812</v>
      </c>
      <c r="EP18" s="62">
        <f t="shared" si="46"/>
        <v>290.39826583283588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3.65</v>
      </c>
      <c r="FE18" s="13">
        <f>IF('Données projet'!$A$218&gt;35,FE17+FD18-FM17,IF(A18&lt;'Données projet'!$A$218,$FB$205^A18,IF(A18='Données projet'!$A$218,'Données projet'!$B$218,FE17+FD18-FM17)))</f>
        <v>24.974232188561476</v>
      </c>
      <c r="FF18" s="18">
        <f>FE18*VLOOKUP('Données projet'!$B$16,Paramètres!$A$1:$I$89,3,0)*VLOOKUP('Données projet'!$B$16,Paramètres!$A$1:$I$89,5,0)</f>
        <v>16.75271495208704</v>
      </c>
      <c r="FG18" s="14">
        <f t="shared" si="47"/>
        <v>5.561010905120459</v>
      </c>
      <c r="FH18" s="22">
        <f t="shared" si="22"/>
        <v>38.863072534636395</v>
      </c>
      <c r="FI18" s="62">
        <f t="shared" si="23"/>
        <v>313.86307253463639</v>
      </c>
      <c r="FJ18" s="62">
        <f ca="1">AVERAGE(OFFSET($FI$3,0,0,'Données projet'!$E$16+1,1))-AVERAGE(OFFSET($H$3,0,0,'Données projet'!$E$16+1,1))</f>
        <v>335.83558218229564</v>
      </c>
      <c r="FK18" s="62">
        <f t="shared" si="48"/>
        <v>217.08423061559648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14.2</v>
      </c>
      <c r="N19" s="14">
        <f>IF('Données projet'!$A$36&gt;35,N18+M19-V18,IF(A19&lt;'Données projet'!$A$36,$K$205^A19,IF(A19='Données projet'!$A$36,'Données projet'!$B$36,N18+M19-V18)))</f>
        <v>80.2</v>
      </c>
      <c r="O19" s="14">
        <f>N19*VLOOKUP('Données projet'!$B$9,Paramètres!$A$1:$I$89,3,0)*VLOOKUP('Données projet'!$B$9,Paramètres!$A$1:$I$89,5,0)</f>
        <v>70.062720000000013</v>
      </c>
      <c r="P19" s="14">
        <f t="shared" si="33"/>
        <v>19.689032345957123</v>
      </c>
      <c r="Q19" s="22">
        <f t="shared" si="2"/>
        <v>156.31763533587534</v>
      </c>
      <c r="R19" s="62">
        <f t="shared" si="0"/>
        <v>432.53985755809754</v>
      </c>
      <c r="S19" s="62">
        <f ca="1">AVERAGE(OFFSET($R$3,0,0,'Données projet'!$E$9+1,1))-AVERAGE(OFFSET($H$3,0,0,'Données projet'!$E$9+1,1))</f>
        <v>321.23599968992932</v>
      </c>
      <c r="T19" s="62">
        <f t="shared" si="34"/>
        <v>388.05195847800502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3.65</v>
      </c>
      <c r="AI19" s="14">
        <f>IF('Données projet'!$A$62&gt;35,AI18+AH19-AQ18,IF(A19&lt;'Données projet'!$A$62,$AF$205^A19,IF(A19='Données projet'!$A$62,'Données projet'!$B$62,AI18+AH19-AQ18)))</f>
        <v>30.949831440200953</v>
      </c>
      <c r="AJ19" s="14">
        <f>AI19*VLOOKUP('Données projet'!$B$10,Paramètres!$A$1:$I$89,3,0)*VLOOKUP('Données projet'!$B$10,Paramètres!$A$1:$I$89,5,0)</f>
        <v>28.003407487093821</v>
      </c>
      <c r="AK19" s="14">
        <f t="shared" si="35"/>
        <v>8.7560372090925433</v>
      </c>
      <c r="AL19" s="22">
        <f t="shared" si="4"/>
        <v>64.022699512524582</v>
      </c>
      <c r="AM19" s="62">
        <f t="shared" si="5"/>
        <v>340.24492173474681</v>
      </c>
      <c r="AN19" s="62">
        <f ca="1">AVERAGE(OFFSET($AM$3,0,0,'Données projet'!$E$10+1,1))-AVERAGE(OFFSET($H$3,0,0,'Données projet'!$E$10+1,1))</f>
        <v>439.19854273764042</v>
      </c>
      <c r="AO19" s="62">
        <f t="shared" si="36"/>
        <v>278.21741231699929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13.6</v>
      </c>
      <c r="BD19" s="13">
        <f>IF('Données projet'!$A$88&gt;35,BD18+BC19-BL18,IF(A19&lt;'Données projet'!$A$88,$BA$205^A19,IF(A19='Données projet'!$A$88,'Données projet'!$B$88,BD18+BC19-BL18)))</f>
        <v>46.599999999999994</v>
      </c>
      <c r="BE19" s="14">
        <f>BD19*VLOOKUP('Données projet'!$B$11,Paramètres!$A$1:$I$89,3,0)*VLOOKUP('Données projet'!$B$11,Paramètres!$A$1:$I$89,5,0)</f>
        <v>37.074959999999997</v>
      </c>
      <c r="BF19" s="14">
        <f t="shared" si="37"/>
        <v>11.219971753147911</v>
      </c>
      <c r="BG19" s="22">
        <f t="shared" si="7"/>
        <v>84.113672803399268</v>
      </c>
      <c r="BH19" s="62">
        <f t="shared" si="8"/>
        <v>360.33589502562148</v>
      </c>
      <c r="BI19" s="62">
        <f ca="1">AVERAGE(OFFSET($BH$3,0,0,'Données projet'!$E$11+1,1))-AVERAGE(OFFSET($H$3,0,0,'Données projet'!$E$11+1,1))</f>
        <v>352.88510024787888</v>
      </c>
      <c r="BJ19" s="62">
        <f t="shared" si="38"/>
        <v>343.77208530767069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7.2257541190080357</v>
      </c>
      <c r="BR19" s="23">
        <f>EXP(-LN(2)/2)*BR18+(1-EXP(-LN(2)/2))/(LN(2)/2)*BL19*BO19*VLOOKUP('Données projet'!$B$11,Paramètres!$A$1:$I$89,3,0)*0.475*44/12</f>
        <v>8.4928617089531944</v>
      </c>
      <c r="BS19" s="24">
        <f t="shared" si="9"/>
        <v>15.71861582796123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13.6</v>
      </c>
      <c r="BY19" s="13">
        <f>IF('Données projet'!$A$114&gt;35,BY18+BX19-CG18,IF(A19&lt;'Données projet'!$A$114,$BV$205^A19,IF(A19='Données projet'!$A$114,'Données projet'!$B$114,BY18+BX19-CG18)))</f>
        <v>46.599999999999994</v>
      </c>
      <c r="BZ19" s="14">
        <f>BY19*VLOOKUP('Données projet'!$B$12,Paramètres!$A$1:$I$89,3,0)*VLOOKUP('Données projet'!$B$12,Paramètres!$A$1:$I$89,5,0)</f>
        <v>34.167119999999997</v>
      </c>
      <c r="CA19" s="14">
        <f t="shared" si="39"/>
        <v>10.438748234359947</v>
      </c>
      <c r="CB19" s="22">
        <f t="shared" si="10"/>
        <v>77.688553841510227</v>
      </c>
      <c r="CC19" s="62">
        <f t="shared" si="11"/>
        <v>353.91077606373244</v>
      </c>
      <c r="CD19" s="62">
        <f ca="1">AVERAGE(OFFSET($CC$3,0,0,'Données projet'!$E$12+1,1))-AVERAGE(OFFSET($H$3,0,0,'Données projet'!$E$12+1,1))</f>
        <v>328.10411227536315</v>
      </c>
      <c r="CE19" s="62">
        <f t="shared" si="40"/>
        <v>320.24200483294322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9.6</v>
      </c>
      <c r="CT19" s="13">
        <f>IF('Données projet'!$A$140&gt;35,CT18+CS19-DB18,IF(A19&lt;'Données projet'!$A$140,$CQ$205^A19,IF(A19='Données projet'!$A$140,'Données projet'!$B$140,CT18+CS19-DB18)))</f>
        <v>46.6</v>
      </c>
      <c r="CU19" s="18">
        <f>CT19*VLOOKUP('Données projet'!$B$13,Paramètres!$A$1:$I$89,3,0)*VLOOKUP('Données projet'!$B$13,Paramètres!$A$1:$I$89,5,0)</f>
        <v>36.347999999999999</v>
      </c>
      <c r="CV19" s="14">
        <f t="shared" si="41"/>
        <v>11.025356771848859</v>
      </c>
      <c r="CW19" s="22">
        <f t="shared" si="13"/>
        <v>82.508596377636763</v>
      </c>
      <c r="CX19" s="62">
        <f t="shared" si="14"/>
        <v>358.73081859985899</v>
      </c>
      <c r="CY19" s="62">
        <f ca="1">AVERAGE(OFFSET($CX$3,0,0,'Données projet'!$E$13+1,1))-AVERAGE(OFFSET($H$3,0,0,'Données projet'!$E$13+1,1))</f>
        <v>288.82868507674738</v>
      </c>
      <c r="CZ19" s="62">
        <f t="shared" si="42"/>
        <v>283.48738729114024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3.65</v>
      </c>
      <c r="DO19" s="13">
        <f>IF('Données projet'!$A$166&gt;35,DO18+DN19-DW18,IF(A19&lt;'Données projet'!$A$166,$DL$205^A19,IF(A19='Données projet'!$A$166,'Données projet'!$B$166,DO18+DN19-DW18)))</f>
        <v>30.949831440200953</v>
      </c>
      <c r="DP19" s="18">
        <f>DO19*VLOOKUP('Données projet'!$B$14,Paramètres!$A$1:$I$89,3,0)*VLOOKUP('Données projet'!$B$14,Paramètres!$A$1:$I$89,5,0)</f>
        <v>31.383129080363769</v>
      </c>
      <c r="DQ19" s="14">
        <f t="shared" si="43"/>
        <v>9.6835113353243223</v>
      </c>
      <c r="DR19" s="22">
        <f t="shared" si="16"/>
        <v>71.524398723990075</v>
      </c>
      <c r="DS19" s="62">
        <f t="shared" si="17"/>
        <v>347.74662094621232</v>
      </c>
      <c r="DT19" s="62">
        <f ca="1">AVERAGE(OFFSET($DS$3,0,0,'Données projet'!$E$14+1,1))-AVERAGE(OFFSET($H$3,0,0,'Données projet'!$E$14+1,1))</f>
        <v>487.04124684635974</v>
      </c>
      <c r="DU19" s="62">
        <f t="shared" si="44"/>
        <v>306.61893266146666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3.65</v>
      </c>
      <c r="EJ19" s="13">
        <f>IF('Données projet'!$A$192&gt;35,EJ18+EI19-ER18,IF(A19&lt;'Données projet'!$A$192,$EG$205^A19,IF(A19='Données projet'!$A$192,'Données projet'!$B$192,EJ18+EI19-ER18)))</f>
        <v>30.949831440200953</v>
      </c>
      <c r="EK19" s="18">
        <f>EJ19*VLOOKUP('Données projet'!$B$15,Paramètres!$A$1:$I$89,3,0)*VLOOKUP('Données projet'!$B$15,Paramètres!$A$1:$I$89,5,0)</f>
        <v>29.451859598495226</v>
      </c>
      <c r="EL19" s="14">
        <f t="shared" si="45"/>
        <v>9.1550361929319699</v>
      </c>
      <c r="EM19" s="22">
        <f t="shared" si="19"/>
        <v>67.240343503402343</v>
      </c>
      <c r="EN19" s="62">
        <f t="shared" si="20"/>
        <v>343.46256572562459</v>
      </c>
      <c r="EO19" s="62">
        <f ca="1">AVERAGE(OFFSET($EN$3,0,0,'Données projet'!$E$15+1,1))-AVERAGE(OFFSET($H$3,0,0,'Données projet'!$E$15+1,1))</f>
        <v>459.64120566196812</v>
      </c>
      <c r="EP19" s="62">
        <f t="shared" si="46"/>
        <v>290.39826583283588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3.65</v>
      </c>
      <c r="FE19" s="13">
        <f>IF('Données projet'!$A$218&gt;35,FE18+FD19-FM18,IF(A19&lt;'Données projet'!$A$218,$FB$205^A19,IF(A19='Données projet'!$A$218,'Données projet'!$B$218,FE18+FD19-FM18)))</f>
        <v>30.949831440200953</v>
      </c>
      <c r="FF19" s="18">
        <f>FE19*VLOOKUP('Données projet'!$B$16,Paramètres!$A$1:$I$89,3,0)*VLOOKUP('Données projet'!$B$16,Paramètres!$A$1:$I$89,5,0)</f>
        <v>20.761146930086799</v>
      </c>
      <c r="FG19" s="14">
        <f t="shared" si="47"/>
        <v>6.7216415791420445</v>
      </c>
      <c r="FH19" s="22">
        <f t="shared" si="22"/>
        <v>47.865856653573566</v>
      </c>
      <c r="FI19" s="62">
        <f t="shared" si="23"/>
        <v>324.08807887579582</v>
      </c>
      <c r="FJ19" s="62">
        <f ca="1">AVERAGE(OFFSET($FI$3,0,0,'Données projet'!$E$16+1,1))-AVERAGE(OFFSET($H$3,0,0,'Données projet'!$E$16+1,1))</f>
        <v>335.83558218229564</v>
      </c>
      <c r="FK19" s="62">
        <f t="shared" si="48"/>
        <v>217.08423061559648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14.2</v>
      </c>
      <c r="N20" s="14">
        <f>IF('Données projet'!$A$36&gt;35,N19+M20-V19,IF(A20&lt;'Données projet'!$A$36,$K$205^A20,IF(A20='Données projet'!$A$36,'Données projet'!$B$36,N19+M20-V19)))</f>
        <v>94.4</v>
      </c>
      <c r="O20" s="14">
        <f>N20*VLOOKUP('Données projet'!$B$9,Paramètres!$A$1:$I$89,3,0)*VLOOKUP('Données projet'!$B$9,Paramètres!$A$1:$I$89,5,0)</f>
        <v>82.467840000000024</v>
      </c>
      <c r="P20" s="14">
        <f t="shared" si="33"/>
        <v>22.739512759227473</v>
      </c>
      <c r="Q20" s="22">
        <f t="shared" si="2"/>
        <v>183.23613938898788</v>
      </c>
      <c r="R20" s="62">
        <f t="shared" si="0"/>
        <v>460.68058383343237</v>
      </c>
      <c r="S20" s="62">
        <f ca="1">AVERAGE(OFFSET($R$3,0,0,'Données projet'!$E$9+1,1))-AVERAGE(OFFSET($H$3,0,0,'Données projet'!$E$9+1,1))</f>
        <v>321.23599968992932</v>
      </c>
      <c r="T20" s="62">
        <f t="shared" si="34"/>
        <v>388.05195847800502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3.65</v>
      </c>
      <c r="AI20" s="14">
        <f>IF('Données projet'!$A$62&gt;35,AI19+AH20-AQ19,IF(A20&lt;'Données projet'!$A$62,$AF$205^A20,IF(A20='Données projet'!$A$62,'Données projet'!$B$62,AI19+AH20-AQ19)))</f>
        <v>38.355215845858055</v>
      </c>
      <c r="AJ20" s="14">
        <f>AI20*VLOOKUP('Données projet'!$B$10,Paramètres!$A$1:$I$89,3,0)*VLOOKUP('Données projet'!$B$10,Paramètres!$A$1:$I$89,5,0)</f>
        <v>34.703799297332367</v>
      </c>
      <c r="AK20" s="14">
        <f t="shared" si="35"/>
        <v>10.583497277259243</v>
      </c>
      <c r="AL20" s="22">
        <f t="shared" si="4"/>
        <v>78.875374867413711</v>
      </c>
      <c r="AM20" s="62">
        <f t="shared" si="5"/>
        <v>356.31981931185817</v>
      </c>
      <c r="AN20" s="62">
        <f ca="1">AVERAGE(OFFSET($AM$3,0,0,'Données projet'!$E$10+1,1))-AVERAGE(OFFSET($H$3,0,0,'Données projet'!$E$10+1,1))</f>
        <v>439.19854273764042</v>
      </c>
      <c r="AO20" s="62">
        <f t="shared" si="36"/>
        <v>278.21741231699929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13.6</v>
      </c>
      <c r="BD20" s="13">
        <f>IF('Données projet'!$A$88&gt;35,BD19+BC20-BL19,IF(A20&lt;'Données projet'!$A$88,$BA$205^A20,IF(A20='Données projet'!$A$88,'Données projet'!$B$88,BD19+BC20-BL19)))</f>
        <v>60.199999999999996</v>
      </c>
      <c r="BE20" s="14">
        <f>BD20*VLOOKUP('Données projet'!$B$11,Paramètres!$A$1:$I$89,3,0)*VLOOKUP('Données projet'!$B$11,Paramètres!$A$1:$I$89,5,0)</f>
        <v>47.895119999999999</v>
      </c>
      <c r="BF20" s="14">
        <f t="shared" si="37"/>
        <v>14.068812032564205</v>
      </c>
      <c r="BG20" s="22">
        <f t="shared" si="7"/>
        <v>107.92051495671598</v>
      </c>
      <c r="BH20" s="62">
        <f t="shared" si="8"/>
        <v>385.36495940116043</v>
      </c>
      <c r="BI20" s="62">
        <f ca="1">AVERAGE(OFFSET($BH$3,0,0,'Données projet'!$E$11+1,1))-AVERAGE(OFFSET($H$3,0,0,'Données projet'!$E$11+1,1))</f>
        <v>352.88510024787888</v>
      </c>
      <c r="BJ20" s="62">
        <f t="shared" si="38"/>
        <v>343.77208530767069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7.0281654926378661</v>
      </c>
      <c r="BR20" s="23">
        <f>EXP(-LN(2)/2)*BR19+(1-EXP(-LN(2)/2))/(LN(2)/2)*BL20*BO20*VLOOKUP('Données projet'!$B$11,Paramètres!$A$1:$I$89,3,0)*0.475*44/12</f>
        <v>6.0053601060803752</v>
      </c>
      <c r="BS20" s="24">
        <f t="shared" si="9"/>
        <v>13.033525598718242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13.6</v>
      </c>
      <c r="BY20" s="13">
        <f>IF('Données projet'!$A$114&gt;35,BY19+BX20-CG19,IF(A20&lt;'Données projet'!$A$114,$BV$205^A20,IF(A20='Données projet'!$A$114,'Données projet'!$B$114,BY19+BX20-CG19)))</f>
        <v>60.199999999999996</v>
      </c>
      <c r="BZ20" s="14">
        <f>BY20*VLOOKUP('Données projet'!$B$12,Paramètres!$A$1:$I$89,3,0)*VLOOKUP('Données projet'!$B$12,Paramètres!$A$1:$I$89,5,0)</f>
        <v>44.138639999999995</v>
      </c>
      <c r="CA20" s="14">
        <f t="shared" si="39"/>
        <v>13.089229634046784</v>
      </c>
      <c r="CB20" s="22">
        <f t="shared" si="10"/>
        <v>99.671872945964807</v>
      </c>
      <c r="CC20" s="62">
        <f t="shared" si="11"/>
        <v>377.11631739040928</v>
      </c>
      <c r="CD20" s="62">
        <f ca="1">AVERAGE(OFFSET($CC$3,0,0,'Données projet'!$E$12+1,1))-AVERAGE(OFFSET($H$3,0,0,'Données projet'!$E$12+1,1))</f>
        <v>328.10411227536315</v>
      </c>
      <c r="CE20" s="62">
        <f t="shared" si="40"/>
        <v>320.24200483294322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9.6</v>
      </c>
      <c r="CT20" s="13">
        <f>IF('Données projet'!$A$140&gt;35,CT19+CS20-DB19,IF(A20&lt;'Données projet'!$A$140,$CQ$205^A20,IF(A20='Données projet'!$A$140,'Données projet'!$B$140,CT19+CS20-DB19)))</f>
        <v>56.2</v>
      </c>
      <c r="CU20" s="18">
        <f>CT20*VLOOKUP('Données projet'!$B$13,Paramètres!$A$1:$I$89,3,0)*VLOOKUP('Données projet'!$B$13,Paramètres!$A$1:$I$89,5,0)</f>
        <v>43.836000000000006</v>
      </c>
      <c r="CV20" s="14">
        <f t="shared" si="41"/>
        <v>13.009897179721728</v>
      </c>
      <c r="CW20" s="22">
        <f t="shared" si="13"/>
        <v>99.006604254682017</v>
      </c>
      <c r="CX20" s="62">
        <f t="shared" si="14"/>
        <v>376.45104869912649</v>
      </c>
      <c r="CY20" s="62">
        <f ca="1">AVERAGE(OFFSET($CX$3,0,0,'Données projet'!$E$13+1,1))-AVERAGE(OFFSET($H$3,0,0,'Données projet'!$E$13+1,1))</f>
        <v>288.82868507674738</v>
      </c>
      <c r="CZ20" s="62">
        <f t="shared" si="42"/>
        <v>283.48738729114024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3.65</v>
      </c>
      <c r="DO20" s="13">
        <f>IF('Données projet'!$A$166&gt;35,DO19+DN20-DW19,IF(A20&lt;'Données projet'!$A$166,$DL$205^A20,IF(A20='Données projet'!$A$166,'Données projet'!$B$166,DO19+DN20-DW19)))</f>
        <v>38.355215845858055</v>
      </c>
      <c r="DP20" s="18">
        <f>DO20*VLOOKUP('Données projet'!$B$14,Paramètres!$A$1:$I$89,3,0)*VLOOKUP('Données projet'!$B$14,Paramètres!$A$1:$I$89,5,0)</f>
        <v>38.892188867700071</v>
      </c>
      <c r="DQ20" s="14">
        <f t="shared" si="43"/>
        <v>11.704543208803392</v>
      </c>
      <c r="DR20" s="22">
        <f t="shared" si="16"/>
        <v>88.122641699910204</v>
      </c>
      <c r="DS20" s="62">
        <f t="shared" si="17"/>
        <v>365.56708614435468</v>
      </c>
      <c r="DT20" s="62">
        <f ca="1">AVERAGE(OFFSET($DS$3,0,0,'Données projet'!$E$14+1,1))-AVERAGE(OFFSET($H$3,0,0,'Données projet'!$E$14+1,1))</f>
        <v>487.04124684635974</v>
      </c>
      <c r="DU20" s="62">
        <f t="shared" si="44"/>
        <v>306.61893266146666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3.65</v>
      </c>
      <c r="EJ20" s="13">
        <f>IF('Données projet'!$A$192&gt;35,EJ19+EI20-ER19,IF(A20&lt;'Données projet'!$A$192,$EG$205^A20,IF(A20='Données projet'!$A$192,'Données projet'!$B$192,EJ19+EI20-ER19)))</f>
        <v>38.355215845858055</v>
      </c>
      <c r="EK20" s="18">
        <f>EJ20*VLOOKUP('Données projet'!$B$15,Paramètres!$A$1:$I$89,3,0)*VLOOKUP('Données projet'!$B$15,Paramètres!$A$1:$I$89,5,0)</f>
        <v>36.498823398918525</v>
      </c>
      <c r="EL20" s="14">
        <f t="shared" si="45"/>
        <v>11.065770771335835</v>
      </c>
      <c r="EM20" s="22">
        <f t="shared" si="19"/>
        <v>82.841668179859667</v>
      </c>
      <c r="EN20" s="62">
        <f t="shared" si="20"/>
        <v>360.28611262430411</v>
      </c>
      <c r="EO20" s="62">
        <f ca="1">AVERAGE(OFFSET($EN$3,0,0,'Données projet'!$E$15+1,1))-AVERAGE(OFFSET($H$3,0,0,'Données projet'!$E$15+1,1))</f>
        <v>459.64120566196812</v>
      </c>
      <c r="EP20" s="62">
        <f t="shared" si="46"/>
        <v>290.39826583283588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3.65</v>
      </c>
      <c r="FE20" s="13">
        <f>IF('Données projet'!$A$218&gt;35,FE19+FD20-FM19,IF(A20&lt;'Données projet'!$A$218,$FB$205^A20,IF(A20='Données projet'!$A$218,'Données projet'!$B$218,FE19+FD20-FM19)))</f>
        <v>38.355215845858055</v>
      </c>
      <c r="FF20" s="18">
        <f>FE20*VLOOKUP('Données projet'!$B$16,Paramètres!$A$1:$I$89,3,0)*VLOOKUP('Données projet'!$B$16,Paramètres!$A$1:$I$89,5,0)</f>
        <v>25.728678789401581</v>
      </c>
      <c r="FG20" s="14">
        <f t="shared" si="47"/>
        <v>8.1245058298393111</v>
      </c>
      <c r="FH20" s="22">
        <f t="shared" si="22"/>
        <v>58.960963211844557</v>
      </c>
      <c r="FI20" s="62">
        <f t="shared" si="23"/>
        <v>336.40540765628901</v>
      </c>
      <c r="FJ20" s="62">
        <f ca="1">AVERAGE(OFFSET($FI$3,0,0,'Données projet'!$E$16+1,1))-AVERAGE(OFFSET($H$3,0,0,'Données projet'!$E$16+1,1))</f>
        <v>335.83558218229564</v>
      </c>
      <c r="FK20" s="62">
        <f t="shared" si="48"/>
        <v>217.08423061559648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14.2</v>
      </c>
      <c r="N21" s="14">
        <f>IF('Données projet'!$A$36&gt;35,N20+M21-V20,IF(A21&lt;'Données projet'!$A$36,$K$205^A21,IF(A21='Données projet'!$A$36,'Données projet'!$B$36,N20+M21-V20)))</f>
        <v>108.60000000000001</v>
      </c>
      <c r="O21" s="14">
        <f>N21*VLOOKUP('Données projet'!$B$9,Paramètres!$A$1:$I$89,3,0)*VLOOKUP('Données projet'!$B$9,Paramètres!$A$1:$I$89,5,0)</f>
        <v>94.87296000000002</v>
      </c>
      <c r="P21" s="14">
        <f t="shared" si="33"/>
        <v>25.736834760472274</v>
      </c>
      <c r="Q21" s="22">
        <f t="shared" si="2"/>
        <v>210.06205920782259</v>
      </c>
      <c r="R21" s="62">
        <f t="shared" si="0"/>
        <v>488.72872587448927</v>
      </c>
      <c r="S21" s="62">
        <f ca="1">AVERAGE(OFFSET($R$3,0,0,'Données projet'!$E$9+1,1))-AVERAGE(OFFSET($H$3,0,0,'Données projet'!$E$9+1,1))</f>
        <v>321.23599968992932</v>
      </c>
      <c r="T21" s="62">
        <f t="shared" si="34"/>
        <v>388.05195847800502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3.65</v>
      </c>
      <c r="AI21" s="14">
        <f>IF('Données projet'!$A$62&gt;35,AI20+AH21-AQ20,IF(A21&lt;'Données projet'!$A$62,$AF$205^A21,IF(A21='Données projet'!$A$62,'Données projet'!$B$62,AI20+AH21-AQ20)))</f>
        <v>47.532490941824946</v>
      </c>
      <c r="AJ21" s="14">
        <f>AI21*VLOOKUP('Données projet'!$B$10,Paramètres!$A$1:$I$89,3,0)*VLOOKUP('Données projet'!$B$10,Paramètres!$A$1:$I$89,5,0)</f>
        <v>43.007397804163212</v>
      </c>
      <c r="AK21" s="14">
        <f t="shared" si="35"/>
        <v>12.792363936215189</v>
      </c>
      <c r="AL21" s="22">
        <f t="shared" si="4"/>
        <v>97.184585031159045</v>
      </c>
      <c r="AM21" s="62">
        <f t="shared" si="5"/>
        <v>375.85125169782572</v>
      </c>
      <c r="AN21" s="62">
        <f ca="1">AVERAGE(OFFSET($AM$3,0,0,'Données projet'!$E$10+1,1))-AVERAGE(OFFSET($H$3,0,0,'Données projet'!$E$10+1,1))</f>
        <v>439.19854273764042</v>
      </c>
      <c r="AO21" s="62">
        <f t="shared" si="36"/>
        <v>278.21741231699929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13.6</v>
      </c>
      <c r="BD21" s="13">
        <f>IF('Données projet'!$A$88&gt;35,BD20+BC21-BL20,IF(A21&lt;'Données projet'!$A$88,$BA$205^A21,IF(A21='Données projet'!$A$88,'Données projet'!$B$88,BD20+BC21-BL20)))</f>
        <v>73.8</v>
      </c>
      <c r="BE21" s="14">
        <f>BD21*VLOOKUP('Données projet'!$B$11,Paramètres!$A$1:$I$89,3,0)*VLOOKUP('Données projet'!$B$11,Paramètres!$A$1:$I$89,5,0)</f>
        <v>58.71528</v>
      </c>
      <c r="BF21" s="14">
        <f t="shared" si="37"/>
        <v>16.843043445461888</v>
      </c>
      <c r="BG21" s="22">
        <f t="shared" si="7"/>
        <v>131.59741333417946</v>
      </c>
      <c r="BH21" s="62">
        <f t="shared" si="8"/>
        <v>410.26408000084615</v>
      </c>
      <c r="BI21" s="62">
        <f ca="1">AVERAGE(OFFSET($BH$3,0,0,'Données projet'!$E$11+1,1))-AVERAGE(OFFSET($H$3,0,0,'Données projet'!$E$11+1,1))</f>
        <v>352.88510024787888</v>
      </c>
      <c r="BJ21" s="62">
        <f t="shared" si="38"/>
        <v>343.77208530767069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6.8359799376465231</v>
      </c>
      <c r="BR21" s="23">
        <f>EXP(-LN(2)/2)*BR20+(1-EXP(-LN(2)/2))/(LN(2)/2)*BL21*BO21*VLOOKUP('Données projet'!$B$11,Paramètres!$A$1:$I$89,3,0)*0.475*44/12</f>
        <v>4.2464308544765981</v>
      </c>
      <c r="BS21" s="24">
        <f t="shared" si="9"/>
        <v>11.08241079212312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13.6</v>
      </c>
      <c r="BY21" s="13">
        <f>IF('Données projet'!$A$114&gt;35,BY20+BX21-CG20,IF(A21&lt;'Données projet'!$A$114,$BV$205^A21,IF(A21='Données projet'!$A$114,'Données projet'!$B$114,BY20+BX21-CG20)))</f>
        <v>73.8</v>
      </c>
      <c r="BZ21" s="14">
        <f>BY21*VLOOKUP('Données projet'!$B$12,Paramètres!$A$1:$I$89,3,0)*VLOOKUP('Données projet'!$B$12,Paramètres!$A$1:$I$89,5,0)</f>
        <v>54.11016</v>
      </c>
      <c r="CA21" s="14">
        <f t="shared" si="39"/>
        <v>15.670297028888184</v>
      </c>
      <c r="CB21" s="22">
        <f t="shared" si="10"/>
        <v>121.53429599198023</v>
      </c>
      <c r="CC21" s="62">
        <f t="shared" si="11"/>
        <v>400.20096265864692</v>
      </c>
      <c r="CD21" s="62">
        <f ca="1">AVERAGE(OFFSET($CC$3,0,0,'Données projet'!$E$12+1,1))-AVERAGE(OFFSET($H$3,0,0,'Données projet'!$E$12+1,1))</f>
        <v>328.10411227536315</v>
      </c>
      <c r="CE21" s="62">
        <f t="shared" si="40"/>
        <v>320.24200483294322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9.6</v>
      </c>
      <c r="CT21" s="13">
        <f>IF('Données projet'!$A$140&gt;35,CT20+CS21-DB20,IF(A21&lt;'Données projet'!$A$140,$CQ$205^A21,IF(A21='Données projet'!$A$140,'Données projet'!$B$140,CT20+CS21-DB20)))</f>
        <v>65.8</v>
      </c>
      <c r="CU21" s="18">
        <f>CT21*VLOOKUP('Données projet'!$B$13,Paramètres!$A$1:$I$89,3,0)*VLOOKUP('Données projet'!$B$13,Paramètres!$A$1:$I$89,5,0)</f>
        <v>51.323999999999998</v>
      </c>
      <c r="CV21" s="14">
        <f t="shared" si="41"/>
        <v>14.95516659950003</v>
      </c>
      <c r="CW21" s="22">
        <f t="shared" si="13"/>
        <v>115.43621516079588</v>
      </c>
      <c r="CX21" s="62">
        <f t="shared" si="14"/>
        <v>394.10288182746257</v>
      </c>
      <c r="CY21" s="62">
        <f ca="1">AVERAGE(OFFSET($CX$3,0,0,'Données projet'!$E$13+1,1))-AVERAGE(OFFSET($H$3,0,0,'Données projet'!$E$13+1,1))</f>
        <v>288.82868507674738</v>
      </c>
      <c r="CZ21" s="62">
        <f t="shared" si="42"/>
        <v>283.48738729114024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3.65</v>
      </c>
      <c r="DO21" s="13">
        <f>IF('Données projet'!$A$166&gt;35,DO20+DN21-DW20,IF(A21&lt;'Données projet'!$A$166,$DL$205^A21,IF(A21='Données projet'!$A$166,'Données projet'!$B$166,DO20+DN21-DW20)))</f>
        <v>47.532490941824946</v>
      </c>
      <c r="DP21" s="18">
        <f>DO21*VLOOKUP('Données projet'!$B$14,Paramètres!$A$1:$I$89,3,0)*VLOOKUP('Données projet'!$B$14,Paramètres!$A$1:$I$89,5,0)</f>
        <v>48.197945815010499</v>
      </c>
      <c r="DQ21" s="14">
        <f t="shared" si="43"/>
        <v>14.147381769152156</v>
      </c>
      <c r="DR21" s="22">
        <f t="shared" si="16"/>
        <v>108.58477887574996</v>
      </c>
      <c r="DS21" s="62">
        <f t="shared" si="17"/>
        <v>387.25144554241666</v>
      </c>
      <c r="DT21" s="62">
        <f ca="1">AVERAGE(OFFSET($DS$3,0,0,'Données projet'!$E$14+1,1))-AVERAGE(OFFSET($H$3,0,0,'Données projet'!$E$14+1,1))</f>
        <v>487.04124684635974</v>
      </c>
      <c r="DU21" s="62">
        <f t="shared" si="44"/>
        <v>306.61893266146666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3.65</v>
      </c>
      <c r="EJ21" s="13">
        <f>IF('Données projet'!$A$192&gt;35,EJ20+EI21-ER20,IF(A21&lt;'Données projet'!$A$192,$EG$205^A21,IF(A21='Données projet'!$A$192,'Données projet'!$B$192,EJ20+EI21-ER20)))</f>
        <v>47.532490941824946</v>
      </c>
      <c r="EK21" s="18">
        <f>EJ21*VLOOKUP('Données projet'!$B$15,Paramètres!$A$1:$I$89,3,0)*VLOOKUP('Données projet'!$B$15,Paramètres!$A$1:$I$89,5,0)</f>
        <v>45.231918380240622</v>
      </c>
      <c r="EL21" s="14">
        <f t="shared" si="45"/>
        <v>13.375292045080878</v>
      </c>
      <c r="EM21" s="22">
        <f t="shared" si="19"/>
        <v>102.07422482410162</v>
      </c>
      <c r="EN21" s="62">
        <f t="shared" si="20"/>
        <v>380.74089149076832</v>
      </c>
      <c r="EO21" s="62">
        <f ca="1">AVERAGE(OFFSET($EN$3,0,0,'Données projet'!$E$15+1,1))-AVERAGE(OFFSET($H$3,0,0,'Données projet'!$E$15+1,1))</f>
        <v>459.64120566196812</v>
      </c>
      <c r="EP21" s="62">
        <f t="shared" si="46"/>
        <v>290.39826583283588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3.65</v>
      </c>
      <c r="FE21" s="13">
        <f>IF('Données projet'!$A$218&gt;35,FE20+FD21-FM20,IF(A21&lt;'Données projet'!$A$218,$FB$205^A21,IF(A21='Données projet'!$A$218,'Données projet'!$B$218,FE20+FD21-FM20)))</f>
        <v>47.532490941824946</v>
      </c>
      <c r="FF21" s="18">
        <f>FE21*VLOOKUP('Données projet'!$B$16,Paramètres!$A$1:$I$89,3,0)*VLOOKUP('Données projet'!$B$16,Paramètres!$A$1:$I$89,5,0)</f>
        <v>31.884794923776177</v>
      </c>
      <c r="FG21" s="14">
        <f t="shared" si="47"/>
        <v>9.820159882359901</v>
      </c>
      <c r="FH21" s="22">
        <f t="shared" si="22"/>
        <v>72.636129620687001</v>
      </c>
      <c r="FI21" s="62">
        <f t="shared" si="23"/>
        <v>351.30279628735366</v>
      </c>
      <c r="FJ21" s="62">
        <f ca="1">AVERAGE(OFFSET($FI$3,0,0,'Données projet'!$E$16+1,1))-AVERAGE(OFFSET($H$3,0,0,'Données projet'!$E$16+1,1))</f>
        <v>335.83558218229564</v>
      </c>
      <c r="FK21" s="62">
        <f t="shared" si="48"/>
        <v>217.08423061559648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14.2</v>
      </c>
      <c r="N22" s="14">
        <f>IF('Données projet'!$A$36&gt;35,N21+M22-V21,IF(A22&lt;'Données projet'!$A$36,$K$205^A22,IF(A22='Données projet'!$A$36,'Données projet'!$B$36,N21+M22-V21)))</f>
        <v>122.80000000000001</v>
      </c>
      <c r="O22" s="14">
        <f>N22*VLOOKUP('Données projet'!$B$9,Paramètres!$A$1:$I$89,3,0)*VLOOKUP('Données projet'!$B$9,Paramètres!$A$1:$I$89,5,0)</f>
        <v>107.27808000000003</v>
      </c>
      <c r="P22" s="14">
        <f t="shared" si="33"/>
        <v>28.688746800886673</v>
      </c>
      <c r="Q22" s="22">
        <f t="shared" si="2"/>
        <v>236.80889001154432</v>
      </c>
      <c r="R22" s="62">
        <f t="shared" si="0"/>
        <v>516.69777890043315</v>
      </c>
      <c r="S22" s="62">
        <f ca="1">AVERAGE(OFFSET($R$3,0,0,'Données projet'!$E$9+1,1))-AVERAGE(OFFSET($H$3,0,0,'Données projet'!$E$9+1,1))</f>
        <v>321.23599968992932</v>
      </c>
      <c r="T22" s="62">
        <f t="shared" si="34"/>
        <v>388.05195847800502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3.65</v>
      </c>
      <c r="AI22" s="14">
        <f>IF('Données projet'!$A$62&gt;35,AI21+AH22-AQ21,IF(A22&lt;'Données projet'!$A$62,$AF$205^A22,IF(A22='Données projet'!$A$62,'Données projet'!$B$62,AI21+AH22-AQ21)))</f>
        <v>58.90561805764559</v>
      </c>
      <c r="AJ22" s="14">
        <f>AI22*VLOOKUP('Données projet'!$B$10,Paramètres!$A$1:$I$89,3,0)*VLOOKUP('Données projet'!$B$10,Paramètres!$A$1:$I$89,5,0)</f>
        <v>53.297803218557732</v>
      </c>
      <c r="AK22" s="14">
        <f t="shared" si="35"/>
        <v>15.462240012873817</v>
      </c>
      <c r="AL22" s="22">
        <f t="shared" si="4"/>
        <v>119.75707529474329</v>
      </c>
      <c r="AM22" s="62">
        <f t="shared" si="5"/>
        <v>399.64596418363215</v>
      </c>
      <c r="AN22" s="62">
        <f ca="1">AVERAGE(OFFSET($AM$3,0,0,'Données projet'!$E$10+1,1))-AVERAGE(OFFSET($H$3,0,0,'Données projet'!$E$10+1,1))</f>
        <v>439.19854273764042</v>
      </c>
      <c r="AO22" s="62">
        <f t="shared" si="36"/>
        <v>278.21741231699929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13.6</v>
      </c>
      <c r="BD22" s="13">
        <f>IF('Données projet'!$A$88&gt;35,BD21+BC22-BL21,IF(A22&lt;'Données projet'!$A$88,$BA$205^A22,IF(A22='Données projet'!$A$88,'Données projet'!$B$88,BD21+BC22-BL21)))</f>
        <v>87.399999999999991</v>
      </c>
      <c r="BE22" s="14">
        <f>BD22*VLOOKUP('Données projet'!$B$11,Paramètres!$A$1:$I$89,3,0)*VLOOKUP('Données projet'!$B$11,Paramètres!$A$1:$I$89,5,0)</f>
        <v>69.535439999999994</v>
      </c>
      <c r="BF22" s="14">
        <f t="shared" si="37"/>
        <v>19.558046279609563</v>
      </c>
      <c r="BG22" s="22">
        <f t="shared" si="7"/>
        <v>155.17115527031999</v>
      </c>
      <c r="BH22" s="62">
        <f t="shared" si="8"/>
        <v>435.06004415920881</v>
      </c>
      <c r="BI22" s="62">
        <f ca="1">AVERAGE(OFFSET($BH$3,0,0,'Données projet'!$E$11+1,1))-AVERAGE(OFFSET($H$3,0,0,'Données projet'!$E$11+1,1))</f>
        <v>352.88510024787888</v>
      </c>
      <c r="BJ22" s="62">
        <f t="shared" si="38"/>
        <v>343.77208530767069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6.6490497067630177</v>
      </c>
      <c r="BR22" s="23">
        <f>EXP(-LN(2)/2)*BR21+(1-EXP(-LN(2)/2))/(LN(2)/2)*BL22*BO22*VLOOKUP('Données projet'!$B$11,Paramètres!$A$1:$I$89,3,0)*0.475*44/12</f>
        <v>3.002680053040188</v>
      </c>
      <c r="BS22" s="24">
        <f t="shared" si="9"/>
        <v>9.6517297598032066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13.6</v>
      </c>
      <c r="BY22" s="13">
        <f>IF('Données projet'!$A$114&gt;35,BY21+BX22-CG21,IF(A22&lt;'Données projet'!$A$114,$BV$205^A22,IF(A22='Données projet'!$A$114,'Données projet'!$B$114,BY21+BX22-CG21)))</f>
        <v>87.399999999999991</v>
      </c>
      <c r="BZ22" s="14">
        <f>BY22*VLOOKUP('Données projet'!$B$12,Paramètres!$A$1:$I$89,3,0)*VLOOKUP('Données projet'!$B$12,Paramètres!$A$1:$I$89,5,0)</f>
        <v>64.081679999999992</v>
      </c>
      <c r="CA22" s="14">
        <f t="shared" si="39"/>
        <v>18.196259808900503</v>
      </c>
      <c r="CB22" s="22">
        <f t="shared" si="10"/>
        <v>143.30074516716834</v>
      </c>
      <c r="CC22" s="62">
        <f t="shared" si="11"/>
        <v>423.18963405605723</v>
      </c>
      <c r="CD22" s="62">
        <f ca="1">AVERAGE(OFFSET($CC$3,0,0,'Données projet'!$E$12+1,1))-AVERAGE(OFFSET($H$3,0,0,'Données projet'!$E$12+1,1))</f>
        <v>328.10411227536315</v>
      </c>
      <c r="CE22" s="62">
        <f t="shared" si="40"/>
        <v>320.24200483294322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9.6</v>
      </c>
      <c r="CT22" s="13">
        <f>IF('Données projet'!$A$140&gt;35,CT21+CS22-DB21,IF(A22&lt;'Données projet'!$A$140,$CQ$205^A22,IF(A22='Données projet'!$A$140,'Données projet'!$B$140,CT21+CS22-DB21)))</f>
        <v>75.399999999999991</v>
      </c>
      <c r="CU22" s="18">
        <f>CT22*VLOOKUP('Données projet'!$B$13,Paramètres!$A$1:$I$89,3,0)*VLOOKUP('Données projet'!$B$13,Paramètres!$A$1:$I$89,5,0)</f>
        <v>58.811999999999998</v>
      </c>
      <c r="CV22" s="14">
        <f t="shared" si="41"/>
        <v>16.86755663452599</v>
      </c>
      <c r="CW22" s="22">
        <f t="shared" si="13"/>
        <v>131.8085611384661</v>
      </c>
      <c r="CX22" s="62">
        <f t="shared" si="14"/>
        <v>411.69745002735499</v>
      </c>
      <c r="CY22" s="62">
        <f ca="1">AVERAGE(OFFSET($CX$3,0,0,'Données projet'!$E$13+1,1))-AVERAGE(OFFSET($H$3,0,0,'Données projet'!$E$13+1,1))</f>
        <v>288.82868507674738</v>
      </c>
      <c r="CZ22" s="62">
        <f t="shared" si="42"/>
        <v>283.48738729114024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3.65</v>
      </c>
      <c r="DO22" s="13">
        <f>IF('Données projet'!$A$166&gt;35,DO21+DN22-DW21,IF(A22&lt;'Données projet'!$A$166,$DL$205^A22,IF(A22='Données projet'!$A$166,'Données projet'!$B$166,DO21+DN22-DW21)))</f>
        <v>58.90561805764559</v>
      </c>
      <c r="DP22" s="18">
        <f>DO22*VLOOKUP('Données projet'!$B$14,Paramètres!$A$1:$I$89,3,0)*VLOOKUP('Données projet'!$B$14,Paramètres!$A$1:$I$89,5,0)</f>
        <v>59.730296710452635</v>
      </c>
      <c r="DQ22" s="14">
        <f t="shared" si="43"/>
        <v>17.100061689857345</v>
      </c>
      <c r="DR22" s="22">
        <f t="shared" si="16"/>
        <v>133.81287421387319</v>
      </c>
      <c r="DS22" s="62">
        <f t="shared" si="17"/>
        <v>413.70176310276202</v>
      </c>
      <c r="DT22" s="62">
        <f ca="1">AVERAGE(OFFSET($DS$3,0,0,'Données projet'!$E$14+1,1))-AVERAGE(OFFSET($H$3,0,0,'Données projet'!$E$14+1,1))</f>
        <v>487.04124684635974</v>
      </c>
      <c r="DU22" s="62">
        <f t="shared" si="44"/>
        <v>306.61893266146666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3.65</v>
      </c>
      <c r="EJ22" s="13">
        <f>IF('Données projet'!$A$192&gt;35,EJ21+EI22-ER21,IF(A22&lt;'Données projet'!$A$192,$EG$205^A22,IF(A22='Données projet'!$A$192,'Données projet'!$B$192,EJ21+EI22-ER21)))</f>
        <v>58.90561805764559</v>
      </c>
      <c r="EK22" s="18">
        <f>EJ22*VLOOKUP('Données projet'!$B$15,Paramètres!$A$1:$I$89,3,0)*VLOOKUP('Données projet'!$B$15,Paramètres!$A$1:$I$89,5,0)</f>
        <v>56.054586143655548</v>
      </c>
      <c r="EL22" s="14">
        <f t="shared" si="45"/>
        <v>16.166830217973832</v>
      </c>
      <c r="EM22" s="22">
        <f t="shared" si="19"/>
        <v>125.78563349650449</v>
      </c>
      <c r="EN22" s="62">
        <f t="shared" si="20"/>
        <v>405.67452238539335</v>
      </c>
      <c r="EO22" s="62">
        <f ca="1">AVERAGE(OFFSET($EN$3,0,0,'Données projet'!$E$15+1,1))-AVERAGE(OFFSET($H$3,0,0,'Données projet'!$E$15+1,1))</f>
        <v>459.64120566196812</v>
      </c>
      <c r="EP22" s="62">
        <f t="shared" si="46"/>
        <v>290.39826583283588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3.65</v>
      </c>
      <c r="FE22" s="13">
        <f>IF('Données projet'!$A$218&gt;35,FE21+FD22-FM21,IF(A22&lt;'Données projet'!$A$218,$FB$205^A22,IF(A22='Données projet'!$A$218,'Données projet'!$B$218,FE21+FD22-FM21)))</f>
        <v>58.90561805764559</v>
      </c>
      <c r="FF22" s="18">
        <f>FE22*VLOOKUP('Données projet'!$B$16,Paramètres!$A$1:$I$89,3,0)*VLOOKUP('Données projet'!$B$16,Paramètres!$A$1:$I$89,5,0)</f>
        <v>39.513888593068664</v>
      </c>
      <c r="FG22" s="14">
        <f t="shared" si="47"/>
        <v>11.869711479672622</v>
      </c>
      <c r="FH22" s="22">
        <f t="shared" si="22"/>
        <v>89.493103460024415</v>
      </c>
      <c r="FI22" s="62">
        <f t="shared" si="23"/>
        <v>369.38199234891329</v>
      </c>
      <c r="FJ22" s="62">
        <f ca="1">AVERAGE(OFFSET($FI$3,0,0,'Données projet'!$E$16+1,1))-AVERAGE(OFFSET($H$3,0,0,'Données projet'!$E$16+1,1))</f>
        <v>335.83558218229564</v>
      </c>
      <c r="FK22" s="62">
        <f t="shared" si="48"/>
        <v>217.08423061559648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137</v>
      </c>
      <c r="L23" s="13">
        <f>VLOOKUP(A23,'Données projet'!$A$35:$I$55,9,0)</f>
        <v>14.2</v>
      </c>
      <c r="M23" s="13">
        <f t="array" ref="M23">INDEX(L:L,MIN(IF(ISNUMBER(L23:L219),ROW(L23:L219),"")))</f>
        <v>14.2</v>
      </c>
      <c r="N23" s="14">
        <f>IF('Données projet'!$A$36&gt;35,N22+M23-V22,IF(A23&lt;'Données projet'!$A$36,$K$205^A23,IF(A23='Données projet'!$A$36,'Données projet'!$B$36,N22+M23-V22)))</f>
        <v>137</v>
      </c>
      <c r="O23" s="14">
        <f>N23*VLOOKUP('Données projet'!$B$9,Paramètres!$A$1:$I$89,3,0)*VLOOKUP('Données projet'!$B$9,Paramètres!$A$1:$I$89,5,0)</f>
        <v>119.68320000000003</v>
      </c>
      <c r="P23" s="14">
        <f t="shared" si="33"/>
        <v>31.601099532596194</v>
      </c>
      <c r="Q23" s="22">
        <f t="shared" si="2"/>
        <v>263.48682168593842</v>
      </c>
      <c r="R23" s="62">
        <f t="shared" si="0"/>
        <v>544.59793279704957</v>
      </c>
      <c r="S23" s="62">
        <f ca="1">AVERAGE(OFFSET($R$3,0,0,'Données projet'!$E$9+1,1))-AVERAGE(OFFSET($H$3,0,0,'Données projet'!$E$9+1,1))</f>
        <v>321.23599968992932</v>
      </c>
      <c r="T23" s="62">
        <f t="shared" si="34"/>
        <v>388.05195847800502</v>
      </c>
      <c r="U23" s="16">
        <f>IF(ISNA(VLOOKUP(A23,'Données projet'!$A$35:$I$55,3,0)),0,VLOOKUP(A23,'Données projet'!$A$35:$I$55,3,0))</f>
        <v>2</v>
      </c>
      <c r="V23" s="16">
        <f>IF(ISNA(VLOOKUP(A23,'Données projet'!$A$35:$I$55,4,0)),0,VLOOKUP(A23,'Données projet'!$A$35:$I$55,4,0))</f>
        <v>43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0.215</v>
      </c>
      <c r="Y23" s="17">
        <f>IF(ISNA(VLOOKUP(A23,'Données projet'!$A$35:$I$55,7,0)),0%,VLOOKUP(A23,'Données projet'!$A$35:$I$55,7,0))</f>
        <v>0.5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8.8931024011363835</v>
      </c>
      <c r="AB23" s="23">
        <f>EXP(-LN(2)/2)*AB22+(1-EXP(-LN(2)/2))/(LN(2)/2)*V23*Y23*VLOOKUP('Données projet'!$B$9,Paramètres!$A$1:$I$89,3,0)*0.475*44/12</f>
        <v>17.721699920884245</v>
      </c>
      <c r="AC23" s="24">
        <f t="shared" si="3"/>
        <v>26.61480232202063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73</v>
      </c>
      <c r="AG23" s="13">
        <f>VLOOKUP(A23,'Données projet'!$A$61:$I$81,9,0)</f>
        <v>3.65</v>
      </c>
      <c r="AH23" s="13">
        <f t="array" ref="AH23">INDEX(AG:AG,MIN(IF(ISNUMBER(AG23:AG219),ROW(AG23:AG219),"")))</f>
        <v>3.65</v>
      </c>
      <c r="AI23" s="14">
        <f>IF('Données projet'!$A$62&gt;35,AI22+AH23-AQ22,IF(A23&lt;'Données projet'!$A$62,$AF$205^A23,IF(A23='Données projet'!$A$62,'Données projet'!$B$62,AI22+AH23-AQ22)))</f>
        <v>73</v>
      </c>
      <c r="AJ23" s="14">
        <f>AI23*VLOOKUP('Données projet'!$B$10,Paramètres!$A$1:$I$89,3,0)*VLOOKUP('Données projet'!$B$10,Paramètres!$A$1:$I$89,5,0)</f>
        <v>66.050399999999996</v>
      </c>
      <c r="AK23" s="14">
        <f t="shared" si="35"/>
        <v>18.689342126897891</v>
      </c>
      <c r="AL23" s="22">
        <f t="shared" si="4"/>
        <v>147.58838420434714</v>
      </c>
      <c r="AM23" s="62">
        <f t="shared" si="5"/>
        <v>428.69949531545831</v>
      </c>
      <c r="AN23" s="62">
        <f ca="1">AVERAGE(OFFSET($AM$3,0,0,'Données projet'!$E$10+1,1))-AVERAGE(OFFSET($H$3,0,0,'Données projet'!$E$10+1,1))</f>
        <v>439.19854273764042</v>
      </c>
      <c r="AO23" s="62">
        <f t="shared" si="36"/>
        <v>278.21741231699929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6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101</v>
      </c>
      <c r="BB23" s="13">
        <f>VLOOKUP(A23,'Données projet'!$A$87:$I$107,9,0)</f>
        <v>13.6</v>
      </c>
      <c r="BC23" s="13">
        <f t="array" ref="BC23">INDEX(BB:BB,MIN(IF(ISNUMBER(BB23:BB219),ROW(BB23:BB219),"")))</f>
        <v>13.6</v>
      </c>
      <c r="BD23" s="13">
        <f>IF('Données projet'!$A$88&gt;35,BD22+BC23-BL22,IF(A23&lt;'Données projet'!$A$88,$BA$205^A23,IF(A23='Données projet'!$A$88,'Données projet'!$B$88,BD22+BC23-BL22)))</f>
        <v>100.99999999999999</v>
      </c>
      <c r="BE23" s="14">
        <f>BD23*VLOOKUP('Données projet'!$B$11,Paramètres!$A$1:$I$89,3,0)*VLOOKUP('Données projet'!$B$11,Paramètres!$A$1:$I$89,5,0)</f>
        <v>80.355599999999995</v>
      </c>
      <c r="BF23" s="14">
        <f t="shared" si="37"/>
        <v>22.224107721582499</v>
      </c>
      <c r="BG23" s="22">
        <f t="shared" si="7"/>
        <v>178.65965761508951</v>
      </c>
      <c r="BH23" s="62">
        <f t="shared" si="8"/>
        <v>459.77076872620069</v>
      </c>
      <c r="BI23" s="62">
        <f ca="1">AVERAGE(OFFSET($BH$3,0,0,'Données projet'!$E$11+1,1))-AVERAGE(OFFSET($H$3,0,0,'Données projet'!$E$11+1,1))</f>
        <v>352.88510024787888</v>
      </c>
      <c r="BJ23" s="62">
        <f t="shared" si="38"/>
        <v>343.77208530767069</v>
      </c>
      <c r="BK23" s="16">
        <f>IF(ISNA(VLOOKUP(A23,'Données projet'!$A$87:$I$107,3,0)),0,VLOOKUP(A23,'Données projet'!$A$87:$I$107,3,0))</f>
        <v>3</v>
      </c>
      <c r="BL23" s="16">
        <f>IF(ISNA(VLOOKUP(A23,'Données projet'!$A$87:$I$107,4,0)),0,VLOOKUP(A23,'Données projet'!$A$87:$I$107,4,0))</f>
        <v>35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0.318</v>
      </c>
      <c r="BO23" s="17">
        <f>IF(ISNA(VLOOKUP(A23,'Données projet'!$A$87:$I$107,7,0)),0%,VLOOKUP(A23,'Données projet'!$A$87:$I$107,7,0))</f>
        <v>0.4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16.217659347445313</v>
      </c>
      <c r="BR23" s="23">
        <f>EXP(-LN(2)/2)*BR22+(1-EXP(-LN(2)/2))/(LN(2)/2)*BL23*BO23*VLOOKUP('Données projet'!$B$11,Paramètres!$A$1:$I$89,3,0)*0.475*44/12</f>
        <v>12.632595612878957</v>
      </c>
      <c r="BS23" s="24">
        <f t="shared" si="9"/>
        <v>28.850254960324271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101</v>
      </c>
      <c r="BW23" s="13">
        <f>VLOOKUP(A23,'Données projet'!$A$113:$I$133,9,0)</f>
        <v>13.6</v>
      </c>
      <c r="BX23" s="13">
        <f t="array" ref="BX23">INDEX(BW:BW,MIN(IF(ISNUMBER(BW23:BW219),ROW(BW23:BW219),"")))</f>
        <v>13.6</v>
      </c>
      <c r="BY23" s="13">
        <f>IF('Données projet'!$A$114&gt;35,BY22+BX23-CG22,IF(A23&lt;'Données projet'!$A$114,$BV$205^A23,IF(A23='Données projet'!$A$114,'Données projet'!$B$114,BY22+BX23-CG22)))</f>
        <v>100.99999999999999</v>
      </c>
      <c r="BZ23" s="14">
        <f>BY23*VLOOKUP('Données projet'!$B$12,Paramètres!$A$1:$I$89,3,0)*VLOOKUP('Données projet'!$B$12,Paramètres!$A$1:$I$89,5,0)</f>
        <v>74.05319999999999</v>
      </c>
      <c r="CA23" s="14">
        <f t="shared" si="39"/>
        <v>20.676688885050559</v>
      </c>
      <c r="CB23" s="22">
        <f t="shared" si="10"/>
        <v>164.98788980812969</v>
      </c>
      <c r="CC23" s="62">
        <f t="shared" si="11"/>
        <v>446.09900091924084</v>
      </c>
      <c r="CD23" s="62">
        <f ca="1">AVERAGE(OFFSET($CC$3,0,0,'Données projet'!$E$12+1,1))-AVERAGE(OFFSET($H$3,0,0,'Données projet'!$E$12+1,1))</f>
        <v>328.10411227536315</v>
      </c>
      <c r="CE23" s="62">
        <f t="shared" si="40"/>
        <v>320.24200483294322</v>
      </c>
      <c r="CF23" s="16">
        <f>IF(ISNA(VLOOKUP(A23,'Données projet'!$A$113:$I$133,3,0)),0,VLOOKUP(A23,'Données projet'!$A$113:$I$133,3,0))</f>
        <v>3</v>
      </c>
      <c r="CG23" s="16">
        <f>IF(ISNA(VLOOKUP(A23,'Données projet'!$A$113:$I$133,4,0)),0,VLOOKUP(A23,'Données projet'!$A$113:$I$133,4,0))</f>
        <v>35</v>
      </c>
      <c r="CH23" s="17">
        <f>IF(ISNA(VLOOKUP(A23,'Données projet'!$A$113:$I$133,5,0)),0%,VLOOKUP(A23,'Données projet'!$A$113:$I$133,5,0)*VLOOKUP('Données projet'!$B$12,Paramètres!$A$1:$I$89,7,0))</f>
        <v>0.129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3.6595469334651192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3.6595469334651192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85</v>
      </c>
      <c r="CR23" s="13">
        <f>VLOOKUP(A23,'Données projet'!$A$139:$I$159,9,0)</f>
        <v>9.6</v>
      </c>
      <c r="CS23" s="13">
        <f t="array" ref="CS23">INDEX(CR:CR,MIN(IF(ISNUMBER(CR23:CR219),ROW(CR23:CR219),"")))</f>
        <v>9.6</v>
      </c>
      <c r="CT23" s="13">
        <f>IF('Données projet'!$A$140&gt;35,CT22+CS23-DB22,IF(A23&lt;'Données projet'!$A$140,$CQ$205^A23,IF(A23='Données projet'!$A$140,'Données projet'!$B$140,CT22+CS23-DB22)))</f>
        <v>84.999999999999986</v>
      </c>
      <c r="CU23" s="18">
        <f>CT23*VLOOKUP('Données projet'!$B$13,Paramètres!$A$1:$I$89,3,0)*VLOOKUP('Données projet'!$B$13,Paramètres!$A$1:$I$89,5,0)</f>
        <v>66.3</v>
      </c>
      <c r="CV23" s="14">
        <f t="shared" si="41"/>
        <v>18.751733344032118</v>
      </c>
      <c r="CW23" s="22">
        <f t="shared" si="13"/>
        <v>148.13176890752257</v>
      </c>
      <c r="CX23" s="62">
        <f t="shared" si="14"/>
        <v>429.24288001863374</v>
      </c>
      <c r="CY23" s="62">
        <f ca="1">AVERAGE(OFFSET($CX$3,0,0,'Données projet'!$E$13+1,1))-AVERAGE(OFFSET($H$3,0,0,'Données projet'!$E$13+1,1))</f>
        <v>288.82868507674738</v>
      </c>
      <c r="CZ23" s="62">
        <f t="shared" si="42"/>
        <v>283.48738729114024</v>
      </c>
      <c r="DA23" s="16">
        <f>IF(ISNA(VLOOKUP(A23,'Données projet'!$A$139:$I$159,3,0)),0,VLOOKUP(A23,'Données projet'!$A$139:$I$159,3,0))</f>
        <v>2</v>
      </c>
      <c r="DB23" s="16">
        <f>IF(ISNA(VLOOKUP(A23,'Données projet'!$A$139:$I$159,4,0)),0,VLOOKUP(A23,'Données projet'!$A$139:$I$159,4,0))</f>
        <v>25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73</v>
      </c>
      <c r="DM23" s="13">
        <f>VLOOKUP(A23,'Données projet'!$A$165:$I$185,9,0)</f>
        <v>3.65</v>
      </c>
      <c r="DN23" s="13">
        <f t="array" ref="DN23">INDEX(DM:DM,MIN(IF(ISNUMBER(DM23:DM219),ROW(DM23:DM219),"")))</f>
        <v>3.65</v>
      </c>
      <c r="DO23" s="13">
        <f>IF('Données projet'!$A$166&gt;35,DO22+DN23-DW22,IF(A23&lt;'Données projet'!$A$166,$DL$205^A23,IF(A23='Données projet'!$A$166,'Données projet'!$B$166,DO22+DN23-DW22)))</f>
        <v>73</v>
      </c>
      <c r="DP23" s="18">
        <f>DO23*VLOOKUP('Données projet'!$B$14,Paramètres!$A$1:$I$89,3,0)*VLOOKUP('Données projet'!$B$14,Paramètres!$A$1:$I$89,5,0)</f>
        <v>74.022000000000006</v>
      </c>
      <c r="DQ23" s="14">
        <f t="shared" si="43"/>
        <v>20.668991235856851</v>
      </c>
      <c r="DR23" s="22">
        <f t="shared" si="16"/>
        <v>164.92014306911736</v>
      </c>
      <c r="DS23" s="62">
        <f t="shared" si="17"/>
        <v>446.03125418022853</v>
      </c>
      <c r="DT23" s="62">
        <f ca="1">AVERAGE(OFFSET($DS$3,0,0,'Données projet'!$E$14+1,1))-AVERAGE(OFFSET($H$3,0,0,'Données projet'!$E$14+1,1))</f>
        <v>487.04124684635974</v>
      </c>
      <c r="DU23" s="62">
        <f t="shared" si="44"/>
        <v>306.61893266146666</v>
      </c>
      <c r="DV23" s="16">
        <f>IF(ISNA(VLOOKUP(A23,'Données projet'!$A$165:$I$185,3,0)),0,VLOOKUP(A23,'Données projet'!$A$165:$I$185,3,0))</f>
        <v>1</v>
      </c>
      <c r="DW23" s="16">
        <f>IF(ISNA(VLOOKUP(A23,'Données projet'!$A$165:$I$185,4,0)),0,VLOOKUP(A23,'Données projet'!$A$165:$I$185,4,0))</f>
        <v>6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73</v>
      </c>
      <c r="EH23" s="13">
        <f>VLOOKUP(A23,'Données projet'!$A$191:$I$211,9,0)</f>
        <v>3.65</v>
      </c>
      <c r="EI23" s="13">
        <f t="array" ref="EI23">INDEX(EH:EH,MIN(IF(ISNUMBER(EH23:EH219),ROW(EH23:EH219),"")))</f>
        <v>3.65</v>
      </c>
      <c r="EJ23" s="13">
        <f>IF('Données projet'!$A$192&gt;35,EJ22+EI23-ER22,IF(A23&lt;'Données projet'!$A$192,$EG$205^A23,IF(A23='Données projet'!$A$192,'Données projet'!$B$192,EJ22+EI23-ER22)))</f>
        <v>73</v>
      </c>
      <c r="EK23" s="18">
        <f>EJ23*VLOOKUP('Données projet'!$B$15,Paramètres!$A$1:$I$89,3,0)*VLOOKUP('Données projet'!$B$15,Paramètres!$A$1:$I$89,5,0)</f>
        <v>69.466800000000006</v>
      </c>
      <c r="EL23" s="14">
        <f t="shared" si="45"/>
        <v>19.540986351241298</v>
      </c>
      <c r="EM23" s="22">
        <f t="shared" si="19"/>
        <v>155.02189456174526</v>
      </c>
      <c r="EN23" s="62">
        <f t="shared" si="20"/>
        <v>436.13300567285637</v>
      </c>
      <c r="EO23" s="62">
        <f ca="1">AVERAGE(OFFSET($EN$3,0,0,'Données projet'!$E$15+1,1))-AVERAGE(OFFSET($H$3,0,0,'Données projet'!$E$15+1,1))</f>
        <v>459.64120566196812</v>
      </c>
      <c r="EP23" s="62">
        <f t="shared" si="46"/>
        <v>290.39826583283588</v>
      </c>
      <c r="EQ23" s="16">
        <f>IF(ISNA(VLOOKUP(A23,'Données projet'!$A$191:$I$211,3,0)),0,VLOOKUP(A23,'Données projet'!$A$191:$I$211,3,0))</f>
        <v>1</v>
      </c>
      <c r="ER23" s="16">
        <f>IF(ISNA(VLOOKUP(A23,'Données projet'!$A$191:$I$211,4,0)),0,VLOOKUP(A23,'Données projet'!$A$191:$I$211,4,0))</f>
        <v>6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>
        <f>VLOOKUP(A23,'Données projet'!$A$217:$I$237,2,0)</f>
        <v>73</v>
      </c>
      <c r="FC23" s="13">
        <f>VLOOKUP(A23,'Données projet'!$A$217:$I$237,9,0)</f>
        <v>3.65</v>
      </c>
      <c r="FD23" s="13">
        <f t="array" ref="FD23">INDEX(FC:FC,MIN(IF(ISNUMBER(FC23:FC219),ROW(FC23:FC219),"")))</f>
        <v>3.65</v>
      </c>
      <c r="FE23" s="13">
        <f>IF('Données projet'!$A$218&gt;35,FE22+FD23-FM22,IF(A23&lt;'Données projet'!$A$218,$FB$205^A23,IF(A23='Données projet'!$A$218,'Données projet'!$B$218,FE22+FD23-FM22)))</f>
        <v>73</v>
      </c>
      <c r="FF23" s="18">
        <f>FE23*VLOOKUP('Données projet'!$B$16,Paramètres!$A$1:$I$89,3,0)*VLOOKUP('Données projet'!$B$16,Paramètres!$A$1:$I$89,5,0)</f>
        <v>48.968400000000003</v>
      </c>
      <c r="FG23" s="14">
        <f t="shared" si="47"/>
        <v>14.347022074839625</v>
      </c>
      <c r="FH23" s="22">
        <f t="shared" si="22"/>
        <v>110.27436011367904</v>
      </c>
      <c r="FI23" s="62">
        <f t="shared" si="23"/>
        <v>391.38547122479019</v>
      </c>
      <c r="FJ23" s="62">
        <f ca="1">AVERAGE(OFFSET($FI$3,0,0,'Données projet'!$E$16+1,1))-AVERAGE(OFFSET($H$3,0,0,'Données projet'!$E$16+1,1))</f>
        <v>335.83558218229564</v>
      </c>
      <c r="FK23" s="62">
        <f t="shared" si="48"/>
        <v>217.08423061559648</v>
      </c>
      <c r="FL23" s="16">
        <f>IF(ISNA(VLOOKUP(A23,'Données projet'!$A$217:$I$237,3,0)),0,VLOOKUP(A23,'Données projet'!$A$217:$I$237,3,0))</f>
        <v>1</v>
      </c>
      <c r="FM23" s="16">
        <f>IF(ISNA(VLOOKUP(A23,'Données projet'!$A$217:$I$237,4,0)),0,VLOOKUP(A23,'Données projet'!$A$217:$I$237,4,0))</f>
        <v>6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0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13.8</v>
      </c>
      <c r="N24" s="14">
        <f>IF('Données projet'!$A$36&gt;35,N23+M24-V23,IF(A24&lt;'Données projet'!$A$36,$K$205^A24,IF(A24='Données projet'!$A$36,'Données projet'!$B$36,N23+M24-V23)))</f>
        <v>107.80000000000001</v>
      </c>
      <c r="O24" s="14">
        <f>N24*VLOOKUP('Données projet'!$B$9,Paramètres!$A$1:$I$89,3,0)*VLOOKUP('Données projet'!$B$9,Paramètres!$A$1:$I$89,5,0)</f>
        <v>94.174080000000018</v>
      </c>
      <c r="P24" s="14">
        <f t="shared" si="33"/>
        <v>25.569241067746205</v>
      </c>
      <c r="Q24" s="22">
        <f t="shared" si="2"/>
        <v>208.55295085965801</v>
      </c>
      <c r="R24" s="62">
        <f t="shared" si="0"/>
        <v>490.8862841929913</v>
      </c>
      <c r="S24" s="62">
        <f ca="1">AVERAGE(OFFSET($R$3,0,0,'Données projet'!$E$9+1,1))-AVERAGE(OFFSET($H$3,0,0,'Données projet'!$E$9+1,1))</f>
        <v>321.23599968992932</v>
      </c>
      <c r="T24" s="62">
        <f t="shared" si="34"/>
        <v>388.05195847800502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8.6499200483093794</v>
      </c>
      <c r="AB24" s="23">
        <f>EXP(-LN(2)/2)*AB23+(1-EXP(-LN(2)/2))/(LN(2)/2)*V24*Y24*VLOOKUP('Données projet'!$B$9,Paramètres!$A$1:$I$89,3,0)*0.475*44/12</f>
        <v>12.531134188210354</v>
      </c>
      <c r="AC24" s="24">
        <f t="shared" si="3"/>
        <v>21.181054236519735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7.2</v>
      </c>
      <c r="AI24" s="14">
        <f>IF('Données projet'!$A$62&gt;35,AI23+AH24-AQ23,IF(A24&lt;'Données projet'!$A$62,$AF$205^A24,IF(A24='Données projet'!$A$62,'Données projet'!$B$62,AI23+AH24-AQ23)))</f>
        <v>74.2</v>
      </c>
      <c r="AJ24" s="14">
        <f>AI24*VLOOKUP('Données projet'!$B$10,Paramètres!$A$1:$I$89,3,0)*VLOOKUP('Données projet'!$B$10,Paramètres!$A$1:$I$89,5,0)</f>
        <v>67.136160000000004</v>
      </c>
      <c r="AK24" s="14">
        <f t="shared" si="35"/>
        <v>18.960545405756019</v>
      </c>
      <c r="AL24" s="22">
        <f t="shared" si="4"/>
        <v>149.95176191502506</v>
      </c>
      <c r="AM24" s="62">
        <f t="shared" si="5"/>
        <v>432.2850952483584</v>
      </c>
      <c r="AN24" s="62">
        <f ca="1">AVERAGE(OFFSET($AM$3,0,0,'Données projet'!$E$10+1,1))-AVERAGE(OFFSET($H$3,0,0,'Données projet'!$E$10+1,1))</f>
        <v>439.19854273764042</v>
      </c>
      <c r="AO24" s="62">
        <f t="shared" si="36"/>
        <v>278.21741231699929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14.8</v>
      </c>
      <c r="BD24" s="13">
        <f>IF('Données projet'!$A$88&gt;35,BD23+BC24-BL23,IF(A24&lt;'Données projet'!$A$88,$BA$205^A24,IF(A24='Données projet'!$A$88,'Données projet'!$B$88,BD23+BC24-BL23)))</f>
        <v>80.799999999999983</v>
      </c>
      <c r="BE24" s="14">
        <f>BD24*VLOOKUP('Données projet'!$B$11,Paramètres!$A$1:$I$89,3,0)*VLOOKUP('Données projet'!$B$11,Paramètres!$A$1:$I$89,5,0)</f>
        <v>64.284479999999988</v>
      </c>
      <c r="BF24" s="14">
        <f t="shared" si="37"/>
        <v>18.247133352994688</v>
      </c>
      <c r="BG24" s="22">
        <f t="shared" si="7"/>
        <v>143.74255992313238</v>
      </c>
      <c r="BH24" s="62">
        <f t="shared" si="8"/>
        <v>426.07589325646569</v>
      </c>
      <c r="BI24" s="62">
        <f ca="1">AVERAGE(OFFSET($BH$3,0,0,'Données projet'!$E$11+1,1))-AVERAGE(OFFSET($H$3,0,0,'Données projet'!$E$11+1,1))</f>
        <v>352.88510024787888</v>
      </c>
      <c r="BJ24" s="62">
        <f t="shared" si="38"/>
        <v>343.77208530767069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15.774186599739782</v>
      </c>
      <c r="BR24" s="23">
        <f>EXP(-LN(2)/2)*BR23+(1-EXP(-LN(2)/2))/(LN(2)/2)*BL24*BO24*VLOOKUP('Données projet'!$B$11,Paramètres!$A$1:$I$89,3,0)*0.475*44/12</f>
        <v>8.9325940218541415</v>
      </c>
      <c r="BS24" s="24">
        <f t="shared" si="9"/>
        <v>24.706780621593921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14.8</v>
      </c>
      <c r="BY24" s="13">
        <f>IF('Données projet'!$A$114&gt;35,BY23+BX24-CG23,IF(A24&lt;'Données projet'!$A$114,$BV$205^A24,IF(A24='Données projet'!$A$114,'Données projet'!$B$114,BY23+BX24-CG23)))</f>
        <v>80.799999999999983</v>
      </c>
      <c r="BZ24" s="14">
        <f>BY24*VLOOKUP('Données projet'!$B$12,Paramètres!$A$1:$I$89,3,0)*VLOOKUP('Données projet'!$B$12,Paramètres!$A$1:$I$89,5,0)</f>
        <v>59.24255999999999</v>
      </c>
      <c r="CA24" s="14">
        <f t="shared" si="39"/>
        <v>16.976623048740109</v>
      </c>
      <c r="CB24" s="22">
        <f t="shared" si="10"/>
        <v>132.74841047655565</v>
      </c>
      <c r="CC24" s="62">
        <f t="shared" si="11"/>
        <v>415.08174380988896</v>
      </c>
      <c r="CD24" s="62">
        <f ca="1">AVERAGE(OFFSET($CC$3,0,0,'Données projet'!$E$12+1,1))-AVERAGE(OFFSET($H$3,0,0,'Données projet'!$E$12+1,1))</f>
        <v>328.10411227536315</v>
      </c>
      <c r="CE24" s="62">
        <f t="shared" si="40"/>
        <v>320.24200483294322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3.5877854502030959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3.5877854502030959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10.6</v>
      </c>
      <c r="CT24" s="13">
        <f>IF('Données projet'!$A$140&gt;35,CT23+CS24-DB23,IF(A24&lt;'Données projet'!$A$140,$CQ$205^A24,IF(A24='Données projet'!$A$140,'Données projet'!$B$140,CT23+CS24-DB23)))</f>
        <v>70.59999999999998</v>
      </c>
      <c r="CU24" s="18">
        <f>CT24*VLOOKUP('Données projet'!$B$13,Paramètres!$A$1:$I$89,3,0)*VLOOKUP('Données projet'!$B$13,Paramètres!$A$1:$I$89,5,0)</f>
        <v>55.067999999999984</v>
      </c>
      <c r="CV24" s="14">
        <f t="shared" si="41"/>
        <v>15.915148294580479</v>
      </c>
      <c r="CW24" s="22">
        <f t="shared" si="13"/>
        <v>123.62898327972762</v>
      </c>
      <c r="CX24" s="62">
        <f t="shared" si="14"/>
        <v>405.96231661306092</v>
      </c>
      <c r="CY24" s="62">
        <f ca="1">AVERAGE(OFFSET($CX$3,0,0,'Données projet'!$E$13+1,1))-AVERAGE(OFFSET($H$3,0,0,'Données projet'!$E$13+1,1))</f>
        <v>288.82868507674738</v>
      </c>
      <c r="CZ24" s="62">
        <f t="shared" si="42"/>
        <v>283.48738729114024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7.2</v>
      </c>
      <c r="DO24" s="13">
        <f>IF('Données projet'!$A$166&gt;35,DO23+DN24-DW23,IF(A24&lt;'Données projet'!$A$166,$DL$205^A24,IF(A24='Données projet'!$A$166,'Données projet'!$B$166,DO23+DN24-DW23)))</f>
        <v>74.2</v>
      </c>
      <c r="DP24" s="18">
        <f>DO24*VLOOKUP('Données projet'!$B$14,Paramètres!$A$1:$I$89,3,0)*VLOOKUP('Données projet'!$B$14,Paramètres!$A$1:$I$89,5,0)</f>
        <v>75.238800000000012</v>
      </c>
      <c r="DQ24" s="14">
        <f t="shared" si="43"/>
        <v>20.96892143970209</v>
      </c>
      <c r="DR24" s="22">
        <f t="shared" si="16"/>
        <v>167.56178150748116</v>
      </c>
      <c r="DS24" s="62">
        <f t="shared" si="17"/>
        <v>449.89511484081447</v>
      </c>
      <c r="DT24" s="62">
        <f ca="1">AVERAGE(OFFSET($DS$3,0,0,'Données projet'!$E$14+1,1))-AVERAGE(OFFSET($H$3,0,0,'Données projet'!$E$14+1,1))</f>
        <v>487.04124684635974</v>
      </c>
      <c r="DU24" s="62">
        <f t="shared" si="44"/>
        <v>306.61893266146666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7.2</v>
      </c>
      <c r="EJ24" s="13">
        <f>IF('Données projet'!$A$192&gt;35,EJ23+EI24-ER23,IF(A24&lt;'Données projet'!$A$192,$EG$205^A24,IF(A24='Données projet'!$A$192,'Données projet'!$B$192,EJ23+EI24-ER23)))</f>
        <v>74.2</v>
      </c>
      <c r="EK24" s="18">
        <f>EJ24*VLOOKUP('Données projet'!$B$15,Paramètres!$A$1:$I$89,3,0)*VLOOKUP('Données projet'!$B$15,Paramètres!$A$1:$I$89,5,0)</f>
        <v>70.608720000000005</v>
      </c>
      <c r="EL24" s="14">
        <f t="shared" si="45"/>
        <v>19.824547941295929</v>
      </c>
      <c r="EM24" s="22">
        <f t="shared" si="19"/>
        <v>157.50460833109042</v>
      </c>
      <c r="EN24" s="62">
        <f t="shared" si="20"/>
        <v>439.83794166442374</v>
      </c>
      <c r="EO24" s="62">
        <f ca="1">AVERAGE(OFFSET($EN$3,0,0,'Données projet'!$E$15+1,1))-AVERAGE(OFFSET($H$3,0,0,'Données projet'!$E$15+1,1))</f>
        <v>459.64120566196812</v>
      </c>
      <c r="EP24" s="62">
        <f t="shared" si="46"/>
        <v>290.39826583283588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7.2</v>
      </c>
      <c r="FE24" s="13">
        <f>IF('Données projet'!$A$218&gt;35,FE23+FD24-FM23,IF(A24&lt;'Données projet'!$A$218,$FB$205^A24,IF(A24='Données projet'!$A$218,'Données projet'!$B$218,FE23+FD24-FM23)))</f>
        <v>74.2</v>
      </c>
      <c r="FF24" s="18">
        <f>FE24*VLOOKUP('Données projet'!$B$16,Paramètres!$A$1:$I$89,3,0)*VLOOKUP('Données projet'!$B$16,Paramètres!$A$1:$I$89,5,0)</f>
        <v>49.773360000000004</v>
      </c>
      <c r="FG24" s="14">
        <f t="shared" si="47"/>
        <v>14.555213428078664</v>
      </c>
      <c r="FH24" s="22">
        <f t="shared" si="22"/>
        <v>112.03893205390368</v>
      </c>
      <c r="FI24" s="62">
        <f t="shared" si="23"/>
        <v>394.37226538723701</v>
      </c>
      <c r="FJ24" s="62">
        <f ca="1">AVERAGE(OFFSET($FI$3,0,0,'Données projet'!$E$16+1,1))-AVERAGE(OFFSET($H$3,0,0,'Données projet'!$E$16+1,1))</f>
        <v>335.83558218229564</v>
      </c>
      <c r="FK24" s="62">
        <f t="shared" si="48"/>
        <v>217.08423061559648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0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13.8</v>
      </c>
      <c r="N25" s="14">
        <f>IF('Données projet'!$A$36&gt;35,N24+M25-V24,IF(A25&lt;'Données projet'!$A$36,$K$205^A25,IF(A25='Données projet'!$A$36,'Données projet'!$B$36,N24+M25-V24)))</f>
        <v>121.60000000000001</v>
      </c>
      <c r="O25" s="14">
        <f>N25*VLOOKUP('Données projet'!$B$9,Paramètres!$A$1:$I$89,3,0)*VLOOKUP('Données projet'!$B$9,Paramètres!$A$1:$I$89,5,0)</f>
        <v>106.22976000000003</v>
      </c>
      <c r="P25" s="14">
        <f t="shared" si="33"/>
        <v>28.440891625171492</v>
      </c>
      <c r="Q25" s="22">
        <f t="shared" si="2"/>
        <v>234.55138491384039</v>
      </c>
      <c r="R25" s="62">
        <f t="shared" si="0"/>
        <v>518.10694046939591</v>
      </c>
      <c r="S25" s="62">
        <f ca="1">AVERAGE(OFFSET($R$3,0,0,'Données projet'!$E$9+1,1))-AVERAGE(OFFSET($H$3,0,0,'Données projet'!$E$9+1,1))</f>
        <v>321.23599968992932</v>
      </c>
      <c r="T25" s="62">
        <f t="shared" si="34"/>
        <v>388.05195847800502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8.4133875297088334</v>
      </c>
      <c r="AB25" s="23">
        <f>EXP(-LN(2)/2)*AB24+(1-EXP(-LN(2)/2))/(LN(2)/2)*V25*Y25*VLOOKUP('Données projet'!$B$9,Paramètres!$A$1:$I$89,3,0)*0.475*44/12</f>
        <v>8.860849960442124</v>
      </c>
      <c r="AC25" s="24">
        <f t="shared" si="3"/>
        <v>17.274237490150959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7.2</v>
      </c>
      <c r="AI25" s="14">
        <f>IF('Données projet'!$A$62&gt;35,AI24+AH25-AQ24,IF(A25&lt;'Données projet'!$A$62,$AF$205^A25,IF(A25='Données projet'!$A$62,'Données projet'!$B$62,AI24+AH25-AQ24)))</f>
        <v>81.400000000000006</v>
      </c>
      <c r="AJ25" s="14">
        <f>AI25*VLOOKUP('Données projet'!$B$10,Paramètres!$A$1:$I$89,3,0)*VLOOKUP('Données projet'!$B$10,Paramètres!$A$1:$I$89,5,0)</f>
        <v>73.650720000000007</v>
      </c>
      <c r="AK25" s="14">
        <f t="shared" si="35"/>
        <v>20.577360172493922</v>
      </c>
      <c r="AL25" s="22">
        <f t="shared" si="4"/>
        <v>164.11390630042692</v>
      </c>
      <c r="AM25" s="62">
        <f t="shared" si="5"/>
        <v>447.66946185598249</v>
      </c>
      <c r="AN25" s="62">
        <f ca="1">AVERAGE(OFFSET($AM$3,0,0,'Données projet'!$E$10+1,1))-AVERAGE(OFFSET($H$3,0,0,'Données projet'!$E$10+1,1))</f>
        <v>439.19854273764042</v>
      </c>
      <c r="AO25" s="62">
        <f t="shared" si="36"/>
        <v>278.21741231699929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14.8</v>
      </c>
      <c r="BD25" s="13">
        <f>IF('Données projet'!$A$88&gt;35,BD24+BC25-BL24,IF(A25&lt;'Données projet'!$A$88,$BA$205^A25,IF(A25='Données projet'!$A$88,'Données projet'!$B$88,BD24+BC25-BL24)))</f>
        <v>95.59999999999998</v>
      </c>
      <c r="BE25" s="14">
        <f>BD25*VLOOKUP('Données projet'!$B$11,Paramètres!$A$1:$I$89,3,0)*VLOOKUP('Données projet'!$B$11,Paramètres!$A$1:$I$89,5,0)</f>
        <v>76.059359999999998</v>
      </c>
      <c r="BF25" s="14">
        <f t="shared" si="37"/>
        <v>21.170862971540299</v>
      </c>
      <c r="BG25" s="22">
        <f t="shared" si="7"/>
        <v>169.34263834209935</v>
      </c>
      <c r="BH25" s="62">
        <f t="shared" si="8"/>
        <v>452.89819389765489</v>
      </c>
      <c r="BI25" s="62">
        <f ca="1">AVERAGE(OFFSET($BH$3,0,0,'Données projet'!$E$11+1,1))-AVERAGE(OFFSET($H$3,0,0,'Données projet'!$E$11+1,1))</f>
        <v>352.88510024787888</v>
      </c>
      <c r="BJ25" s="62">
        <f t="shared" si="38"/>
        <v>343.77208530767069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15.342840637641476</v>
      </c>
      <c r="BR25" s="23">
        <f>EXP(-LN(2)/2)*BR24+(1-EXP(-LN(2)/2))/(LN(2)/2)*BL25*BO25*VLOOKUP('Données projet'!$B$11,Paramètres!$A$1:$I$89,3,0)*0.475*44/12</f>
        <v>6.3162978064394792</v>
      </c>
      <c r="BS25" s="24">
        <f t="shared" si="9"/>
        <v>21.659138444080956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14.8</v>
      </c>
      <c r="BY25" s="13">
        <f>IF('Données projet'!$A$114&gt;35,BY24+BX25-CG24,IF(A25&lt;'Données projet'!$A$114,$BV$205^A25,IF(A25='Données projet'!$A$114,'Données projet'!$B$114,BY24+BX25-CG24)))</f>
        <v>95.59999999999998</v>
      </c>
      <c r="BZ25" s="14">
        <f>BY25*VLOOKUP('Données projet'!$B$12,Paramètres!$A$1:$I$89,3,0)*VLOOKUP('Données projet'!$B$12,Paramètres!$A$1:$I$89,5,0)</f>
        <v>70.093919999999983</v>
      </c>
      <c r="CA25" s="14">
        <f t="shared" si="39"/>
        <v>19.696779397153016</v>
      </c>
      <c r="CB25" s="22">
        <f t="shared" si="10"/>
        <v>156.3854681167081</v>
      </c>
      <c r="CC25" s="62">
        <f t="shared" si="11"/>
        <v>439.94102367226367</v>
      </c>
      <c r="CD25" s="62">
        <f ca="1">AVERAGE(OFFSET($CC$3,0,0,'Données projet'!$E$12+1,1))-AVERAGE(OFFSET($H$3,0,0,'Données projet'!$E$12+1,1))</f>
        <v>328.10411227536315</v>
      </c>
      <c r="CE25" s="62">
        <f t="shared" si="40"/>
        <v>320.24200483294322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3.517431165857658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3.517431165857658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10.6</v>
      </c>
      <c r="CT25" s="13">
        <f>IF('Données projet'!$A$140&gt;35,CT24+CS25-DB24,IF(A25&lt;'Données projet'!$A$140,$CQ$205^A25,IF(A25='Données projet'!$A$140,'Données projet'!$B$140,CT24+CS25-DB24)))</f>
        <v>81.199999999999974</v>
      </c>
      <c r="CU25" s="18">
        <f>CT25*VLOOKUP('Données projet'!$B$13,Paramètres!$A$1:$I$89,3,0)*VLOOKUP('Données projet'!$B$13,Paramètres!$A$1:$I$89,5,0)</f>
        <v>63.335999999999984</v>
      </c>
      <c r="CV25" s="14">
        <f t="shared" si="41"/>
        <v>18.009040022946227</v>
      </c>
      <c r="CW25" s="22">
        <f t="shared" si="13"/>
        <v>141.67594470663133</v>
      </c>
      <c r="CX25" s="62">
        <f t="shared" si="14"/>
        <v>425.23150026218684</v>
      </c>
      <c r="CY25" s="62">
        <f ca="1">AVERAGE(OFFSET($CX$3,0,0,'Données projet'!$E$13+1,1))-AVERAGE(OFFSET($H$3,0,0,'Données projet'!$E$13+1,1))</f>
        <v>288.82868507674738</v>
      </c>
      <c r="CZ25" s="62">
        <f t="shared" si="42"/>
        <v>283.48738729114024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7.2</v>
      </c>
      <c r="DO25" s="13">
        <f>IF('Données projet'!$A$166&gt;35,DO24+DN25-DW24,IF(A25&lt;'Données projet'!$A$166,$DL$205^A25,IF(A25='Données projet'!$A$166,'Données projet'!$B$166,DO24+DN25-DW24)))</f>
        <v>81.400000000000006</v>
      </c>
      <c r="DP25" s="18">
        <f>DO25*VLOOKUP('Données projet'!$B$14,Paramètres!$A$1:$I$89,3,0)*VLOOKUP('Données projet'!$B$14,Paramètres!$A$1:$I$89,5,0)</f>
        <v>82.539600000000007</v>
      </c>
      <c r="DQ25" s="14">
        <f t="shared" si="43"/>
        <v>22.756995627482848</v>
      </c>
      <c r="DR25" s="22">
        <f t="shared" si="16"/>
        <v>183.39157071786599</v>
      </c>
      <c r="DS25" s="62">
        <f t="shared" si="17"/>
        <v>466.94712627342153</v>
      </c>
      <c r="DT25" s="62">
        <f ca="1">AVERAGE(OFFSET($DS$3,0,0,'Données projet'!$E$14+1,1))-AVERAGE(OFFSET($H$3,0,0,'Données projet'!$E$14+1,1))</f>
        <v>487.04124684635974</v>
      </c>
      <c r="DU25" s="62">
        <f t="shared" si="44"/>
        <v>306.61893266146666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7.2</v>
      </c>
      <c r="EJ25" s="13">
        <f>IF('Données projet'!$A$192&gt;35,EJ24+EI25-ER24,IF(A25&lt;'Données projet'!$A$192,$EG$205^A25,IF(A25='Données projet'!$A$192,'Données projet'!$B$192,EJ24+EI25-ER24)))</f>
        <v>81.400000000000006</v>
      </c>
      <c r="EK25" s="18">
        <f>EJ25*VLOOKUP('Données projet'!$B$15,Paramètres!$A$1:$I$89,3,0)*VLOOKUP('Données projet'!$B$15,Paramètres!$A$1:$I$89,5,0)</f>
        <v>77.460240000000013</v>
      </c>
      <c r="EL25" s="14">
        <f t="shared" si="45"/>
        <v>21.515038439826668</v>
      </c>
      <c r="EM25" s="22">
        <f t="shared" si="19"/>
        <v>172.3819432826981</v>
      </c>
      <c r="EN25" s="62">
        <f t="shared" si="20"/>
        <v>455.93749883825365</v>
      </c>
      <c r="EO25" s="62">
        <f ca="1">AVERAGE(OFFSET($EN$3,0,0,'Données projet'!$E$15+1,1))-AVERAGE(OFFSET($H$3,0,0,'Données projet'!$E$15+1,1))</f>
        <v>459.64120566196812</v>
      </c>
      <c r="EP25" s="62">
        <f t="shared" si="46"/>
        <v>290.39826583283588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7.2</v>
      </c>
      <c r="FE25" s="13">
        <f>IF('Données projet'!$A$218&gt;35,FE24+FD25-FM24,IF(A25&lt;'Données projet'!$A$218,$FB$205^A25,IF(A25='Données projet'!$A$218,'Données projet'!$B$218,FE24+FD25-FM24)))</f>
        <v>81.400000000000006</v>
      </c>
      <c r="FF25" s="18">
        <f>FE25*VLOOKUP('Données projet'!$B$16,Paramètres!$A$1:$I$89,3,0)*VLOOKUP('Données projet'!$B$16,Paramètres!$A$1:$I$89,5,0)</f>
        <v>54.603120000000004</v>
      </c>
      <c r="FG25" s="14">
        <f t="shared" si="47"/>
        <v>15.796374138381612</v>
      </c>
      <c r="FH25" s="22">
        <f t="shared" si="22"/>
        <v>122.61245229101463</v>
      </c>
      <c r="FI25" s="62">
        <f t="shared" si="23"/>
        <v>406.16800784657016</v>
      </c>
      <c r="FJ25" s="62">
        <f ca="1">AVERAGE(OFFSET($FI$3,0,0,'Données projet'!$E$16+1,1))-AVERAGE(OFFSET($H$3,0,0,'Données projet'!$E$16+1,1))</f>
        <v>335.83558218229564</v>
      </c>
      <c r="FK25" s="62">
        <f t="shared" si="48"/>
        <v>217.08423061559648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0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13.8</v>
      </c>
      <c r="N26" s="14">
        <f>IF('Données projet'!$A$36&gt;35,N25+M26-V25,IF(A26&lt;'Données projet'!$A$36,$K$205^A26,IF(A26='Données projet'!$A$36,'Données projet'!$B$36,N25+M26-V25)))</f>
        <v>135.4</v>
      </c>
      <c r="O26" s="14">
        <f>N26*VLOOKUP('Données projet'!$B$9,Paramètres!$A$1:$I$89,3,0)*VLOOKUP('Données projet'!$B$9,Paramètres!$A$1:$I$89,5,0)</f>
        <v>118.28544000000002</v>
      </c>
      <c r="P26" s="14">
        <f t="shared" si="33"/>
        <v>31.274772013169596</v>
      </c>
      <c r="Q26" s="22">
        <f t="shared" si="2"/>
        <v>260.48403592293715</v>
      </c>
      <c r="R26" s="62">
        <f t="shared" si="0"/>
        <v>545.26181370071492</v>
      </c>
      <c r="S26" s="62">
        <f ca="1">AVERAGE(OFFSET($R$3,0,0,'Données projet'!$E$9+1,1))-AVERAGE(OFFSET($H$3,0,0,'Données projet'!$E$9+1,1))</f>
        <v>321.23599968992932</v>
      </c>
      <c r="T26" s="62">
        <f t="shared" si="34"/>
        <v>388.05195847800502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8.1833230052681234</v>
      </c>
      <c r="AB26" s="23">
        <f>EXP(-LN(2)/2)*AB25+(1-EXP(-LN(2)/2))/(LN(2)/2)*V26*Y26*VLOOKUP('Données projet'!$B$9,Paramètres!$A$1:$I$89,3,0)*0.475*44/12</f>
        <v>6.2655670941051778</v>
      </c>
      <c r="AC26" s="24">
        <f t="shared" si="3"/>
        <v>14.448890099373301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7.2</v>
      </c>
      <c r="AI26" s="14">
        <f>IF('Données projet'!$A$62&gt;35,AI25+AH26-AQ25,IF(A26&lt;'Données projet'!$A$62,$AF$205^A26,IF(A26='Données projet'!$A$62,'Données projet'!$B$62,AI25+AH26-AQ25)))</f>
        <v>88.600000000000009</v>
      </c>
      <c r="AJ26" s="14">
        <f>AI26*VLOOKUP('Données projet'!$B$10,Paramètres!$A$1:$I$89,3,0)*VLOOKUP('Données projet'!$B$10,Paramètres!$A$1:$I$89,5,0)</f>
        <v>80.165279999999996</v>
      </c>
      <c r="AK26" s="14">
        <f t="shared" si="35"/>
        <v>22.177591092468788</v>
      </c>
      <c r="AL26" s="22">
        <f t="shared" si="4"/>
        <v>178.24716715271646</v>
      </c>
      <c r="AM26" s="62">
        <f t="shared" si="5"/>
        <v>463.02494493049426</v>
      </c>
      <c r="AN26" s="62">
        <f ca="1">AVERAGE(OFFSET($AM$3,0,0,'Données projet'!$E$10+1,1))-AVERAGE(OFFSET($H$3,0,0,'Données projet'!$E$10+1,1))</f>
        <v>439.19854273764042</v>
      </c>
      <c r="AO26" s="62">
        <f t="shared" si="36"/>
        <v>278.21741231699929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14.8</v>
      </c>
      <c r="BD26" s="13">
        <f>IF('Données projet'!$A$88&gt;35,BD25+BC26-BL25,IF(A26&lt;'Données projet'!$A$88,$BA$205^A26,IF(A26='Données projet'!$A$88,'Données projet'!$B$88,BD25+BC26-BL25)))</f>
        <v>110.39999999999998</v>
      </c>
      <c r="BE26" s="14">
        <f>BD26*VLOOKUP('Données projet'!$B$11,Paramètres!$A$1:$I$89,3,0)*VLOOKUP('Données projet'!$B$11,Paramètres!$A$1:$I$89,5,0)</f>
        <v>87.83423999999998</v>
      </c>
      <c r="BF26" s="14">
        <f t="shared" si="37"/>
        <v>24.042157662768496</v>
      </c>
      <c r="BG26" s="22">
        <f t="shared" si="7"/>
        <v>194.85139259598841</v>
      </c>
      <c r="BH26" s="62">
        <f t="shared" si="8"/>
        <v>479.62917037376621</v>
      </c>
      <c r="BI26" s="62">
        <f ca="1">AVERAGE(OFFSET($BH$3,0,0,'Données projet'!$E$11+1,1))-AVERAGE(OFFSET($H$3,0,0,'Données projet'!$E$11+1,1))</f>
        <v>352.88510024787888</v>
      </c>
      <c r="BJ26" s="62">
        <f t="shared" si="38"/>
        <v>343.77208530767069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14.923289853560247</v>
      </c>
      <c r="BR26" s="23">
        <f>EXP(-LN(2)/2)*BR25+(1-EXP(-LN(2)/2))/(LN(2)/2)*BL26*BO26*VLOOKUP('Données projet'!$B$11,Paramètres!$A$1:$I$89,3,0)*0.475*44/12</f>
        <v>4.4662970109270717</v>
      </c>
      <c r="BS26" s="24">
        <f t="shared" si="9"/>
        <v>19.38958686448732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14.8</v>
      </c>
      <c r="BY26" s="13">
        <f>IF('Données projet'!$A$114&gt;35,BY25+BX26-CG25,IF(A26&lt;'Données projet'!$A$114,$BV$205^A26,IF(A26='Données projet'!$A$114,'Données projet'!$B$114,BY25+BX26-CG25)))</f>
        <v>110.39999999999998</v>
      </c>
      <c r="BZ26" s="14">
        <f>BY26*VLOOKUP('Données projet'!$B$12,Paramètres!$A$1:$I$89,3,0)*VLOOKUP('Données projet'!$B$12,Paramètres!$A$1:$I$89,5,0)</f>
        <v>80.945279999999983</v>
      </c>
      <c r="CA26" s="14">
        <f t="shared" si="39"/>
        <v>22.368151754215862</v>
      </c>
      <c r="CB26" s="22">
        <f t="shared" si="10"/>
        <v>179.93756030525927</v>
      </c>
      <c r="CC26" s="62">
        <f t="shared" si="11"/>
        <v>464.71533808303707</v>
      </c>
      <c r="CD26" s="62">
        <f ca="1">AVERAGE(OFFSET($CC$3,0,0,'Données projet'!$E$12+1,1))-AVERAGE(OFFSET($H$3,0,0,'Données projet'!$E$12+1,1))</f>
        <v>328.10411227536315</v>
      </c>
      <c r="CE26" s="62">
        <f t="shared" si="40"/>
        <v>320.24200483294322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3.4484564861163576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3.4484564861163576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10.6</v>
      </c>
      <c r="CT26" s="13">
        <f>IF('Données projet'!$A$140&gt;35,CT25+CS26-DB25,IF(A26&lt;'Données projet'!$A$140,$CQ$205^A26,IF(A26='Données projet'!$A$140,'Données projet'!$B$140,CT25+CS26-DB25)))</f>
        <v>91.799999999999969</v>
      </c>
      <c r="CU26" s="18">
        <f>CT26*VLOOKUP('Données projet'!$B$13,Paramètres!$A$1:$I$89,3,0)*VLOOKUP('Données projet'!$B$13,Paramètres!$A$1:$I$89,5,0)</f>
        <v>71.603999999999985</v>
      </c>
      <c r="CV26" s="14">
        <f t="shared" si="41"/>
        <v>20.071260561992585</v>
      </c>
      <c r="CW26" s="22">
        <f t="shared" si="13"/>
        <v>159.66774547880371</v>
      </c>
      <c r="CX26" s="62">
        <f t="shared" si="14"/>
        <v>444.44552325658151</v>
      </c>
      <c r="CY26" s="62">
        <f ca="1">AVERAGE(OFFSET($CX$3,0,0,'Données projet'!$E$13+1,1))-AVERAGE(OFFSET($H$3,0,0,'Données projet'!$E$13+1,1))</f>
        <v>288.82868507674738</v>
      </c>
      <c r="CZ26" s="62">
        <f t="shared" si="42"/>
        <v>283.48738729114024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7.2</v>
      </c>
      <c r="DO26" s="13">
        <f>IF('Données projet'!$A$166&gt;35,DO25+DN26-DW25,IF(A26&lt;'Données projet'!$A$166,$DL$205^A26,IF(A26='Données projet'!$A$166,'Données projet'!$B$166,DO25+DN26-DW25)))</f>
        <v>88.600000000000009</v>
      </c>
      <c r="DP26" s="18">
        <f>DO26*VLOOKUP('Données projet'!$B$14,Paramètres!$A$1:$I$89,3,0)*VLOOKUP('Données projet'!$B$14,Paramètres!$A$1:$I$89,5,0)</f>
        <v>89.840400000000017</v>
      </c>
      <c r="DQ26" s="14">
        <f t="shared" si="43"/>
        <v>24.526729341796202</v>
      </c>
      <c r="DR26" s="22">
        <f t="shared" si="16"/>
        <v>199.18941693696172</v>
      </c>
      <c r="DS26" s="62">
        <f t="shared" si="17"/>
        <v>483.96719471473949</v>
      </c>
      <c r="DT26" s="62">
        <f ca="1">AVERAGE(OFFSET($DS$3,0,0,'Données projet'!$E$14+1,1))-AVERAGE(OFFSET($H$3,0,0,'Données projet'!$E$14+1,1))</f>
        <v>487.04124684635974</v>
      </c>
      <c r="DU26" s="62">
        <f t="shared" si="44"/>
        <v>306.61893266146666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7.2</v>
      </c>
      <c r="EJ26" s="13">
        <f>IF('Données projet'!$A$192&gt;35,EJ25+EI26-ER25,IF(A26&lt;'Données projet'!$A$192,$EG$205^A26,IF(A26='Données projet'!$A$192,'Données projet'!$B$192,EJ25+EI26-ER25)))</f>
        <v>88.600000000000009</v>
      </c>
      <c r="EK26" s="18">
        <f>EJ26*VLOOKUP('Données projet'!$B$15,Paramètres!$A$1:$I$89,3,0)*VLOOKUP('Données projet'!$B$15,Paramètres!$A$1:$I$89,5,0)</f>
        <v>84.311760000000007</v>
      </c>
      <c r="EL26" s="14">
        <f t="shared" si="45"/>
        <v>23.188189391515806</v>
      </c>
      <c r="EM26" s="22">
        <f t="shared" si="19"/>
        <v>187.22907852355672</v>
      </c>
      <c r="EN26" s="62">
        <f t="shared" si="20"/>
        <v>472.00685630133449</v>
      </c>
      <c r="EO26" s="62">
        <f ca="1">AVERAGE(OFFSET($EN$3,0,0,'Données projet'!$E$15+1,1))-AVERAGE(OFFSET($H$3,0,0,'Données projet'!$E$15+1,1))</f>
        <v>459.64120566196812</v>
      </c>
      <c r="EP26" s="62">
        <f t="shared" si="46"/>
        <v>290.39826583283588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7.2</v>
      </c>
      <c r="FE26" s="13">
        <f>IF('Données projet'!$A$218&gt;35,FE25+FD26-FM25,IF(A26&lt;'Données projet'!$A$218,$FB$205^A26,IF(A26='Données projet'!$A$218,'Données projet'!$B$218,FE25+FD26-FM25)))</f>
        <v>88.600000000000009</v>
      </c>
      <c r="FF26" s="18">
        <f>FE26*VLOOKUP('Données projet'!$B$16,Paramètres!$A$1:$I$89,3,0)*VLOOKUP('Données projet'!$B$16,Paramètres!$A$1:$I$89,5,0)</f>
        <v>59.432880000000011</v>
      </c>
      <c r="FG26" s="14">
        <f t="shared" si="47"/>
        <v>17.024804126865714</v>
      </c>
      <c r="FH26" s="22">
        <f t="shared" si="22"/>
        <v>133.16379985429114</v>
      </c>
      <c r="FI26" s="62">
        <f t="shared" si="23"/>
        <v>417.94157763206891</v>
      </c>
      <c r="FJ26" s="62">
        <f ca="1">AVERAGE(OFFSET($FI$3,0,0,'Données projet'!$E$16+1,1))-AVERAGE(OFFSET($H$3,0,0,'Données projet'!$E$16+1,1))</f>
        <v>335.83558218229564</v>
      </c>
      <c r="FK26" s="62">
        <f t="shared" si="48"/>
        <v>217.08423061559648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0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13.8</v>
      </c>
      <c r="N27" s="14">
        <f>IF('Données projet'!$A$36&gt;35,N26+M27-V26,IF(A27&lt;'Données projet'!$A$36,$K$205^A27,IF(A27='Données projet'!$A$36,'Données projet'!$B$36,N26+M27-V26)))</f>
        <v>149.20000000000002</v>
      </c>
      <c r="O27" s="14">
        <f>N27*VLOOKUP('Données projet'!$B$9,Paramètres!$A$1:$I$89,3,0)*VLOOKUP('Données projet'!$B$9,Paramètres!$A$1:$I$89,5,0)</f>
        <v>130.34112000000005</v>
      </c>
      <c r="P27" s="14">
        <f t="shared" si="33"/>
        <v>34.075170122989917</v>
      </c>
      <c r="Q27" s="22">
        <f t="shared" si="2"/>
        <v>286.35837196420749</v>
      </c>
      <c r="R27" s="62">
        <f t="shared" si="0"/>
        <v>572.35837196420744</v>
      </c>
      <c r="S27" s="62">
        <f ca="1">AVERAGE(OFFSET($R$3,0,0,'Données projet'!$E$9+1,1))-AVERAGE(OFFSET($H$3,0,0,'Données projet'!$E$9+1,1))</f>
        <v>321.23599968992932</v>
      </c>
      <c r="T27" s="62">
        <f t="shared" si="34"/>
        <v>388.05195847800502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7.9595496073468128</v>
      </c>
      <c r="AB27" s="23">
        <f>EXP(-LN(2)/2)*AB26+(1-EXP(-LN(2)/2))/(LN(2)/2)*V27*Y27*VLOOKUP('Données projet'!$B$9,Paramètres!$A$1:$I$89,3,0)*0.475*44/12</f>
        <v>4.4304249802210629</v>
      </c>
      <c r="AC27" s="24">
        <f t="shared" si="3"/>
        <v>12.389974587567876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7.2</v>
      </c>
      <c r="AI27" s="14">
        <f>IF('Données projet'!$A$62&gt;35,AI26+AH27-AQ26,IF(A27&lt;'Données projet'!$A$62,$AF$205^A27,IF(A27='Données projet'!$A$62,'Données projet'!$B$62,AI26+AH27-AQ26)))</f>
        <v>95.800000000000011</v>
      </c>
      <c r="AJ27" s="14">
        <f>AI27*VLOOKUP('Données projet'!$B$10,Paramètres!$A$1:$I$89,3,0)*VLOOKUP('Données projet'!$B$10,Paramètres!$A$1:$I$89,5,0)</f>
        <v>86.679839999999999</v>
      </c>
      <c r="AK27" s="14">
        <f t="shared" si="35"/>
        <v>23.762739053789723</v>
      </c>
      <c r="AL27" s="22">
        <f t="shared" si="4"/>
        <v>192.35415851868379</v>
      </c>
      <c r="AM27" s="62">
        <f t="shared" si="5"/>
        <v>478.35415851868379</v>
      </c>
      <c r="AN27" s="62">
        <f ca="1">AVERAGE(OFFSET($AM$3,0,0,'Données projet'!$E$10+1,1))-AVERAGE(OFFSET($H$3,0,0,'Données projet'!$E$10+1,1))</f>
        <v>439.19854273764042</v>
      </c>
      <c r="AO27" s="62">
        <f t="shared" si="36"/>
        <v>278.21741231699929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14.8</v>
      </c>
      <c r="BD27" s="13">
        <f>IF('Données projet'!$A$88&gt;35,BD26+BC27-BL26,IF(A27&lt;'Données projet'!$A$88,$BA$205^A27,IF(A27='Données projet'!$A$88,'Données projet'!$B$88,BD26+BC27-BL26)))</f>
        <v>125.19999999999997</v>
      </c>
      <c r="BE27" s="14">
        <f>BD27*VLOOKUP('Données projet'!$B$11,Paramètres!$A$1:$I$89,3,0)*VLOOKUP('Données projet'!$B$11,Paramètres!$A$1:$I$89,5,0)</f>
        <v>99.60911999999999</v>
      </c>
      <c r="BF27" s="14">
        <f t="shared" si="37"/>
        <v>26.868854563103099</v>
      </c>
      <c r="BG27" s="22">
        <f t="shared" si="7"/>
        <v>220.2824723640712</v>
      </c>
      <c r="BH27" s="62">
        <f t="shared" si="8"/>
        <v>506.28247236407117</v>
      </c>
      <c r="BI27" s="62">
        <f ca="1">AVERAGE(OFFSET($BH$3,0,0,'Données projet'!$E$11+1,1))-AVERAGE(OFFSET($H$3,0,0,'Données projet'!$E$11+1,1))</f>
        <v>352.88510024787888</v>
      </c>
      <c r="BJ27" s="62">
        <f t="shared" si="38"/>
        <v>343.77208530767069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14.515211707732936</v>
      </c>
      <c r="BR27" s="23">
        <f>EXP(-LN(2)/2)*BR26+(1-EXP(-LN(2)/2))/(LN(2)/2)*BL27*BO27*VLOOKUP('Données projet'!$B$11,Paramètres!$A$1:$I$89,3,0)*0.475*44/12</f>
        <v>3.1581489032197405</v>
      </c>
      <c r="BS27" s="24">
        <f t="shared" si="9"/>
        <v>17.673360610952678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14.8</v>
      </c>
      <c r="BY27" s="13">
        <f>IF('Données projet'!$A$114&gt;35,BY26+BX27-CG26,IF(A27&lt;'Données projet'!$A$114,$BV$205^A27,IF(A27='Données projet'!$A$114,'Données projet'!$B$114,BY26+BX27-CG26)))</f>
        <v>125.19999999999997</v>
      </c>
      <c r="BZ27" s="14">
        <f>BY27*VLOOKUP('Données projet'!$B$12,Paramètres!$A$1:$I$89,3,0)*VLOOKUP('Données projet'!$B$12,Paramètres!$A$1:$I$89,5,0)</f>
        <v>91.796639999999982</v>
      </c>
      <c r="CA27" s="14">
        <f t="shared" si="39"/>
        <v>24.99803157268865</v>
      </c>
      <c r="CB27" s="22">
        <f t="shared" si="10"/>
        <v>203.41738632243269</v>
      </c>
      <c r="CC27" s="62">
        <f t="shared" si="11"/>
        <v>489.41738632243266</v>
      </c>
      <c r="CD27" s="62">
        <f ca="1">AVERAGE(OFFSET($CC$3,0,0,'Données projet'!$E$12+1,1))-AVERAGE(OFFSET($H$3,0,0,'Données projet'!$E$12+1,1))</f>
        <v>328.10411227536315</v>
      </c>
      <c r="CE27" s="62">
        <f t="shared" si="40"/>
        <v>320.24200483294322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3.3808343577743836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3.3808343577743836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10.6</v>
      </c>
      <c r="CT27" s="13">
        <f>IF('Données projet'!$A$140&gt;35,CT26+CS27-DB26,IF(A27&lt;'Données projet'!$A$140,$CQ$205^A27,IF(A27='Données projet'!$A$140,'Données projet'!$B$140,CT26+CS27-DB26)))</f>
        <v>102.39999999999996</v>
      </c>
      <c r="CU27" s="18">
        <f>CT27*VLOOKUP('Données projet'!$B$13,Paramètres!$A$1:$I$89,3,0)*VLOOKUP('Données projet'!$B$13,Paramètres!$A$1:$I$89,5,0)</f>
        <v>79.871999999999971</v>
      </c>
      <c r="CV27" s="14">
        <f t="shared" si="41"/>
        <v>22.105884547145401</v>
      </c>
      <c r="CW27" s="22">
        <f t="shared" si="13"/>
        <v>177.61148225294485</v>
      </c>
      <c r="CX27" s="62">
        <f t="shared" si="14"/>
        <v>463.61148225294482</v>
      </c>
      <c r="CY27" s="62">
        <f ca="1">AVERAGE(OFFSET($CX$3,0,0,'Données projet'!$E$13+1,1))-AVERAGE(OFFSET($H$3,0,0,'Données projet'!$E$13+1,1))</f>
        <v>288.82868507674738</v>
      </c>
      <c r="CZ27" s="62">
        <f t="shared" si="42"/>
        <v>283.48738729114024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7.2</v>
      </c>
      <c r="DO27" s="13">
        <f>IF('Données projet'!$A$166&gt;35,DO26+DN27-DW26,IF(A27&lt;'Données projet'!$A$166,$DL$205^A27,IF(A27='Données projet'!$A$166,'Données projet'!$B$166,DO26+DN27-DW26)))</f>
        <v>95.800000000000011</v>
      </c>
      <c r="DP27" s="18">
        <f>DO27*VLOOKUP('Données projet'!$B$14,Paramètres!$A$1:$I$89,3,0)*VLOOKUP('Données projet'!$B$14,Paramètres!$A$1:$I$89,5,0)</f>
        <v>97.141200000000026</v>
      </c>
      <c r="DQ27" s="14">
        <f t="shared" si="43"/>
        <v>26.279782450761708</v>
      </c>
      <c r="DR27" s="22">
        <f t="shared" si="16"/>
        <v>214.95821110174333</v>
      </c>
      <c r="DS27" s="62">
        <f t="shared" si="17"/>
        <v>500.95821110174336</v>
      </c>
      <c r="DT27" s="62">
        <f ca="1">AVERAGE(OFFSET($DS$3,0,0,'Données projet'!$E$14+1,1))-AVERAGE(OFFSET($H$3,0,0,'Données projet'!$E$14+1,1))</f>
        <v>487.04124684635974</v>
      </c>
      <c r="DU27" s="62">
        <f t="shared" si="44"/>
        <v>306.61893266146666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7.2</v>
      </c>
      <c r="EJ27" s="13">
        <f>IF('Données projet'!$A$192&gt;35,EJ26+EI27-ER26,IF(A27&lt;'Données projet'!$A$192,$EG$205^A27,IF(A27='Données projet'!$A$192,'Données projet'!$B$192,EJ26+EI27-ER26)))</f>
        <v>95.800000000000011</v>
      </c>
      <c r="EK27" s="18">
        <f>EJ27*VLOOKUP('Données projet'!$B$15,Paramètres!$A$1:$I$89,3,0)*VLOOKUP('Données projet'!$B$15,Paramètres!$A$1:$I$89,5,0)</f>
        <v>91.16328</v>
      </c>
      <c r="EL27" s="14">
        <f t="shared" si="45"/>
        <v>24.84557007760694</v>
      </c>
      <c r="EM27" s="22">
        <f t="shared" si="19"/>
        <v>202.04874721849876</v>
      </c>
      <c r="EN27" s="62">
        <f t="shared" si="20"/>
        <v>488.04874721849876</v>
      </c>
      <c r="EO27" s="62">
        <f ca="1">AVERAGE(OFFSET($EN$3,0,0,'Données projet'!$E$15+1,1))-AVERAGE(OFFSET($H$3,0,0,'Données projet'!$E$15+1,1))</f>
        <v>459.64120566196812</v>
      </c>
      <c r="EP27" s="62">
        <f t="shared" si="46"/>
        <v>290.39826583283588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7.2</v>
      </c>
      <c r="FE27" s="13">
        <f>IF('Données projet'!$A$218&gt;35,FE26+FD27-FM26,IF(A27&lt;'Données projet'!$A$218,$FB$205^A27,IF(A27='Données projet'!$A$218,'Données projet'!$B$218,FE26+FD27-FM26)))</f>
        <v>95.800000000000011</v>
      </c>
      <c r="FF27" s="18">
        <f>FE27*VLOOKUP('Données projet'!$B$16,Paramètres!$A$1:$I$89,3,0)*VLOOKUP('Données projet'!$B$16,Paramètres!$A$1:$I$89,5,0)</f>
        <v>64.262640000000005</v>
      </c>
      <c r="FG27" s="14">
        <f t="shared" si="47"/>
        <v>18.24165556222081</v>
      </c>
      <c r="FH27" s="22">
        <f t="shared" si="22"/>
        <v>143.69498143753458</v>
      </c>
      <c r="FI27" s="62">
        <f t="shared" si="23"/>
        <v>429.69498143753458</v>
      </c>
      <c r="FJ27" s="62">
        <f ca="1">AVERAGE(OFFSET($FI$3,0,0,'Données projet'!$E$16+1,1))-AVERAGE(OFFSET($H$3,0,0,'Données projet'!$E$16+1,1))</f>
        <v>335.83558218229564</v>
      </c>
      <c r="FK27" s="62">
        <f t="shared" si="48"/>
        <v>217.08423061559648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0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163</v>
      </c>
      <c r="L28" s="13">
        <f>VLOOKUP(A28,'Données projet'!$A$35:$I$55,9,0)</f>
        <v>13.8</v>
      </c>
      <c r="M28" s="13">
        <f t="array" ref="M28">INDEX(L:L,MIN(IF(ISNUMBER(L28:L224),ROW(L28:L224),"")))</f>
        <v>13.8</v>
      </c>
      <c r="N28" s="14">
        <f>IF('Données projet'!$A$36&gt;35,N27+M28-V27,IF(A28&lt;'Données projet'!$A$36,$K$205^A28,IF(A28='Données projet'!$A$36,'Données projet'!$B$36,N27+M28-V27)))</f>
        <v>163.00000000000003</v>
      </c>
      <c r="O28" s="14">
        <f>N28*VLOOKUP('Données projet'!$B$9,Paramètres!$A$1:$I$89,3,0)*VLOOKUP('Données projet'!$B$9,Paramètres!$A$1:$I$89,5,0)</f>
        <v>142.39680000000004</v>
      </c>
      <c r="P28" s="14">
        <f t="shared" si="33"/>
        <v>36.845535084476985</v>
      </c>
      <c r="Q28" s="22">
        <f t="shared" si="2"/>
        <v>312.18040027213078</v>
      </c>
      <c r="R28" s="62">
        <f t="shared" si="0"/>
        <v>599.40262249435295</v>
      </c>
      <c r="S28" s="62">
        <f ca="1">AVERAGE(OFFSET($R$3,0,0,'Données projet'!$E$9+1,1))-AVERAGE(OFFSET($H$3,0,0,'Données projet'!$E$9+1,1))</f>
        <v>321.23599968992932</v>
      </c>
      <c r="T28" s="62">
        <f t="shared" si="34"/>
        <v>388.05195847800502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44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0.215</v>
      </c>
      <c r="Y28" s="17">
        <f>IF(ISNA(VLOOKUP(A28,'Données projet'!$A$35:$I$55,7,0)),0%,VLOOKUP(A28,'Données projet'!$A$35:$I$55,7,0))</f>
        <v>0.5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16.841814040805925</v>
      </c>
      <c r="AB28" s="23">
        <f>EXP(-LN(2)/2)*AB27+(1-EXP(-LN(2)/2))/(LN(2)/2)*V28*Y28*VLOOKUP('Données projet'!$B$9,Paramètres!$A$1:$I$89,3,0)*0.475*44/12</f>
        <v>21.26661602423647</v>
      </c>
      <c r="AC28" s="24">
        <f t="shared" si="3"/>
        <v>38.108430065042398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103</v>
      </c>
      <c r="AG28" s="13">
        <f>VLOOKUP(A28,'Données projet'!$A$61:$I$81,9,0)</f>
        <v>7.2</v>
      </c>
      <c r="AH28" s="13">
        <f t="array" ref="AH28">INDEX(AG:AG,MIN(IF(ISNUMBER(AG28:AG224),ROW(AG28:AG224),"")))</f>
        <v>7.2</v>
      </c>
      <c r="AI28" s="14">
        <f>IF('Données projet'!$A$62&gt;35,AI27+AH28-AQ27,IF(A28&lt;'Données projet'!$A$62,$AF$205^A28,IF(A28='Données projet'!$A$62,'Données projet'!$B$62,AI27+AH28-AQ27)))</f>
        <v>103.00000000000001</v>
      </c>
      <c r="AJ28" s="14">
        <f>AI28*VLOOKUP('Données projet'!$B$10,Paramètres!$A$1:$I$89,3,0)*VLOOKUP('Données projet'!$B$10,Paramètres!$A$1:$I$89,5,0)</f>
        <v>93.194400000000002</v>
      </c>
      <c r="AK28" s="14">
        <f t="shared" si="35"/>
        <v>25.33406653691528</v>
      </c>
      <c r="AL28" s="22">
        <f t="shared" si="4"/>
        <v>206.43707921846078</v>
      </c>
      <c r="AM28" s="62">
        <f t="shared" si="5"/>
        <v>493.65930144068301</v>
      </c>
      <c r="AN28" s="62">
        <f ca="1">AVERAGE(OFFSET($AM$3,0,0,'Données projet'!$E$10+1,1))-AVERAGE(OFFSET($H$3,0,0,'Données projet'!$E$10+1,1))</f>
        <v>439.19854273764042</v>
      </c>
      <c r="AO28" s="62">
        <f t="shared" si="36"/>
        <v>278.21741231699929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28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0.129</v>
      </c>
      <c r="AT28" s="17">
        <f>IF(ISNA(VLOOKUP(A28,'Données projet'!$A$61:$I$81,7,0)),0%,VLOOKUP(A28,'Données projet'!$A$61:$I$81,7,0))</f>
        <v>0.7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3.5986042274365828</v>
      </c>
      <c r="AW28" s="23">
        <f>EXP(-LN(2)/2)*AW27+(1-EXP(-LN(2)/2))/(LN(2)/2)*AQ28*AT28*VLOOKUP('Données projet'!$B$10,Paramètres!$A$1:$I$89,3,0)*0.475*44/12</f>
        <v>16.73258178576512</v>
      </c>
      <c r="AX28" s="23">
        <f t="shared" si="6"/>
        <v>20.331186013201702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140</v>
      </c>
      <c r="BB28" s="13">
        <f>VLOOKUP(A28,'Données projet'!$A$87:$I$107,9,0)</f>
        <v>14.8</v>
      </c>
      <c r="BC28" s="13">
        <f t="array" ref="BC28">INDEX(BB:BB,MIN(IF(ISNUMBER(BB28:BB224),ROW(BB28:BB224),"")))</f>
        <v>14.8</v>
      </c>
      <c r="BD28" s="13">
        <f>IF('Données projet'!$A$88&gt;35,BD27+BC28-BL27,IF(A28&lt;'Données projet'!$A$88,$BA$205^A28,IF(A28='Données projet'!$A$88,'Données projet'!$B$88,BD27+BC28-BL27)))</f>
        <v>139.99999999999997</v>
      </c>
      <c r="BE28" s="14">
        <f>BD28*VLOOKUP('Données projet'!$B$11,Paramètres!$A$1:$I$89,3,0)*VLOOKUP('Données projet'!$B$11,Paramètres!$A$1:$I$89,5,0)</f>
        <v>111.38399999999999</v>
      </c>
      <c r="BF28" s="14">
        <f t="shared" si="37"/>
        <v>29.656828101147433</v>
      </c>
      <c r="BG28" s="22">
        <f t="shared" si="7"/>
        <v>245.64610894283177</v>
      </c>
      <c r="BH28" s="62">
        <f t="shared" si="8"/>
        <v>532.86833116505397</v>
      </c>
      <c r="BI28" s="62">
        <f ca="1">AVERAGE(OFFSET($BH$3,0,0,'Données projet'!$E$11+1,1))-AVERAGE(OFFSET($H$3,0,0,'Données projet'!$E$11+1,1))</f>
        <v>352.88510024787888</v>
      </c>
      <c r="BJ28" s="62">
        <f t="shared" si="38"/>
        <v>343.77208530767069</v>
      </c>
      <c r="BK28" s="16">
        <f>IF(ISNA(VLOOKUP(A28,'Données projet'!$A$87:$I$107,3,0)),0,VLOOKUP(A28,'Données projet'!$A$87:$I$107,3,0))</f>
        <v>4</v>
      </c>
      <c r="BL28" s="16">
        <f>IF(ISNA(VLOOKUP(A28,'Données projet'!$A$87:$I$107,4,0)),0,VLOOKUP(A28,'Données projet'!$A$87:$I$107,4,0))</f>
        <v>35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14.11829248026317</v>
      </c>
      <c r="BR28" s="23">
        <f>EXP(-LN(2)/2)*BR27+(1-EXP(-LN(2)/2))/(LN(2)/2)*BL28*BO28*VLOOKUP('Données projet'!$B$11,Paramètres!$A$1:$I$89,3,0)*0.475*44/12</f>
        <v>2.2331485054635363</v>
      </c>
      <c r="BS28" s="24">
        <f t="shared" si="9"/>
        <v>16.351440985726708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140</v>
      </c>
      <c r="BW28" s="13">
        <f>VLOOKUP(A28,'Données projet'!$A$113:$I$133,9,0)</f>
        <v>14.8</v>
      </c>
      <c r="BX28" s="13">
        <f t="array" ref="BX28">INDEX(BW:BW,MIN(IF(ISNUMBER(BW28:BW224),ROW(BW28:BW224),"")))</f>
        <v>14.8</v>
      </c>
      <c r="BY28" s="13">
        <f>IF('Données projet'!$A$114&gt;35,BY27+BX28-CG27,IF(A28&lt;'Données projet'!$A$114,$BV$205^A28,IF(A28='Données projet'!$A$114,'Données projet'!$B$114,BY27+BX28-CG27)))</f>
        <v>139.99999999999997</v>
      </c>
      <c r="BZ28" s="14">
        <f>BY28*VLOOKUP('Données projet'!$B$12,Paramètres!$A$1:$I$89,3,0)*VLOOKUP('Données projet'!$B$12,Paramètres!$A$1:$I$89,5,0)</f>
        <v>102.64799999999998</v>
      </c>
      <c r="CA28" s="14">
        <f t="shared" si="39"/>
        <v>27.591884256813046</v>
      </c>
      <c r="CB28" s="22">
        <f t="shared" si="10"/>
        <v>226.83446508061596</v>
      </c>
      <c r="CC28" s="62">
        <f t="shared" si="11"/>
        <v>514.05668730283821</v>
      </c>
      <c r="CD28" s="62">
        <f ca="1">AVERAGE(OFFSET($CC$3,0,0,'Données projet'!$E$12+1,1))-AVERAGE(OFFSET($H$3,0,0,'Données projet'!$E$12+1,1))</f>
        <v>328.10411227536315</v>
      </c>
      <c r="CE28" s="62">
        <f t="shared" si="40"/>
        <v>320.24200483294322</v>
      </c>
      <c r="CF28" s="16">
        <f>IF(ISNA(VLOOKUP(A28,'Données projet'!$A$113:$I$133,3,0)),0,VLOOKUP(A28,'Données projet'!$A$113:$I$133,3,0))</f>
        <v>4</v>
      </c>
      <c r="CG28" s="16">
        <f>IF(ISNA(VLOOKUP(A28,'Données projet'!$A$113:$I$133,4,0)),0,VLOOKUP(A28,'Données projet'!$A$113:$I$133,4,0))</f>
        <v>35</v>
      </c>
      <c r="CH28" s="17">
        <f>IF(ISNA(VLOOKUP(A28,'Données projet'!$A$113:$I$133,5,0)),0%,VLOOKUP(A28,'Données projet'!$A$113:$I$133,5,0)*VLOOKUP('Données projet'!$B$12,Paramètres!$A$1:$I$89,7,0))</f>
        <v>0.23650000000000002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10.023707636143154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10.023707636143154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113</v>
      </c>
      <c r="CR28" s="13">
        <f>VLOOKUP(A28,'Données projet'!$A$139:$I$159,9,0)</f>
        <v>10.6</v>
      </c>
      <c r="CS28" s="13">
        <f t="array" ref="CS28">INDEX(CR:CR,MIN(IF(ISNUMBER(CR28:CR224),ROW(CR28:CR224),"")))</f>
        <v>10.6</v>
      </c>
      <c r="CT28" s="13">
        <f>IF('Données projet'!$A$140&gt;35,CT27+CS28-DB27,IF(A28&lt;'Données projet'!$A$140,$CQ$205^A28,IF(A28='Données projet'!$A$140,'Données projet'!$B$140,CT27+CS28-DB27)))</f>
        <v>112.99999999999996</v>
      </c>
      <c r="CU28" s="18">
        <f>CT28*VLOOKUP('Données projet'!$B$13,Paramètres!$A$1:$I$89,3,0)*VLOOKUP('Données projet'!$B$13,Paramètres!$A$1:$I$89,5,0)</f>
        <v>88.139999999999972</v>
      </c>
      <c r="CV28" s="14">
        <f t="shared" si="41"/>
        <v>24.116094026318823</v>
      </c>
      <c r="CW28" s="22">
        <f t="shared" si="13"/>
        <v>195.51269709583855</v>
      </c>
      <c r="CX28" s="62">
        <f t="shared" si="14"/>
        <v>482.73491931806075</v>
      </c>
      <c r="CY28" s="62">
        <f ca="1">AVERAGE(OFFSET($CX$3,0,0,'Données projet'!$E$13+1,1))-AVERAGE(OFFSET($H$3,0,0,'Données projet'!$E$13+1,1))</f>
        <v>288.82868507674738</v>
      </c>
      <c r="CZ28" s="62">
        <f t="shared" si="42"/>
        <v>283.48738729114024</v>
      </c>
      <c r="DA28" s="16">
        <f>IF(ISNA(VLOOKUP(A28,'Données projet'!$A$139:$I$159,3,0)),0,VLOOKUP(A28,'Données projet'!$A$139:$I$159,3,0))</f>
        <v>3</v>
      </c>
      <c r="DB28" s="16">
        <f>IF(ISNA(VLOOKUP(A28,'Données projet'!$A$139:$I$159,4,0)),0,VLOOKUP(A28,'Données projet'!$A$139:$I$159,4,0))</f>
        <v>27</v>
      </c>
      <c r="DC28" s="17">
        <f>IF(ISNA(VLOOKUP(A28,'Données projet'!$A$139:$I$159,5,0)),0%,VLOOKUP(A28,'Données projet'!$A$139:$I$159,5,0)*VLOOKUP('Données projet'!$B$13,Paramètres!$A$1:$I$89,7,0))</f>
        <v>0.129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3.0032755988923472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3.0032755988923472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103</v>
      </c>
      <c r="DM28" s="13">
        <f>VLOOKUP(A28,'Données projet'!$A$165:$I$185,9,0)</f>
        <v>7.2</v>
      </c>
      <c r="DN28" s="13">
        <f t="array" ref="DN28">INDEX(DM:DM,MIN(IF(ISNUMBER(DM28:DM224),ROW(DM28:DM224),"")))</f>
        <v>7.2</v>
      </c>
      <c r="DO28" s="13">
        <f>IF('Données projet'!$A$166&gt;35,DO27+DN28-DW27,IF(A28&lt;'Données projet'!$A$166,$DL$205^A28,IF(A28='Données projet'!$A$166,'Données projet'!$B$166,DO27+DN28-DW27)))</f>
        <v>103.00000000000001</v>
      </c>
      <c r="DP28" s="18">
        <f>DO28*VLOOKUP('Données projet'!$B$14,Paramètres!$A$1:$I$89,3,0)*VLOOKUP('Données projet'!$B$14,Paramètres!$A$1:$I$89,5,0)</f>
        <v>104.44200000000004</v>
      </c>
      <c r="DQ28" s="14">
        <f t="shared" si="43"/>
        <v>28.01755116176631</v>
      </c>
      <c r="DR28" s="22">
        <f t="shared" si="16"/>
        <v>230.70038494007636</v>
      </c>
      <c r="DS28" s="62">
        <f t="shared" si="17"/>
        <v>517.92260716229862</v>
      </c>
      <c r="DT28" s="62">
        <f ca="1">AVERAGE(OFFSET($DS$3,0,0,'Données projet'!$E$14+1,1))-AVERAGE(OFFSET($H$3,0,0,'Données projet'!$E$14+1,1))</f>
        <v>487.04124684635974</v>
      </c>
      <c r="DU28" s="62">
        <f t="shared" si="44"/>
        <v>306.61893266146666</v>
      </c>
      <c r="DV28" s="16">
        <f>IF(ISNA(VLOOKUP(A28,'Données projet'!$A$165:$I$185,3,0)),0,VLOOKUP(A28,'Données projet'!$A$165:$I$185,3,0))</f>
        <v>2</v>
      </c>
      <c r="DW28" s="16">
        <f>IF(ISNA(VLOOKUP(A28,'Données projet'!$A$165:$I$185,4,0)),0,VLOOKUP(A28,'Données projet'!$A$165:$I$185,4,0))</f>
        <v>28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103</v>
      </c>
      <c r="EH28" s="13">
        <f>VLOOKUP(A28,'Données projet'!$A$191:$I$211,9,0)</f>
        <v>7.2</v>
      </c>
      <c r="EI28" s="13">
        <f t="array" ref="EI28">INDEX(EH:EH,MIN(IF(ISNUMBER(EH28:EH224),ROW(EH28:EH224),"")))</f>
        <v>7.2</v>
      </c>
      <c r="EJ28" s="13">
        <f>IF('Données projet'!$A$192&gt;35,EJ27+EI28-ER27,IF(A28&lt;'Données projet'!$A$192,$EG$205^A28,IF(A28='Données projet'!$A$192,'Données projet'!$B$192,EJ27+EI28-ER27)))</f>
        <v>103.00000000000001</v>
      </c>
      <c r="EK28" s="18">
        <f>EJ28*VLOOKUP('Données projet'!$B$15,Paramètres!$A$1:$I$89,3,0)*VLOOKUP('Données projet'!$B$15,Paramètres!$A$1:$I$89,5,0)</f>
        <v>98.014800000000008</v>
      </c>
      <c r="EL28" s="14">
        <f t="shared" si="45"/>
        <v>26.488500507827684</v>
      </c>
      <c r="EM28" s="22">
        <f t="shared" si="19"/>
        <v>216.84324838446653</v>
      </c>
      <c r="EN28" s="62">
        <f t="shared" si="20"/>
        <v>504.06547060668879</v>
      </c>
      <c r="EO28" s="62">
        <f ca="1">AVERAGE(OFFSET($EN$3,0,0,'Données projet'!$E$15+1,1))-AVERAGE(OFFSET($H$3,0,0,'Données projet'!$E$15+1,1))</f>
        <v>459.64120566196812</v>
      </c>
      <c r="EP28" s="62">
        <f t="shared" si="46"/>
        <v>290.39826583283588</v>
      </c>
      <c r="EQ28" s="16">
        <f>IF(ISNA(VLOOKUP(A28,'Données projet'!$A$191:$I$211,3,0)),0,VLOOKUP(A28,'Données projet'!$A$191:$I$211,3,0))</f>
        <v>2</v>
      </c>
      <c r="ER28" s="16">
        <f>IF(ISNA(VLOOKUP(A28,'Données projet'!$A$191:$I$211,4,0)),0,VLOOKUP(A28,'Données projet'!$A$191:$I$211,4,0))</f>
        <v>28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>
        <f>VLOOKUP(A28,'Données projet'!$A$217:$I$237,2,0)</f>
        <v>103</v>
      </c>
      <c r="FC28" s="13">
        <f>VLOOKUP(A28,'Données projet'!$A$217:$I$237,9,0)</f>
        <v>7.2</v>
      </c>
      <c r="FD28" s="13">
        <f t="array" ref="FD28">INDEX(FC:FC,MIN(IF(ISNUMBER(FC28:FC224),ROW(FC28:FC224),"")))</f>
        <v>7.2</v>
      </c>
      <c r="FE28" s="13">
        <f>IF('Données projet'!$A$218&gt;35,FE27+FD28-FM27,IF(A28&lt;'Données projet'!$A$218,$FB$205^A28,IF(A28='Données projet'!$A$218,'Données projet'!$B$218,FE27+FD28-FM27)))</f>
        <v>103.00000000000001</v>
      </c>
      <c r="FF28" s="18">
        <f>FE28*VLOOKUP('Données projet'!$B$16,Paramètres!$A$1:$I$89,3,0)*VLOOKUP('Données projet'!$B$16,Paramètres!$A$1:$I$89,5,0)</f>
        <v>69.092400000000012</v>
      </c>
      <c r="FG28" s="14">
        <f t="shared" si="47"/>
        <v>19.447897597608421</v>
      </c>
      <c r="FH28" s="22">
        <f t="shared" si="22"/>
        <v>154.20768498250132</v>
      </c>
      <c r="FI28" s="62">
        <f t="shared" si="23"/>
        <v>441.42990720472358</v>
      </c>
      <c r="FJ28" s="62">
        <f ca="1">AVERAGE(OFFSET($FI$3,0,0,'Données projet'!$E$16+1,1))-AVERAGE(OFFSET($H$3,0,0,'Données projet'!$E$16+1,1))</f>
        <v>335.83558218229564</v>
      </c>
      <c r="FK28" s="62">
        <f t="shared" si="48"/>
        <v>217.08423061559648</v>
      </c>
      <c r="FL28" s="16">
        <f>IF(ISNA(VLOOKUP(A28,'Données projet'!$A$217:$I$237,3,0)),0,VLOOKUP(A28,'Données projet'!$A$217:$I$237,3,0))</f>
        <v>2</v>
      </c>
      <c r="FM28" s="16">
        <f>IF(ISNA(VLOOKUP(A28,'Données projet'!$A$217:$I$237,4,0)),0,VLOOKUP(A28,'Données projet'!$A$217:$I$237,4,0))</f>
        <v>28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0.159</v>
      </c>
      <c r="FP28" s="17">
        <f>IF(ISNA(VLOOKUP(A28,'Données projet'!$A$217:$I$237,7,0)),0%,VLOOKUP(A28,'Données projet'!$A$217:$I$237,7,0))</f>
        <v>0.7</v>
      </c>
      <c r="FQ28" s="23">
        <f>EXP(-LN(2)/35)*FQ27+(1-EXP(-LN(2)/35))/(LN(2)/35)*FM28*FN28*VLOOKUP('Données projet'!$B$16,Paramètres!$A$1:$I$89,3,0)*0.475*44/12</f>
        <v>0</v>
      </c>
      <c r="FR28" s="23">
        <f>EXP(-LN(2)/25)*FR27+(1-EXP(-LN(2)/25))/(LN(2)/25)*Calculateur!FM28*Calculateur!FO28*VLOOKUP('Données projet'!$B$16,Paramètres!$A$1:$I$89,3,0)*0.475*44/12</f>
        <v>3.2883797250713602</v>
      </c>
      <c r="FS28" s="23">
        <f>EXP(-LN(2)/2)*FS27+(1-EXP(-LN(2)/2))/(LN(2)/2)*FM28*FP28*VLOOKUP('Données projet'!$B$16,Paramètres!$A$1:$I$89,3,0)*0.475*44/12</f>
        <v>12.40518994461897</v>
      </c>
      <c r="FT28" s="24">
        <f t="shared" si="24"/>
        <v>15.69356966969033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13</v>
      </c>
      <c r="N29" s="14">
        <f>IF('Données projet'!$A$36&gt;35,N28+M29-V28,IF(A29&lt;'Données projet'!$A$36,$K$205^A29,IF(A29='Données projet'!$A$36,'Données projet'!$B$36,N28+M29-V28)))</f>
        <v>132.00000000000003</v>
      </c>
      <c r="O29" s="14">
        <f>N29*VLOOKUP('Données projet'!$B$9,Paramètres!$A$1:$I$89,3,0)*VLOOKUP('Données projet'!$B$9,Paramètres!$A$1:$I$89,5,0)</f>
        <v>115.31520000000003</v>
      </c>
      <c r="P29" s="14">
        <f t="shared" si="33"/>
        <v>30.579827148797317</v>
      </c>
      <c r="Q29" s="22">
        <f t="shared" si="2"/>
        <v>254.10050561748869</v>
      </c>
      <c r="R29" s="62">
        <f t="shared" si="0"/>
        <v>542.54495006193315</v>
      </c>
      <c r="S29" s="62">
        <f ca="1">AVERAGE(OFFSET($R$3,0,0,'Données projet'!$E$9+1,1))-AVERAGE(OFFSET($H$3,0,0,'Données projet'!$E$9+1,1))</f>
        <v>321.23599968992932</v>
      </c>
      <c r="T29" s="62">
        <f t="shared" si="34"/>
        <v>388.05195847800502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16.381273750187578</v>
      </c>
      <c r="AB29" s="23">
        <f>EXP(-LN(2)/2)*AB28+(1-EXP(-LN(2)/2))/(LN(2)/2)*V29*Y29*VLOOKUP('Données projet'!$B$9,Paramètres!$A$1:$I$89,3,0)*0.475*44/12</f>
        <v>15.037768403628103</v>
      </c>
      <c r="AC29" s="24">
        <f t="shared" si="3"/>
        <v>31.419042153815681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9.1999999999999993</v>
      </c>
      <c r="AI29" s="14">
        <f>IF('Données projet'!$A$62&gt;35,AI28+AH29-AQ28,IF(A29&lt;'Données projet'!$A$62,$AF$205^A29,IF(A29='Données projet'!$A$62,'Données projet'!$B$62,AI28+AH29-AQ28)))</f>
        <v>84.200000000000017</v>
      </c>
      <c r="AJ29" s="14">
        <f>AI29*VLOOKUP('Données projet'!$B$10,Paramètres!$A$1:$I$89,3,0)*VLOOKUP('Données projet'!$B$10,Paramètres!$A$1:$I$89,5,0)</f>
        <v>76.184160000000006</v>
      </c>
      <c r="AK29" s="14">
        <f t="shared" si="35"/>
        <v>21.201554232857223</v>
      </c>
      <c r="AL29" s="22">
        <f t="shared" si="4"/>
        <v>169.613452288893</v>
      </c>
      <c r="AM29" s="62">
        <f t="shared" si="5"/>
        <v>458.05789673333743</v>
      </c>
      <c r="AN29" s="62">
        <f ca="1">AVERAGE(OFFSET($AM$3,0,0,'Données projet'!$E$10+1,1))-AVERAGE(OFFSET($H$3,0,0,'Données projet'!$E$10+1,1))</f>
        <v>439.19854273764042</v>
      </c>
      <c r="AO29" s="62">
        <f t="shared" si="36"/>
        <v>278.21741231699929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3.5002002055949579</v>
      </c>
      <c r="AW29" s="23">
        <f>EXP(-LN(2)/2)*AW28+(1-EXP(-LN(2)/2))/(LN(2)/2)*AQ29*AT29*VLOOKUP('Données projet'!$B$10,Paramètres!$A$1:$I$89,3,0)*0.475*44/12</f>
        <v>11.831722047473029</v>
      </c>
      <c r="AX29" s="23">
        <f t="shared" si="6"/>
        <v>15.331922253067987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14.2</v>
      </c>
      <c r="BD29" s="13">
        <f>IF('Données projet'!$A$88&gt;35,BD28+BC29-BL28,IF(A29&lt;'Données projet'!$A$88,$BA$205^A29,IF(A29='Données projet'!$A$88,'Données projet'!$B$88,BD28+BC29-BL28)))</f>
        <v>119.19999999999996</v>
      </c>
      <c r="BE29" s="14">
        <f>BD29*VLOOKUP('Données projet'!$B$11,Paramètres!$A$1:$I$89,3,0)*VLOOKUP('Données projet'!$B$11,Paramètres!$A$1:$I$89,5,0)</f>
        <v>94.835519999999974</v>
      </c>
      <c r="BF29" s="14">
        <f t="shared" si="37"/>
        <v>25.727860178949104</v>
      </c>
      <c r="BG29" s="22">
        <f t="shared" si="7"/>
        <v>209.98122047833627</v>
      </c>
      <c r="BH29" s="62">
        <f t="shared" si="8"/>
        <v>498.4256649227807</v>
      </c>
      <c r="BI29" s="62">
        <f ca="1">AVERAGE(OFFSET($BH$3,0,0,'Données projet'!$E$11+1,1))-AVERAGE(OFFSET($H$3,0,0,'Données projet'!$E$11+1,1))</f>
        <v>352.88510024787888</v>
      </c>
      <c r="BJ29" s="62">
        <f t="shared" si="38"/>
        <v>343.77208530767069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13.73222702994164</v>
      </c>
      <c r="BR29" s="23">
        <f>EXP(-LN(2)/2)*BR28+(1-EXP(-LN(2)/2))/(LN(2)/2)*BL29*BO29*VLOOKUP('Données projet'!$B$11,Paramètres!$A$1:$I$89,3,0)*0.475*44/12</f>
        <v>1.5790744516098705</v>
      </c>
      <c r="BS29" s="24">
        <f t="shared" si="9"/>
        <v>15.31130148155151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14.2</v>
      </c>
      <c r="BY29" s="13">
        <f>IF('Données projet'!$A$114&gt;35,BY28+BX29-CG28,IF(A29&lt;'Données projet'!$A$114,$BV$205^A29,IF(A29='Données projet'!$A$114,'Données projet'!$B$114,BY28+BX29-CG28)))</f>
        <v>119.19999999999996</v>
      </c>
      <c r="BZ29" s="14">
        <f>BY29*VLOOKUP('Données projet'!$B$12,Paramètres!$A$1:$I$89,3,0)*VLOOKUP('Données projet'!$B$12,Paramètres!$A$1:$I$89,5,0)</f>
        <v>87.397439999999975</v>
      </c>
      <c r="CA29" s="14">
        <f t="shared" si="39"/>
        <v>23.936482276928594</v>
      </c>
      <c r="CB29" s="22">
        <f t="shared" si="10"/>
        <v>193.90658129898392</v>
      </c>
      <c r="CC29" s="62">
        <f t="shared" si="11"/>
        <v>482.35102574342841</v>
      </c>
      <c r="CD29" s="62">
        <f ca="1">AVERAGE(OFFSET($CC$3,0,0,'Données projet'!$E$12+1,1))-AVERAGE(OFFSET($H$3,0,0,'Données projet'!$E$12+1,1))</f>
        <v>328.10411227536315</v>
      </c>
      <c r="CE29" s="62">
        <f t="shared" si="40"/>
        <v>320.24200483294322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9.8271488432563512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9.8271488432563512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11.5</v>
      </c>
      <c r="CT29" s="13">
        <f>IF('Données projet'!$A$140&gt;35,CT28+CS29-DB28,IF(A29&lt;'Données projet'!$A$140,$CQ$205^A29,IF(A29='Données projet'!$A$140,'Données projet'!$B$140,CT28+CS29-DB28)))</f>
        <v>97.499999999999957</v>
      </c>
      <c r="CU29" s="18">
        <f>CT29*VLOOKUP('Données projet'!$B$13,Paramètres!$A$1:$I$89,3,0)*VLOOKUP('Données projet'!$B$13,Paramètres!$A$1:$I$89,5,0)</f>
        <v>76.049999999999969</v>
      </c>
      <c r="CV29" s="14">
        <f t="shared" si="41"/>
        <v>21.168560890749262</v>
      </c>
      <c r="CW29" s="22">
        <f t="shared" si="13"/>
        <v>169.32232688472158</v>
      </c>
      <c r="CX29" s="62">
        <f t="shared" si="14"/>
        <v>457.76677132916603</v>
      </c>
      <c r="CY29" s="62">
        <f ca="1">AVERAGE(OFFSET($CX$3,0,0,'Données projet'!$E$13+1,1))-AVERAGE(OFFSET($H$3,0,0,'Données projet'!$E$13+1,1))</f>
        <v>288.82868507674738</v>
      </c>
      <c r="CZ29" s="62">
        <f t="shared" si="42"/>
        <v>283.48738729114024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2.9443831962153069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2.9443831962153069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9.1999999999999993</v>
      </c>
      <c r="DO29" s="13">
        <f>IF('Données projet'!$A$166&gt;35,DO28+DN29-DW28,IF(A29&lt;'Données projet'!$A$166,$DL$205^A29,IF(A29='Données projet'!$A$166,'Données projet'!$B$166,DO28+DN29-DW28)))</f>
        <v>84.200000000000017</v>
      </c>
      <c r="DP29" s="18">
        <f>DO29*VLOOKUP('Données projet'!$B$14,Paramètres!$A$1:$I$89,3,0)*VLOOKUP('Données projet'!$B$14,Paramètres!$A$1:$I$89,5,0)</f>
        <v>85.378800000000027</v>
      </c>
      <c r="DQ29" s="14">
        <f t="shared" si="43"/>
        <v>23.447306793896516</v>
      </c>
      <c r="DR29" s="22">
        <f t="shared" si="16"/>
        <v>189.53880266603645</v>
      </c>
      <c r="DS29" s="62">
        <f t="shared" si="17"/>
        <v>477.98324711048087</v>
      </c>
      <c r="DT29" s="62">
        <f ca="1">AVERAGE(OFFSET($DS$3,0,0,'Données projet'!$E$14+1,1))-AVERAGE(OFFSET($H$3,0,0,'Données projet'!$E$14+1,1))</f>
        <v>487.04124684635974</v>
      </c>
      <c r="DU29" s="62">
        <f t="shared" si="44"/>
        <v>306.61893266146666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9.1999999999999993</v>
      </c>
      <c r="EJ29" s="13">
        <f>IF('Données projet'!$A$192&gt;35,EJ28+EI29-ER28,IF(A29&lt;'Données projet'!$A$192,$EG$205^A29,IF(A29='Données projet'!$A$192,'Données projet'!$B$192,EJ28+EI29-ER28)))</f>
        <v>84.200000000000017</v>
      </c>
      <c r="EK29" s="18">
        <f>EJ29*VLOOKUP('Données projet'!$B$15,Paramètres!$A$1:$I$89,3,0)*VLOOKUP('Données projet'!$B$15,Paramètres!$A$1:$I$89,5,0)</f>
        <v>80.124720000000011</v>
      </c>
      <c r="EL29" s="14">
        <f t="shared" si="45"/>
        <v>22.167676051748288</v>
      </c>
      <c r="EM29" s="22">
        <f t="shared" si="19"/>
        <v>178.15925645679496</v>
      </c>
      <c r="EN29" s="62">
        <f t="shared" si="20"/>
        <v>466.60370090123945</v>
      </c>
      <c r="EO29" s="62">
        <f ca="1">AVERAGE(OFFSET($EN$3,0,0,'Données projet'!$E$15+1,1))-AVERAGE(OFFSET($H$3,0,0,'Données projet'!$E$15+1,1))</f>
        <v>459.64120566196812</v>
      </c>
      <c r="EP29" s="62">
        <f t="shared" si="46"/>
        <v>290.39826583283588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9.1999999999999993</v>
      </c>
      <c r="FE29" s="13">
        <f>IF('Données projet'!$A$218&gt;35,FE28+FD29-FM28,IF(A29&lt;'Données projet'!$A$218,$FB$205^A29,IF(A29='Données projet'!$A$218,'Données projet'!$B$218,FE28+FD29-FM28)))</f>
        <v>84.200000000000017</v>
      </c>
      <c r="FF29" s="18">
        <f>FE29*VLOOKUP('Données projet'!$B$16,Paramètres!$A$1:$I$89,3,0)*VLOOKUP('Données projet'!$B$16,Paramètres!$A$1:$I$89,5,0)</f>
        <v>56.481360000000016</v>
      </c>
      <c r="FG29" s="14">
        <f t="shared" si="47"/>
        <v>16.275541671524874</v>
      </c>
      <c r="FH29" s="22">
        <f t="shared" si="22"/>
        <v>126.71827041123917</v>
      </c>
      <c r="FI29" s="62">
        <f t="shared" si="23"/>
        <v>415.16271485568365</v>
      </c>
      <c r="FJ29" s="62">
        <f ca="1">AVERAGE(OFFSET($FI$3,0,0,'Données projet'!$E$16+1,1))-AVERAGE(OFFSET($H$3,0,0,'Données projet'!$E$16+1,1))</f>
        <v>335.83558218229564</v>
      </c>
      <c r="FK29" s="62">
        <f t="shared" si="48"/>
        <v>217.08423061559648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0</v>
      </c>
      <c r="FR29" s="23">
        <f>EXP(-LN(2)/25)*FR28+(1-EXP(-LN(2)/25))/(LN(2)/25)*Calculateur!FM29*Calculateur!FO29*VLOOKUP('Données projet'!$B$16,Paramètres!$A$1:$I$89,3,0)*0.475*44/12</f>
        <v>3.1984588085609098</v>
      </c>
      <c r="FS29" s="23">
        <f>EXP(-LN(2)/2)*FS28+(1-EXP(-LN(2)/2))/(LN(2)/2)*FM29*FP29*VLOOKUP('Données projet'!$B$16,Paramètres!$A$1:$I$89,3,0)*0.475*44/12</f>
        <v>8.7717939317472453</v>
      </c>
      <c r="FT29" s="24">
        <f t="shared" si="24"/>
        <v>11.970252740308155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13</v>
      </c>
      <c r="N30" s="14">
        <f>IF('Données projet'!$A$36&gt;35,N29+M30-V29,IF(A30&lt;'Données projet'!$A$36,$K$205^A30,IF(A30='Données projet'!$A$36,'Données projet'!$B$36,N29+M30-V29)))</f>
        <v>145.00000000000003</v>
      </c>
      <c r="O30" s="14">
        <f>N30*VLOOKUP('Données projet'!$B$9,Paramètres!$A$1:$I$89,3,0)*VLOOKUP('Données projet'!$B$9,Paramètres!$A$1:$I$89,5,0)</f>
        <v>126.67200000000003</v>
      </c>
      <c r="P30" s="14">
        <f t="shared" si="33"/>
        <v>33.226199426361347</v>
      </c>
      <c r="Q30" s="22">
        <f t="shared" si="2"/>
        <v>278.48936400091276</v>
      </c>
      <c r="R30" s="62">
        <f t="shared" si="0"/>
        <v>568.15603066757944</v>
      </c>
      <c r="S30" s="62">
        <f ca="1">AVERAGE(OFFSET($R$3,0,0,'Données projet'!$E$9+1,1))-AVERAGE(OFFSET($H$3,0,0,'Données projet'!$E$9+1,1))</f>
        <v>321.23599968992932</v>
      </c>
      <c r="T30" s="62">
        <f t="shared" si="34"/>
        <v>388.05195847800502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15.933326958034952</v>
      </c>
      <c r="AB30" s="23">
        <f>EXP(-LN(2)/2)*AB29+(1-EXP(-LN(2)/2))/(LN(2)/2)*V30*Y30*VLOOKUP('Données projet'!$B$9,Paramètres!$A$1:$I$89,3,0)*0.475*44/12</f>
        <v>10.633308012118237</v>
      </c>
      <c r="AC30" s="24">
        <f t="shared" si="3"/>
        <v>26.566634970153189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9.1999999999999993</v>
      </c>
      <c r="AI30" s="14">
        <f>IF('Données projet'!$A$62&gt;35,AI29+AH30-AQ29,IF(A30&lt;'Données projet'!$A$62,$AF$205^A30,IF(A30='Données projet'!$A$62,'Données projet'!$B$62,AI29+AH30-AQ29)))</f>
        <v>93.40000000000002</v>
      </c>
      <c r="AJ30" s="14">
        <f>AI30*VLOOKUP('Données projet'!$B$10,Paramètres!$A$1:$I$89,3,0)*VLOOKUP('Données projet'!$B$10,Paramètres!$A$1:$I$89,5,0)</f>
        <v>84.508320000000026</v>
      </c>
      <c r="AK30" s="14">
        <f t="shared" si="35"/>
        <v>23.235950088324714</v>
      </c>
      <c r="AL30" s="22">
        <f t="shared" si="4"/>
        <v>187.65460373716556</v>
      </c>
      <c r="AM30" s="62">
        <f t="shared" si="5"/>
        <v>477.32127040383227</v>
      </c>
      <c r="AN30" s="62">
        <f ca="1">AVERAGE(OFFSET($AM$3,0,0,'Données projet'!$E$10+1,1))-AVERAGE(OFFSET($H$3,0,0,'Données projet'!$E$10+1,1))</f>
        <v>439.19854273764042</v>
      </c>
      <c r="AO30" s="62">
        <f t="shared" si="36"/>
        <v>278.21741231699929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3.4044870469054347</v>
      </c>
      <c r="AW30" s="23">
        <f>EXP(-LN(2)/2)*AW29+(1-EXP(-LN(2)/2))/(LN(2)/2)*AQ30*AT30*VLOOKUP('Données projet'!$B$10,Paramètres!$A$1:$I$89,3,0)*0.475*44/12</f>
        <v>8.3662908928825619</v>
      </c>
      <c r="AX30" s="23">
        <f t="shared" si="6"/>
        <v>11.770777939787997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14.2</v>
      </c>
      <c r="BD30" s="13">
        <f>IF('Données projet'!$A$88&gt;35,BD29+BC30-BL29,IF(A30&lt;'Données projet'!$A$88,$BA$205^A30,IF(A30='Données projet'!$A$88,'Données projet'!$B$88,BD29+BC30-BL29)))</f>
        <v>133.39999999999995</v>
      </c>
      <c r="BE30" s="14">
        <f>BD30*VLOOKUP('Données projet'!$B$11,Paramètres!$A$1:$I$89,3,0)*VLOOKUP('Données projet'!$B$11,Paramètres!$A$1:$I$89,5,0)</f>
        <v>106.13303999999997</v>
      </c>
      <c r="BF30" s="14">
        <f t="shared" si="37"/>
        <v>28.418009728368016</v>
      </c>
      <c r="BG30" s="22">
        <f t="shared" si="7"/>
        <v>234.34307827690756</v>
      </c>
      <c r="BH30" s="62">
        <f t="shared" si="8"/>
        <v>524.00974494357422</v>
      </c>
      <c r="BI30" s="62">
        <f ca="1">AVERAGE(OFFSET($BH$3,0,0,'Données projet'!$E$11+1,1))-AVERAGE(OFFSET($H$3,0,0,'Données projet'!$E$11+1,1))</f>
        <v>352.88510024787888</v>
      </c>
      <c r="BJ30" s="62">
        <f t="shared" si="38"/>
        <v>343.77208530767069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13.356718559661452</v>
      </c>
      <c r="BR30" s="23">
        <f>EXP(-LN(2)/2)*BR29+(1-EXP(-LN(2)/2))/(LN(2)/2)*BL30*BO30*VLOOKUP('Données projet'!$B$11,Paramètres!$A$1:$I$89,3,0)*0.475*44/12</f>
        <v>1.1165742527317684</v>
      </c>
      <c r="BS30" s="24">
        <f t="shared" si="9"/>
        <v>14.47329281239322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14.2</v>
      </c>
      <c r="BY30" s="13">
        <f>IF('Données projet'!$A$114&gt;35,BY29+BX30-CG29,IF(A30&lt;'Données projet'!$A$114,$BV$205^A30,IF(A30='Données projet'!$A$114,'Données projet'!$B$114,BY29+BX30-CG29)))</f>
        <v>133.39999999999995</v>
      </c>
      <c r="BZ30" s="14">
        <f>BY30*VLOOKUP('Données projet'!$B$12,Paramètres!$A$1:$I$89,3,0)*VLOOKUP('Données projet'!$B$12,Paramètres!$A$1:$I$89,5,0)</f>
        <v>97.808879999999959</v>
      </c>
      <c r="CA30" s="14">
        <f t="shared" si="39"/>
        <v>26.439322255227292</v>
      </c>
      <c r="CB30" s="22">
        <f t="shared" si="10"/>
        <v>216.39895226118747</v>
      </c>
      <c r="CC30" s="62">
        <f t="shared" si="11"/>
        <v>506.06561892785419</v>
      </c>
      <c r="CD30" s="62">
        <f ca="1">AVERAGE(OFFSET($CC$3,0,0,'Données projet'!$E$12+1,1))-AVERAGE(OFFSET($H$3,0,0,'Données projet'!$E$12+1,1))</f>
        <v>328.10411227536315</v>
      </c>
      <c r="CE30" s="62">
        <f t="shared" si="40"/>
        <v>320.24200483294322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9.6344444484090328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9.6344444484090328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11.5</v>
      </c>
      <c r="CT30" s="13">
        <f>IF('Données projet'!$A$140&gt;35,CT29+CS30-DB29,IF(A30&lt;'Données projet'!$A$140,$CQ$205^A30,IF(A30='Données projet'!$A$140,'Données projet'!$B$140,CT29+CS30-DB29)))</f>
        <v>108.99999999999996</v>
      </c>
      <c r="CU30" s="18">
        <f>CT30*VLOOKUP('Données projet'!$B$13,Paramètres!$A$1:$I$89,3,0)*VLOOKUP('Données projet'!$B$13,Paramètres!$A$1:$I$89,5,0)</f>
        <v>85.019999999999968</v>
      </c>
      <c r="CV30" s="14">
        <f t="shared" si="41"/>
        <v>23.360218970693097</v>
      </c>
      <c r="CW30" s="22">
        <f t="shared" si="13"/>
        <v>188.76221470729038</v>
      </c>
      <c r="CX30" s="62">
        <f t="shared" si="14"/>
        <v>478.4288813739571</v>
      </c>
      <c r="CY30" s="62">
        <f ca="1">AVERAGE(OFFSET($CX$3,0,0,'Données projet'!$E$13+1,1))-AVERAGE(OFFSET($H$3,0,0,'Données projet'!$E$13+1,1))</f>
        <v>288.82868507674738</v>
      </c>
      <c r="CZ30" s="62">
        <f t="shared" si="42"/>
        <v>283.48738729114024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2.8866456376339444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2.8866456376339444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9.1999999999999993</v>
      </c>
      <c r="DO30" s="13">
        <f>IF('Données projet'!$A$166&gt;35,DO29+DN30-DW29,IF(A30&lt;'Données projet'!$A$166,$DL$205^A30,IF(A30='Données projet'!$A$166,'Données projet'!$B$166,DO29+DN30-DW29)))</f>
        <v>93.40000000000002</v>
      </c>
      <c r="DP30" s="18">
        <f>DO30*VLOOKUP('Données projet'!$B$14,Paramètres!$A$1:$I$89,3,0)*VLOOKUP('Données projet'!$B$14,Paramètres!$A$1:$I$89,5,0)</f>
        <v>94.707600000000028</v>
      </c>
      <c r="DQ30" s="14">
        <f t="shared" si="43"/>
        <v>25.697193912523566</v>
      </c>
      <c r="DR30" s="22">
        <f t="shared" si="16"/>
        <v>209.70501606431188</v>
      </c>
      <c r="DS30" s="62">
        <f t="shared" si="17"/>
        <v>499.37168273097859</v>
      </c>
      <c r="DT30" s="62">
        <f ca="1">AVERAGE(OFFSET($DS$3,0,0,'Données projet'!$E$14+1,1))-AVERAGE(OFFSET($H$3,0,0,'Données projet'!$E$14+1,1))</f>
        <v>487.04124684635974</v>
      </c>
      <c r="DU30" s="62">
        <f t="shared" si="44"/>
        <v>306.61893266146666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9.1999999999999993</v>
      </c>
      <c r="EJ30" s="13">
        <f>IF('Données projet'!$A$192&gt;35,EJ29+EI30-ER29,IF(A30&lt;'Données projet'!$A$192,$EG$205^A30,IF(A30='Données projet'!$A$192,'Données projet'!$B$192,EJ29+EI30-ER29)))</f>
        <v>93.40000000000002</v>
      </c>
      <c r="EK30" s="18">
        <f>EJ30*VLOOKUP('Données projet'!$B$15,Paramètres!$A$1:$I$89,3,0)*VLOOKUP('Données projet'!$B$15,Paramètres!$A$1:$I$89,5,0)</f>
        <v>88.879440000000017</v>
      </c>
      <c r="EL30" s="14">
        <f t="shared" si="45"/>
        <v>24.294776159113649</v>
      </c>
      <c r="EM30" s="22">
        <f t="shared" si="19"/>
        <v>197.11175981045631</v>
      </c>
      <c r="EN30" s="62">
        <f t="shared" si="20"/>
        <v>486.77842647712299</v>
      </c>
      <c r="EO30" s="62">
        <f ca="1">AVERAGE(OFFSET($EN$3,0,0,'Données projet'!$E$15+1,1))-AVERAGE(OFFSET($H$3,0,0,'Données projet'!$E$15+1,1))</f>
        <v>459.64120566196812</v>
      </c>
      <c r="EP30" s="62">
        <f t="shared" si="46"/>
        <v>290.39826583283588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9.1999999999999993</v>
      </c>
      <c r="FE30" s="13">
        <f>IF('Données projet'!$A$218&gt;35,FE29+FD30-FM29,IF(A30&lt;'Données projet'!$A$218,$FB$205^A30,IF(A30='Données projet'!$A$218,'Données projet'!$B$218,FE29+FD30-FM29)))</f>
        <v>93.40000000000002</v>
      </c>
      <c r="FF30" s="18">
        <f>FE30*VLOOKUP('Données projet'!$B$16,Paramètres!$A$1:$I$89,3,0)*VLOOKUP('Données projet'!$B$16,Paramètres!$A$1:$I$89,5,0)</f>
        <v>62.652720000000009</v>
      </c>
      <c r="FG30" s="14">
        <f t="shared" si="47"/>
        <v>17.837261824603328</v>
      </c>
      <c r="FH30" s="22">
        <f t="shared" si="22"/>
        <v>140.18671834451746</v>
      </c>
      <c r="FI30" s="62">
        <f t="shared" si="23"/>
        <v>429.85338501118417</v>
      </c>
      <c r="FJ30" s="62">
        <f ca="1">AVERAGE(OFFSET($FI$3,0,0,'Données projet'!$E$16+1,1))-AVERAGE(OFFSET($H$3,0,0,'Données projet'!$E$16+1,1))</f>
        <v>335.83558218229564</v>
      </c>
      <c r="FK30" s="62">
        <f t="shared" si="48"/>
        <v>217.08423061559648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0</v>
      </c>
      <c r="FR30" s="23">
        <f>EXP(-LN(2)/25)*FR29+(1-EXP(-LN(2)/25))/(LN(2)/25)*Calculateur!FM30*Calculateur!FO30*VLOOKUP('Données projet'!$B$16,Paramètres!$A$1:$I$89,3,0)*0.475*44/12</f>
        <v>3.110996784241173</v>
      </c>
      <c r="FS30" s="23">
        <f>EXP(-LN(2)/2)*FS29+(1-EXP(-LN(2)/2))/(LN(2)/2)*FM30*FP30*VLOOKUP('Données projet'!$B$16,Paramètres!$A$1:$I$89,3,0)*0.475*44/12</f>
        <v>6.2025949723094849</v>
      </c>
      <c r="FT30" s="24">
        <f t="shared" si="24"/>
        <v>9.3135917565506574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13</v>
      </c>
      <c r="N31" s="14">
        <f>IF('Données projet'!$A$36&gt;35,N30+M31-V30,IF(A31&lt;'Données projet'!$A$36,$K$205^A31,IF(A31='Données projet'!$A$36,'Données projet'!$B$36,N30+M31-V30)))</f>
        <v>158.00000000000003</v>
      </c>
      <c r="O31" s="14">
        <f>N31*VLOOKUP('Données projet'!$B$9,Paramètres!$A$1:$I$89,3,0)*VLOOKUP('Données projet'!$B$9,Paramètres!$A$1:$I$89,5,0)</f>
        <v>138.02880000000005</v>
      </c>
      <c r="P31" s="14">
        <f t="shared" si="33"/>
        <v>35.845059256813073</v>
      </c>
      <c r="Q31" s="22">
        <f t="shared" si="2"/>
        <v>302.83030487228285</v>
      </c>
      <c r="R31" s="62">
        <f t="shared" si="0"/>
        <v>593.71919376117171</v>
      </c>
      <c r="S31" s="62">
        <f ca="1">AVERAGE(OFFSET($R$3,0,0,'Données projet'!$E$9+1,1))-AVERAGE(OFFSET($H$3,0,0,'Données projet'!$E$9+1,1))</f>
        <v>321.23599968992932</v>
      </c>
      <c r="T31" s="62">
        <f t="shared" si="34"/>
        <v>388.05195847800502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15.497629294470238</v>
      </c>
      <c r="AB31" s="23">
        <f>EXP(-LN(2)/2)*AB30+(1-EXP(-LN(2)/2))/(LN(2)/2)*V31*Y31*VLOOKUP('Données projet'!$B$9,Paramètres!$A$1:$I$89,3,0)*0.475*44/12</f>
        <v>7.5188842018140534</v>
      </c>
      <c r="AC31" s="24">
        <f t="shared" si="3"/>
        <v>23.01651349628429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9.1999999999999993</v>
      </c>
      <c r="AI31" s="14">
        <f>IF('Données projet'!$A$62&gt;35,AI30+AH31-AQ30,IF(A31&lt;'Données projet'!$A$62,$AF$205^A31,IF(A31='Données projet'!$A$62,'Données projet'!$B$62,AI30+AH31-AQ30)))</f>
        <v>102.60000000000002</v>
      </c>
      <c r="AJ31" s="14">
        <f>AI31*VLOOKUP('Données projet'!$B$10,Paramètres!$A$1:$I$89,3,0)*VLOOKUP('Données projet'!$B$10,Paramètres!$A$1:$I$89,5,0)</f>
        <v>92.832480000000018</v>
      </c>
      <c r="AK31" s="14">
        <f t="shared" si="35"/>
        <v>25.247114117480137</v>
      </c>
      <c r="AL31" s="22">
        <f t="shared" si="4"/>
        <v>205.65529308794461</v>
      </c>
      <c r="AM31" s="62">
        <f t="shared" si="5"/>
        <v>496.54418197683344</v>
      </c>
      <c r="AN31" s="62">
        <f ca="1">AVERAGE(OFFSET($AM$3,0,0,'Données projet'!$E$10+1,1))-AVERAGE(OFFSET($H$3,0,0,'Données projet'!$E$10+1,1))</f>
        <v>439.19854273764042</v>
      </c>
      <c r="AO31" s="62">
        <f t="shared" si="36"/>
        <v>278.21741231699929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3.3113911695736129</v>
      </c>
      <c r="AW31" s="23">
        <f>EXP(-LN(2)/2)*AW30+(1-EXP(-LN(2)/2))/(LN(2)/2)*AQ31*AT31*VLOOKUP('Données projet'!$B$10,Paramètres!$A$1:$I$89,3,0)*0.475*44/12</f>
        <v>5.9158610237365155</v>
      </c>
      <c r="AX31" s="23">
        <f t="shared" si="6"/>
        <v>9.2272521933101288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14.2</v>
      </c>
      <c r="BD31" s="13">
        <f>IF('Données projet'!$A$88&gt;35,BD30+BC31-BL30,IF(A31&lt;'Données projet'!$A$88,$BA$205^A31,IF(A31='Données projet'!$A$88,'Données projet'!$B$88,BD30+BC31-BL30)))</f>
        <v>147.59999999999994</v>
      </c>
      <c r="BE31" s="14">
        <f>BD31*VLOOKUP('Données projet'!$B$11,Paramètres!$A$1:$I$89,3,0)*VLOOKUP('Données projet'!$B$11,Paramètres!$A$1:$I$89,5,0)</f>
        <v>117.43055999999996</v>
      </c>
      <c r="BF31" s="14">
        <f t="shared" si="37"/>
        <v>31.074966780724086</v>
      </c>
      <c r="BG31" s="22">
        <f t="shared" si="7"/>
        <v>258.64712580976101</v>
      </c>
      <c r="BH31" s="62">
        <f t="shared" si="8"/>
        <v>549.53601469864986</v>
      </c>
      <c r="BI31" s="62">
        <f ca="1">AVERAGE(OFFSET($BH$3,0,0,'Données projet'!$E$11+1,1))-AVERAGE(OFFSET($H$3,0,0,'Données projet'!$E$11+1,1))</f>
        <v>352.88510024787888</v>
      </c>
      <c r="BJ31" s="62">
        <f t="shared" si="38"/>
        <v>343.77208530767069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12.991478388248208</v>
      </c>
      <c r="BR31" s="23">
        <f>EXP(-LN(2)/2)*BR30+(1-EXP(-LN(2)/2))/(LN(2)/2)*BL31*BO31*VLOOKUP('Données projet'!$B$11,Paramètres!$A$1:$I$89,3,0)*0.475*44/12</f>
        <v>0.78953722580493535</v>
      </c>
      <c r="BS31" s="24">
        <f t="shared" si="9"/>
        <v>13.781015614053143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14.2</v>
      </c>
      <c r="BY31" s="13">
        <f>IF('Données projet'!$A$114&gt;35,BY30+BX31-CG30,IF(A31&lt;'Données projet'!$A$114,$BV$205^A31,IF(A31='Données projet'!$A$114,'Données projet'!$B$114,BY30+BX31-CG30)))</f>
        <v>147.59999999999994</v>
      </c>
      <c r="BZ31" s="14">
        <f>BY31*VLOOKUP('Données projet'!$B$12,Paramètres!$A$1:$I$89,3,0)*VLOOKUP('Données projet'!$B$12,Paramètres!$A$1:$I$89,5,0)</f>
        <v>108.22031999999996</v>
      </c>
      <c r="CA31" s="14">
        <f t="shared" si="39"/>
        <v>28.911280861653452</v>
      </c>
      <c r="CB31" s="22">
        <f t="shared" si="10"/>
        <v>238.83753816737965</v>
      </c>
      <c r="CC31" s="62">
        <f t="shared" si="11"/>
        <v>529.72642705626845</v>
      </c>
      <c r="CD31" s="62">
        <f ca="1">AVERAGE(OFFSET($CC$3,0,0,'Données projet'!$E$12+1,1))-AVERAGE(OFFSET($H$3,0,0,'Données projet'!$E$12+1,1))</f>
        <v>328.10411227536315</v>
      </c>
      <c r="CE31" s="62">
        <f t="shared" si="40"/>
        <v>320.24200483294322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9.4455188692065963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9.4455188692065963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11.5</v>
      </c>
      <c r="CT31" s="13">
        <f>IF('Données projet'!$A$140&gt;35,CT30+CS31-DB30,IF(A31&lt;'Données projet'!$A$140,$CQ$205^A31,IF(A31='Données projet'!$A$140,'Données projet'!$B$140,CT30+CS31-DB30)))</f>
        <v>120.49999999999996</v>
      </c>
      <c r="CU31" s="18">
        <f>CT31*VLOOKUP('Données projet'!$B$13,Paramètres!$A$1:$I$89,3,0)*VLOOKUP('Données projet'!$B$13,Paramètres!$A$1:$I$89,5,0)</f>
        <v>93.989999999999966</v>
      </c>
      <c r="CV31" s="14">
        <f t="shared" si="41"/>
        <v>25.525074036970054</v>
      </c>
      <c r="CW31" s="22">
        <f t="shared" si="13"/>
        <v>208.15542061438944</v>
      </c>
      <c r="CX31" s="62">
        <f t="shared" si="14"/>
        <v>499.04430950327833</v>
      </c>
      <c r="CY31" s="62">
        <f ca="1">AVERAGE(OFFSET($CX$3,0,0,'Données projet'!$E$13+1,1))-AVERAGE(OFFSET($H$3,0,0,'Données projet'!$E$13+1,1))</f>
        <v>288.82868507674738</v>
      </c>
      <c r="CZ31" s="62">
        <f t="shared" si="42"/>
        <v>283.48738729114024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2.8300402773599291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2.8300402773599291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9.1999999999999993</v>
      </c>
      <c r="DO31" s="13">
        <f>IF('Données projet'!$A$166&gt;35,DO30+DN31-DW30,IF(A31&lt;'Données projet'!$A$166,$DL$205^A31,IF(A31='Données projet'!$A$166,'Données projet'!$B$166,DO30+DN31-DW30)))</f>
        <v>102.60000000000002</v>
      </c>
      <c r="DP31" s="18">
        <f>DO31*VLOOKUP('Données projet'!$B$14,Paramètres!$A$1:$I$89,3,0)*VLOOKUP('Données projet'!$B$14,Paramètres!$A$1:$I$89,5,0)</f>
        <v>104.03640000000003</v>
      </c>
      <c r="DQ31" s="14">
        <f t="shared" si="43"/>
        <v>27.921388397820998</v>
      </c>
      <c r="DR31" s="22">
        <f t="shared" si="16"/>
        <v>229.82648145953826</v>
      </c>
      <c r="DS31" s="62">
        <f t="shared" si="17"/>
        <v>520.71537034842709</v>
      </c>
      <c r="DT31" s="62">
        <f ca="1">AVERAGE(OFFSET($DS$3,0,0,'Données projet'!$E$14+1,1))-AVERAGE(OFFSET($H$3,0,0,'Données projet'!$E$14+1,1))</f>
        <v>487.04124684635974</v>
      </c>
      <c r="DU31" s="62">
        <f t="shared" si="44"/>
        <v>306.61893266146666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9.1999999999999993</v>
      </c>
      <c r="EJ31" s="13">
        <f>IF('Données projet'!$A$192&gt;35,EJ30+EI31-ER30,IF(A31&lt;'Données projet'!$A$192,$EG$205^A31,IF(A31='Données projet'!$A$192,'Données projet'!$B$192,EJ30+EI31-ER30)))</f>
        <v>102.60000000000002</v>
      </c>
      <c r="EK31" s="18">
        <f>EJ31*VLOOKUP('Données projet'!$B$15,Paramètres!$A$1:$I$89,3,0)*VLOOKUP('Données projet'!$B$15,Paramètres!$A$1:$I$89,5,0)</f>
        <v>97.634160000000023</v>
      </c>
      <c r="EL31" s="14">
        <f t="shared" si="45"/>
        <v>26.397585802010184</v>
      </c>
      <c r="EM31" s="22">
        <f t="shared" si="19"/>
        <v>216.02195727183445</v>
      </c>
      <c r="EN31" s="62">
        <f t="shared" si="20"/>
        <v>506.91084616072328</v>
      </c>
      <c r="EO31" s="62">
        <f ca="1">AVERAGE(OFFSET($EN$3,0,0,'Données projet'!$E$15+1,1))-AVERAGE(OFFSET($H$3,0,0,'Données projet'!$E$15+1,1))</f>
        <v>459.64120566196812</v>
      </c>
      <c r="EP31" s="62">
        <f t="shared" si="46"/>
        <v>290.39826583283588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9.1999999999999993</v>
      </c>
      <c r="FE31" s="13">
        <f>IF('Données projet'!$A$218&gt;35,FE30+FD31-FM30,IF(A31&lt;'Données projet'!$A$218,$FB$205^A31,IF(A31='Données projet'!$A$218,'Données projet'!$B$218,FE30+FD31-FM30)))</f>
        <v>102.60000000000002</v>
      </c>
      <c r="FF31" s="18">
        <f>FE31*VLOOKUP('Données projet'!$B$16,Paramètres!$A$1:$I$89,3,0)*VLOOKUP('Données projet'!$B$16,Paramètres!$A$1:$I$89,5,0)</f>
        <v>68.824080000000023</v>
      </c>
      <c r="FG31" s="14">
        <f t="shared" si="47"/>
        <v>19.381147881506788</v>
      </c>
      <c r="FH31" s="22">
        <f t="shared" si="22"/>
        <v>153.62410522695768</v>
      </c>
      <c r="FI31" s="62">
        <f t="shared" si="23"/>
        <v>444.51299411584654</v>
      </c>
      <c r="FJ31" s="62">
        <f ca="1">AVERAGE(OFFSET($FI$3,0,0,'Données projet'!$E$16+1,1))-AVERAGE(OFFSET($H$3,0,0,'Données projet'!$E$16+1,1))</f>
        <v>335.83558218229564</v>
      </c>
      <c r="FK31" s="62">
        <f t="shared" si="48"/>
        <v>217.08423061559648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0</v>
      </c>
      <c r="FR31" s="23">
        <f>EXP(-LN(2)/25)*FR30+(1-EXP(-LN(2)/25))/(LN(2)/25)*Calculateur!FM31*Calculateur!FO31*VLOOKUP('Données projet'!$B$16,Paramètres!$A$1:$I$89,3,0)*0.475*44/12</f>
        <v>3.0259264135758874</v>
      </c>
      <c r="FS31" s="23">
        <f>EXP(-LN(2)/2)*FS30+(1-EXP(-LN(2)/2))/(LN(2)/2)*FM31*FP31*VLOOKUP('Données projet'!$B$16,Paramètres!$A$1:$I$89,3,0)*0.475*44/12</f>
        <v>4.3858969658736227</v>
      </c>
      <c r="FT31" s="24">
        <f t="shared" si="24"/>
        <v>7.4118233794495101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13</v>
      </c>
      <c r="N32" s="14">
        <f>IF('Données projet'!$A$36&gt;35,N31+M32-V31,IF(A32&lt;'Données projet'!$A$36,$K$205^A32,IF(A32='Données projet'!$A$36,'Données projet'!$B$36,N31+M32-V31)))</f>
        <v>171.00000000000003</v>
      </c>
      <c r="O32" s="14">
        <f>N32*VLOOKUP('Données projet'!$B$9,Paramètres!$A$1:$I$89,3,0)*VLOOKUP('Données projet'!$B$9,Paramètres!$A$1:$I$89,5,0)</f>
        <v>149.38560000000004</v>
      </c>
      <c r="P32" s="14">
        <f t="shared" si="33"/>
        <v>38.438927680599591</v>
      </c>
      <c r="Q32" s="22">
        <f t="shared" si="2"/>
        <v>327.12771904371101</v>
      </c>
      <c r="R32" s="62">
        <f t="shared" si="0"/>
        <v>619.23883015482215</v>
      </c>
      <c r="S32" s="62">
        <f ca="1">AVERAGE(OFFSET($R$3,0,0,'Données projet'!$E$9+1,1))-AVERAGE(OFFSET($H$3,0,0,'Données projet'!$E$9+1,1))</f>
        <v>321.23599968992932</v>
      </c>
      <c r="T32" s="62">
        <f t="shared" si="34"/>
        <v>388.05195847800502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15.073845806428045</v>
      </c>
      <c r="AB32" s="23">
        <f>EXP(-LN(2)/2)*AB31+(1-EXP(-LN(2)/2))/(LN(2)/2)*V32*Y32*VLOOKUP('Données projet'!$B$9,Paramètres!$A$1:$I$89,3,0)*0.475*44/12</f>
        <v>5.3166540060591192</v>
      </c>
      <c r="AC32" s="24">
        <f t="shared" si="3"/>
        <v>20.390499812487164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9.1999999999999993</v>
      </c>
      <c r="AI32" s="14">
        <f>IF('Données projet'!$A$62&gt;35,AI31+AH32-AQ31,IF(A32&lt;'Données projet'!$A$62,$AF$205^A32,IF(A32='Données projet'!$A$62,'Données projet'!$B$62,AI31+AH32-AQ31)))</f>
        <v>111.80000000000003</v>
      </c>
      <c r="AJ32" s="14">
        <f>AI32*VLOOKUP('Données projet'!$B$10,Paramètres!$A$1:$I$89,3,0)*VLOOKUP('Données projet'!$B$10,Paramètres!$A$1:$I$89,5,0)</f>
        <v>101.15664000000001</v>
      </c>
      <c r="AK32" s="14">
        <f t="shared" si="35"/>
        <v>27.237366379381644</v>
      </c>
      <c r="AL32" s="22">
        <f t="shared" si="4"/>
        <v>223.61956111075639</v>
      </c>
      <c r="AM32" s="62">
        <f t="shared" si="5"/>
        <v>515.73067222186751</v>
      </c>
      <c r="AN32" s="62">
        <f ca="1">AVERAGE(OFFSET($AM$3,0,0,'Données projet'!$E$10+1,1))-AVERAGE(OFFSET($H$3,0,0,'Données projet'!$E$10+1,1))</f>
        <v>439.19854273764042</v>
      </c>
      <c r="AO32" s="62">
        <f t="shared" si="36"/>
        <v>278.21741231699929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3.220841003903129</v>
      </c>
      <c r="AW32" s="23">
        <f>EXP(-LN(2)/2)*AW31+(1-EXP(-LN(2)/2))/(LN(2)/2)*AQ32*AT32*VLOOKUP('Données projet'!$B$10,Paramètres!$A$1:$I$89,3,0)*0.475*44/12</f>
        <v>4.1831454464412818</v>
      </c>
      <c r="AX32" s="23">
        <f t="shared" si="6"/>
        <v>7.4039864503444104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14.2</v>
      </c>
      <c r="BD32" s="13">
        <f>IF('Données projet'!$A$88&gt;35,BD31+BC32-BL31,IF(A32&lt;'Données projet'!$A$88,$BA$205^A32,IF(A32='Données projet'!$A$88,'Données projet'!$B$88,BD31+BC32-BL31)))</f>
        <v>161.79999999999993</v>
      </c>
      <c r="BE32" s="14">
        <f>BD32*VLOOKUP('Données projet'!$B$11,Paramètres!$A$1:$I$89,3,0)*VLOOKUP('Données projet'!$B$11,Paramètres!$A$1:$I$89,5,0)</f>
        <v>128.72807999999995</v>
      </c>
      <c r="BF32" s="14">
        <f t="shared" si="37"/>
        <v>33.702287995285367</v>
      </c>
      <c r="BG32" s="22">
        <f t="shared" si="7"/>
        <v>282.89955759178855</v>
      </c>
      <c r="BH32" s="62">
        <f t="shared" si="8"/>
        <v>575.01066870289969</v>
      </c>
      <c r="BI32" s="62">
        <f ca="1">AVERAGE(OFFSET($BH$3,0,0,'Données projet'!$E$11+1,1))-AVERAGE(OFFSET($H$3,0,0,'Données projet'!$E$11+1,1))</f>
        <v>352.88510024787888</v>
      </c>
      <c r="BJ32" s="62">
        <f t="shared" si="38"/>
        <v>343.77208530767069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12.636225728529405</v>
      </c>
      <c r="BR32" s="23">
        <f>EXP(-LN(2)/2)*BR31+(1-EXP(-LN(2)/2))/(LN(2)/2)*BL32*BO32*VLOOKUP('Données projet'!$B$11,Paramètres!$A$1:$I$89,3,0)*0.475*44/12</f>
        <v>0.55828712636588418</v>
      </c>
      <c r="BS32" s="24">
        <f t="shared" si="9"/>
        <v>13.19451285489529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14.2</v>
      </c>
      <c r="BY32" s="13">
        <f>IF('Données projet'!$A$114&gt;35,BY31+BX32-CG31,IF(A32&lt;'Données projet'!$A$114,$BV$205^A32,IF(A32='Données projet'!$A$114,'Données projet'!$B$114,BY31+BX32-CG31)))</f>
        <v>161.79999999999993</v>
      </c>
      <c r="BZ32" s="14">
        <f>BY32*VLOOKUP('Données projet'!$B$12,Paramètres!$A$1:$I$89,3,0)*VLOOKUP('Données projet'!$B$12,Paramètres!$A$1:$I$89,5,0)</f>
        <v>118.63175999999994</v>
      </c>
      <c r="CA32" s="14">
        <f t="shared" si="39"/>
        <v>31.355667112617319</v>
      </c>
      <c r="CB32" s="22">
        <f t="shared" si="10"/>
        <v>261.22810222114174</v>
      </c>
      <c r="CC32" s="62">
        <f t="shared" si="11"/>
        <v>553.33921333225294</v>
      </c>
      <c r="CD32" s="62">
        <f ca="1">AVERAGE(OFFSET($CC$3,0,0,'Données projet'!$E$12+1,1))-AVERAGE(OFFSET($H$3,0,0,'Données projet'!$E$12+1,1))</f>
        <v>328.10411227536315</v>
      </c>
      <c r="CE32" s="62">
        <f t="shared" si="40"/>
        <v>320.24200483294322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9.2602980053790933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9.2602980053790933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11.5</v>
      </c>
      <c r="CT32" s="13">
        <f>IF('Données projet'!$A$140&gt;35,CT31+CS32-DB31,IF(A32&lt;'Données projet'!$A$140,$CQ$205^A32,IF(A32='Données projet'!$A$140,'Données projet'!$B$140,CT31+CS32-DB31)))</f>
        <v>131.99999999999994</v>
      </c>
      <c r="CU32" s="18">
        <f>CT32*VLOOKUP('Données projet'!$B$13,Paramètres!$A$1:$I$89,3,0)*VLOOKUP('Données projet'!$B$13,Paramètres!$A$1:$I$89,5,0)</f>
        <v>102.95999999999997</v>
      </c>
      <c r="CV32" s="14">
        <f t="shared" si="41"/>
        <v>27.665975080374633</v>
      </c>
      <c r="CW32" s="22">
        <f t="shared" si="13"/>
        <v>227.50690659831903</v>
      </c>
      <c r="CX32" s="62">
        <f t="shared" si="14"/>
        <v>519.61801770943021</v>
      </c>
      <c r="CY32" s="62">
        <f ca="1">AVERAGE(OFFSET($CX$3,0,0,'Données projet'!$E$13+1,1))-AVERAGE(OFFSET($H$3,0,0,'Données projet'!$E$13+1,1))</f>
        <v>288.82868507674738</v>
      </c>
      <c r="CZ32" s="62">
        <f t="shared" si="42"/>
        <v>283.48738729114024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2.7745449136750264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2.7745449136750264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9.1999999999999993</v>
      </c>
      <c r="DO32" s="13">
        <f>IF('Données projet'!$A$166&gt;35,DO31+DN32-DW31,IF(A32&lt;'Données projet'!$A$166,$DL$205^A32,IF(A32='Données projet'!$A$166,'Données projet'!$B$166,DO31+DN32-DW31)))</f>
        <v>111.80000000000003</v>
      </c>
      <c r="DP32" s="18">
        <f>DO32*VLOOKUP('Données projet'!$B$14,Paramètres!$A$1:$I$89,3,0)*VLOOKUP('Données projet'!$B$14,Paramètres!$A$1:$I$89,5,0)</f>
        <v>113.36520000000003</v>
      </c>
      <c r="DQ32" s="14">
        <f t="shared" si="43"/>
        <v>30.122456058687614</v>
      </c>
      <c r="DR32" s="22">
        <f t="shared" si="16"/>
        <v>249.9076676355476</v>
      </c>
      <c r="DS32" s="62">
        <f t="shared" si="17"/>
        <v>542.01877874665877</v>
      </c>
      <c r="DT32" s="62">
        <f ca="1">AVERAGE(OFFSET($DS$3,0,0,'Données projet'!$E$14+1,1))-AVERAGE(OFFSET($H$3,0,0,'Données projet'!$E$14+1,1))</f>
        <v>487.04124684635974</v>
      </c>
      <c r="DU32" s="62">
        <f t="shared" si="44"/>
        <v>306.61893266146666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9.1999999999999993</v>
      </c>
      <c r="EJ32" s="13">
        <f>IF('Données projet'!$A$192&gt;35,EJ31+EI32-ER31,IF(A32&lt;'Données projet'!$A$192,$EG$205^A32,IF(A32='Données projet'!$A$192,'Données projet'!$B$192,EJ31+EI32-ER31)))</f>
        <v>111.80000000000003</v>
      </c>
      <c r="EK32" s="18">
        <f>EJ32*VLOOKUP('Données projet'!$B$15,Paramètres!$A$1:$I$89,3,0)*VLOOKUP('Données projet'!$B$15,Paramètres!$A$1:$I$89,5,0)</f>
        <v>106.38888000000001</v>
      </c>
      <c r="EL32" s="14">
        <f t="shared" si="45"/>
        <v>28.478530760975403</v>
      </c>
      <c r="EM32" s="22">
        <f t="shared" si="19"/>
        <v>234.89407374203219</v>
      </c>
      <c r="EN32" s="62">
        <f t="shared" si="20"/>
        <v>527.00518485314331</v>
      </c>
      <c r="EO32" s="62">
        <f ca="1">AVERAGE(OFFSET($EN$3,0,0,'Données projet'!$E$15+1,1))-AVERAGE(OFFSET($H$3,0,0,'Données projet'!$E$15+1,1))</f>
        <v>459.64120566196812</v>
      </c>
      <c r="EP32" s="62">
        <f t="shared" si="46"/>
        <v>290.39826583283588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9.1999999999999993</v>
      </c>
      <c r="FE32" s="13">
        <f>IF('Données projet'!$A$218&gt;35,FE31+FD32-FM31,IF(A32&lt;'Données projet'!$A$218,$FB$205^A32,IF(A32='Données projet'!$A$218,'Données projet'!$B$218,FE31+FD32-FM31)))</f>
        <v>111.80000000000003</v>
      </c>
      <c r="FF32" s="18">
        <f>FE32*VLOOKUP('Données projet'!$B$16,Paramètres!$A$1:$I$89,3,0)*VLOOKUP('Données projet'!$B$16,Paramètres!$A$1:$I$89,5,0)</f>
        <v>74.995440000000016</v>
      </c>
      <c r="FG32" s="14">
        <f t="shared" si="47"/>
        <v>20.908980854017098</v>
      </c>
      <c r="FH32" s="22">
        <f t="shared" si="22"/>
        <v>167.03353298741314</v>
      </c>
      <c r="FI32" s="62">
        <f t="shared" si="23"/>
        <v>459.14464409852428</v>
      </c>
      <c r="FJ32" s="62">
        <f ca="1">AVERAGE(OFFSET($FI$3,0,0,'Données projet'!$E$16+1,1))-AVERAGE(OFFSET($H$3,0,0,'Données projet'!$E$16+1,1))</f>
        <v>335.83558218229564</v>
      </c>
      <c r="FK32" s="62">
        <f t="shared" si="48"/>
        <v>217.08423061559648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0</v>
      </c>
      <c r="FR32" s="23">
        <f>EXP(-LN(2)/25)*FR31+(1-EXP(-LN(2)/25))/(LN(2)/25)*Calculateur!FM32*Calculateur!FO32*VLOOKUP('Données projet'!$B$16,Paramètres!$A$1:$I$89,3,0)*0.475*44/12</f>
        <v>2.9431822966701007</v>
      </c>
      <c r="FS32" s="23">
        <f>EXP(-LN(2)/2)*FS31+(1-EXP(-LN(2)/2))/(LN(2)/2)*FM32*FP32*VLOOKUP('Données projet'!$B$16,Paramètres!$A$1:$I$89,3,0)*0.475*44/12</f>
        <v>3.1012974861547424</v>
      </c>
      <c r="FT32" s="24">
        <f t="shared" si="24"/>
        <v>6.0444797828248431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184</v>
      </c>
      <c r="L33" s="13">
        <f>VLOOKUP(A33,'Données projet'!$A$35:$I$55,9,0)</f>
        <v>13</v>
      </c>
      <c r="M33" s="13">
        <f t="array" ref="M33">INDEX(L:L,MIN(IF(ISNUMBER(L33:L229),ROW(L33:L229),"")))</f>
        <v>13</v>
      </c>
      <c r="N33" s="14">
        <f>IF('Données projet'!$A$36&gt;35,N32+M33-V32,IF(A33&lt;'Données projet'!$A$36,$K$205^A33,IF(A33='Données projet'!$A$36,'Données projet'!$B$36,N32+M33-V32)))</f>
        <v>184.00000000000003</v>
      </c>
      <c r="O33" s="14">
        <f>N33*VLOOKUP('Données projet'!$B$9,Paramètres!$A$1:$I$89,3,0)*VLOOKUP('Données projet'!$B$9,Paramètres!$A$1:$I$89,5,0)</f>
        <v>160.74240000000003</v>
      </c>
      <c r="P33" s="14">
        <f t="shared" si="33"/>
        <v>41.009920657227809</v>
      </c>
      <c r="Q33" s="22">
        <f t="shared" si="2"/>
        <v>351.38529181133845</v>
      </c>
      <c r="R33" s="62">
        <f t="shared" si="0"/>
        <v>644.71862514467171</v>
      </c>
      <c r="S33" s="62">
        <f ca="1">AVERAGE(OFFSET($R$3,0,0,'Données projet'!$E$9+1,1))-AVERAGE(OFFSET($H$3,0,0,'Données projet'!$E$9+1,1))</f>
        <v>321.23599968992932</v>
      </c>
      <c r="T33" s="62">
        <f t="shared" si="34"/>
        <v>388.05195847800502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44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0.25800000000000001</v>
      </c>
      <c r="Y33" s="17">
        <f>IF(ISNA(VLOOKUP(A33,'Données projet'!$A$35:$I$55,7,0)),0%,VLOOKUP(A33,'Données projet'!$A$35:$I$55,7,0))</f>
        <v>0.4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25.581553183408012</v>
      </c>
      <c r="AB33" s="23">
        <f>EXP(-LN(2)/2)*AB32+(1-EXP(-LN(2)/2))/(LN(2)/2)*V33*Y33*VLOOKUP('Données projet'!$B$9,Paramètres!$A$1:$I$89,3,0)*0.475*44/12</f>
        <v>18.266508082654131</v>
      </c>
      <c r="AC33" s="24">
        <f t="shared" si="3"/>
        <v>43.848061266062146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121</v>
      </c>
      <c r="AG33" s="13">
        <f>VLOOKUP(A33,'Données projet'!$A$61:$I$81,9,0)</f>
        <v>9.1999999999999993</v>
      </c>
      <c r="AH33" s="13">
        <f t="array" ref="AH33">INDEX(AG:AG,MIN(IF(ISNUMBER(AG33:AG229),ROW(AG33:AG229),"")))</f>
        <v>9.1999999999999993</v>
      </c>
      <c r="AI33" s="14">
        <f>IF('Données projet'!$A$62&gt;35,AI32+AH33-AQ32,IF(A33&lt;'Données projet'!$A$62,$AF$205^A33,IF(A33='Données projet'!$A$62,'Données projet'!$B$62,AI32+AH33-AQ32)))</f>
        <v>121.00000000000003</v>
      </c>
      <c r="AJ33" s="14">
        <f>AI33*VLOOKUP('Données projet'!$B$10,Paramètres!$A$1:$I$89,3,0)*VLOOKUP('Données projet'!$B$10,Paramètres!$A$1:$I$89,5,0)</f>
        <v>109.48080000000002</v>
      </c>
      <c r="AK33" s="14">
        <f t="shared" si="35"/>
        <v>29.208623339903898</v>
      </c>
      <c r="AL33" s="22">
        <f t="shared" si="4"/>
        <v>241.55074565033269</v>
      </c>
      <c r="AM33" s="62">
        <f t="shared" si="5"/>
        <v>534.88407898366597</v>
      </c>
      <c r="AN33" s="62">
        <f ca="1">AVERAGE(OFFSET($AM$3,0,0,'Données projet'!$E$10+1,1))-AVERAGE(OFFSET($H$3,0,0,'Données projet'!$E$10+1,1))</f>
        <v>439.19854273764042</v>
      </c>
      <c r="AO33" s="62">
        <f t="shared" si="36"/>
        <v>278.21741231699929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28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0.215</v>
      </c>
      <c r="AT33" s="17">
        <f>IF(ISNA(VLOOKUP(A33,'Données projet'!$A$61:$I$81,7,0)),0%,VLOOKUP(A33,'Données projet'!$A$61:$I$81,7,0))</f>
        <v>0.5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9.1304406496690369</v>
      </c>
      <c r="AW33" s="23">
        <f>EXP(-LN(2)/2)*AW32+(1-EXP(-LN(2)/2))/(LN(2)/2)*AQ33*AT33*VLOOKUP('Données projet'!$B$10,Paramètres!$A$1:$I$89,3,0)*0.475*44/12</f>
        <v>14.909774644557633</v>
      </c>
      <c r="AX33" s="23">
        <f t="shared" si="6"/>
        <v>24.04021529422667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176</v>
      </c>
      <c r="BB33" s="13">
        <f>VLOOKUP(A33,'Données projet'!$A$87:$I$107,9,0)</f>
        <v>14.2</v>
      </c>
      <c r="BC33" s="13">
        <f t="array" ref="BC33">INDEX(BB:BB,MIN(IF(ISNUMBER(BB33:BB229),ROW(BB33:BB229),"")))</f>
        <v>14.2</v>
      </c>
      <c r="BD33" s="13">
        <f>IF('Données projet'!$A$88&gt;35,BD32+BC33-BL32,IF(A33&lt;'Données projet'!$A$88,$BA$205^A33,IF(A33='Données projet'!$A$88,'Données projet'!$B$88,BD32+BC33-BL32)))</f>
        <v>175.99999999999991</v>
      </c>
      <c r="BE33" s="14">
        <f>BD33*VLOOKUP('Données projet'!$B$11,Paramètres!$A$1:$I$89,3,0)*VLOOKUP('Données projet'!$B$11,Paramètres!$A$1:$I$89,5,0)</f>
        <v>140.02559999999994</v>
      </c>
      <c r="BF33" s="14">
        <f t="shared" si="37"/>
        <v>36.302870033112463</v>
      </c>
      <c r="BG33" s="22">
        <f t="shared" si="7"/>
        <v>307.10541864100406</v>
      </c>
      <c r="BH33" s="62">
        <f t="shared" si="8"/>
        <v>600.43875197433738</v>
      </c>
      <c r="BI33" s="62">
        <f ca="1">AVERAGE(OFFSET($BH$3,0,0,'Données projet'!$E$11+1,1))-AVERAGE(OFFSET($H$3,0,0,'Données projet'!$E$11+1,1))</f>
        <v>352.88510024787888</v>
      </c>
      <c r="BJ33" s="62">
        <f t="shared" si="38"/>
        <v>343.77208530767069</v>
      </c>
      <c r="BK33" s="16">
        <f>IF(ISNA(VLOOKUP(A33,'Données projet'!$A$87:$I$107,3,0)),0,VLOOKUP(A33,'Données projet'!$A$87:$I$107,3,0))</f>
        <v>5</v>
      </c>
      <c r="BL33" s="16">
        <f>IF(ISNA(VLOOKUP(A33,'Données projet'!$A$87:$I$107,4,0)),0,VLOOKUP(A33,'Données projet'!$A$87:$I$107,4,0))</f>
        <v>35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12.290687471472538</v>
      </c>
      <c r="BR33" s="23">
        <f>EXP(-LN(2)/2)*BR32+(1-EXP(-LN(2)/2))/(LN(2)/2)*BL33*BO33*VLOOKUP('Données projet'!$B$11,Paramètres!$A$1:$I$89,3,0)*0.475*44/12</f>
        <v>0.39476861290246767</v>
      </c>
      <c r="BS33" s="24">
        <f t="shared" si="9"/>
        <v>12.685456084375005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176</v>
      </c>
      <c r="BW33" s="13">
        <f>VLOOKUP(A33,'Données projet'!$A$113:$I$133,9,0)</f>
        <v>14.2</v>
      </c>
      <c r="BX33" s="13">
        <f t="array" ref="BX33">INDEX(BW:BW,MIN(IF(ISNUMBER(BW33:BW229),ROW(BW33:BW229),"")))</f>
        <v>14.2</v>
      </c>
      <c r="BY33" s="13">
        <f>IF('Données projet'!$A$114&gt;35,BY32+BX33-CG32,IF(A33&lt;'Données projet'!$A$114,$BV$205^A33,IF(A33='Données projet'!$A$114,'Données projet'!$B$114,BY32+BX33-CG32)))</f>
        <v>175.99999999999991</v>
      </c>
      <c r="BZ33" s="14">
        <f>BY33*VLOOKUP('Données projet'!$B$12,Paramètres!$A$1:$I$89,3,0)*VLOOKUP('Données projet'!$B$12,Paramètres!$A$1:$I$89,5,0)</f>
        <v>129.04319999999993</v>
      </c>
      <c r="CA33" s="14">
        <f t="shared" si="39"/>
        <v>33.775175980637393</v>
      </c>
      <c r="CB33" s="22">
        <f t="shared" si="10"/>
        <v>283.57533816627659</v>
      </c>
      <c r="CC33" s="62">
        <f t="shared" si="11"/>
        <v>576.90867149960991</v>
      </c>
      <c r="CD33" s="62">
        <f ca="1">AVERAGE(OFFSET($CC$3,0,0,'Données projet'!$E$12+1,1))-AVERAGE(OFFSET($H$3,0,0,'Données projet'!$E$12+1,1))</f>
        <v>328.10411227536315</v>
      </c>
      <c r="CE33" s="62">
        <f t="shared" si="40"/>
        <v>320.24200483294322</v>
      </c>
      <c r="CF33" s="16">
        <f>IF(ISNA(VLOOKUP(A33,'Données projet'!$A$113:$I$133,3,0)),0,VLOOKUP(A33,'Données projet'!$A$113:$I$133,3,0))</f>
        <v>5</v>
      </c>
      <c r="CG33" s="16">
        <f>IF(ISNA(VLOOKUP(A33,'Données projet'!$A$113:$I$133,4,0)),0,VLOOKUP(A33,'Données projet'!$A$113:$I$133,4,0))</f>
        <v>35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9.078709209717676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9.078709209717676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11.5</v>
      </c>
      <c r="CT33" s="13">
        <f>IF('Données projet'!$A$140&gt;35,CT32+CS33-DB32,IF(A33&lt;'Données projet'!$A$140,$CQ$205^A33,IF(A33='Données projet'!$A$140,'Données projet'!$B$140,CT32+CS33-DB32)))</f>
        <v>143.49999999999994</v>
      </c>
      <c r="CU33" s="18">
        <f>CT33*VLOOKUP('Données projet'!$B$13,Paramètres!$A$1:$I$89,3,0)*VLOOKUP('Données projet'!$B$13,Paramètres!$A$1:$I$89,5,0)</f>
        <v>111.92999999999996</v>
      </c>
      <c r="CV33" s="14">
        <f t="shared" si="41"/>
        <v>29.785246291563833</v>
      </c>
      <c r="CW33" s="22">
        <f t="shared" si="13"/>
        <v>246.82072062447358</v>
      </c>
      <c r="CX33" s="62">
        <f t="shared" si="14"/>
        <v>540.15405395780692</v>
      </c>
      <c r="CY33" s="62">
        <f ca="1">AVERAGE(OFFSET($CX$3,0,0,'Données projet'!$E$13+1,1))-AVERAGE(OFFSET($H$3,0,0,'Données projet'!$E$13+1,1))</f>
        <v>288.82868507674738</v>
      </c>
      <c r="CZ33" s="62">
        <f t="shared" si="42"/>
        <v>283.48738729114024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2.7201377802231552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2.7201377802231552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121</v>
      </c>
      <c r="DM33" s="13">
        <f>VLOOKUP(A33,'Données projet'!$A$165:$I$185,9,0)</f>
        <v>9.1999999999999993</v>
      </c>
      <c r="DN33" s="13">
        <f t="array" ref="DN33">INDEX(DM:DM,MIN(IF(ISNUMBER(DM33:DM229),ROW(DM33:DM229),"")))</f>
        <v>9.1999999999999993</v>
      </c>
      <c r="DO33" s="13">
        <f>IF('Données projet'!$A$166&gt;35,DO32+DN33-DW32,IF(A33&lt;'Données projet'!$A$166,$DL$205^A33,IF(A33='Données projet'!$A$166,'Données projet'!$B$166,DO32+DN33-DW32)))</f>
        <v>121.00000000000003</v>
      </c>
      <c r="DP33" s="18">
        <f>DO33*VLOOKUP('Données projet'!$B$14,Paramètres!$A$1:$I$89,3,0)*VLOOKUP('Données projet'!$B$14,Paramètres!$A$1:$I$89,5,0)</f>
        <v>122.69400000000003</v>
      </c>
      <c r="DQ33" s="14">
        <f t="shared" si="43"/>
        <v>32.302516360650685</v>
      </c>
      <c r="DR33" s="22">
        <f t="shared" si="16"/>
        <v>269.95226599480003</v>
      </c>
      <c r="DS33" s="62">
        <f t="shared" si="17"/>
        <v>563.28559932813334</v>
      </c>
      <c r="DT33" s="62">
        <f ca="1">AVERAGE(OFFSET($DS$3,0,0,'Données projet'!$E$14+1,1))-AVERAGE(OFFSET($H$3,0,0,'Données projet'!$E$14+1,1))</f>
        <v>487.04124684635974</v>
      </c>
      <c r="DU33" s="62">
        <f t="shared" si="44"/>
        <v>306.61893266146666</v>
      </c>
      <c r="DV33" s="16">
        <f>IF(ISNA(VLOOKUP(A33,'Données projet'!$A$165:$I$185,3,0)),0,VLOOKUP(A33,'Données projet'!$A$165:$I$185,3,0))</f>
        <v>3</v>
      </c>
      <c r="DW33" s="16">
        <f>IF(ISNA(VLOOKUP(A33,'Données projet'!$A$165:$I$185,4,0)),0,VLOOKUP(A33,'Données projet'!$A$165:$I$185,4,0))</f>
        <v>28</v>
      </c>
      <c r="DX33" s="17">
        <f>IF(ISNA(VLOOKUP(A33,'Données projet'!$A$165:$I$185,5,0)),0%,VLOOKUP(A33,'Données projet'!$A$165:$I$185,5,0)*VLOOKUP('Données projet'!$B$14,Paramètres!$A$1:$I$89,7,0))</f>
        <v>0.129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4.0488604370252386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4.0488604370252386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121</v>
      </c>
      <c r="EH33" s="13">
        <f>VLOOKUP(A33,'Données projet'!$A$191:$I$211,9,0)</f>
        <v>9.1999999999999993</v>
      </c>
      <c r="EI33" s="13">
        <f t="array" ref="EI33">INDEX(EH:EH,MIN(IF(ISNUMBER(EH33:EH229),ROW(EH33:EH229),"")))</f>
        <v>9.1999999999999993</v>
      </c>
      <c r="EJ33" s="13">
        <f>IF('Données projet'!$A$192&gt;35,EJ32+EI33-ER32,IF(A33&lt;'Données projet'!$A$192,$EG$205^A33,IF(A33='Données projet'!$A$192,'Données projet'!$B$192,EJ32+EI33-ER32)))</f>
        <v>121.00000000000003</v>
      </c>
      <c r="EK33" s="18">
        <f>EJ33*VLOOKUP('Données projet'!$B$15,Paramètres!$A$1:$I$89,3,0)*VLOOKUP('Données projet'!$B$15,Paramètres!$A$1:$I$89,5,0)</f>
        <v>115.14360000000003</v>
      </c>
      <c r="EL33" s="14">
        <f t="shared" si="45"/>
        <v>30.539614832250251</v>
      </c>
      <c r="EM33" s="22">
        <f t="shared" si="19"/>
        <v>253.73159916616927</v>
      </c>
      <c r="EN33" s="62">
        <f t="shared" si="20"/>
        <v>547.06493249950256</v>
      </c>
      <c r="EO33" s="62">
        <f ca="1">AVERAGE(OFFSET($EN$3,0,0,'Données projet'!$E$15+1,1))-AVERAGE(OFFSET($H$3,0,0,'Données projet'!$E$15+1,1))</f>
        <v>459.64120566196812</v>
      </c>
      <c r="EP33" s="62">
        <f t="shared" si="46"/>
        <v>290.39826583283588</v>
      </c>
      <c r="EQ33" s="16">
        <f>IF(ISNA(VLOOKUP(A33,'Données projet'!$A$191:$I$211,3,0)),0,VLOOKUP(A33,'Données projet'!$A$191:$I$211,3,0))</f>
        <v>3</v>
      </c>
      <c r="ER33" s="16">
        <f>IF(ISNA(VLOOKUP(A33,'Données projet'!$A$191:$I$211,4,0)),0,VLOOKUP(A33,'Données projet'!$A$191:$I$211,4,0))</f>
        <v>28</v>
      </c>
      <c r="ES33" s="17">
        <f>IF(ISNA(VLOOKUP(A33,'Données projet'!$A$191:$I$211,5,0)),0%,VLOOKUP(A33,'Données projet'!$A$191:$I$211,5,0)*VLOOKUP('Données projet'!$B$15,Paramètres!$A$1:$I$89,7,0))</f>
        <v>0.129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3.7996997947467612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3.7996997947467612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>
        <f>VLOOKUP(A33,'Données projet'!$A$217:$I$237,2,0)</f>
        <v>121</v>
      </c>
      <c r="FC33" s="13">
        <f>VLOOKUP(A33,'Données projet'!$A$217:$I$237,9,0)</f>
        <v>9.1999999999999993</v>
      </c>
      <c r="FD33" s="13">
        <f t="array" ref="FD33">INDEX(FC:FC,MIN(IF(ISNUMBER(FC33:FC229),ROW(FC33:FC229),"")))</f>
        <v>9.1999999999999993</v>
      </c>
      <c r="FE33" s="13">
        <f>IF('Données projet'!$A$218&gt;35,FE32+FD33-FM32,IF(A33&lt;'Données projet'!$A$218,$FB$205^A33,IF(A33='Données projet'!$A$218,'Données projet'!$B$218,FE32+FD33-FM32)))</f>
        <v>121.00000000000003</v>
      </c>
      <c r="FF33" s="18">
        <f>FE33*VLOOKUP('Données projet'!$B$16,Paramètres!$A$1:$I$89,3,0)*VLOOKUP('Données projet'!$B$16,Paramètres!$A$1:$I$89,5,0)</f>
        <v>81.166800000000009</v>
      </c>
      <c r="FG33" s="14">
        <f t="shared" si="47"/>
        <v>22.422231932399924</v>
      </c>
      <c r="FH33" s="22">
        <f t="shared" si="22"/>
        <v>180.41756394892988</v>
      </c>
      <c r="FI33" s="62">
        <f t="shared" si="23"/>
        <v>473.75089728226317</v>
      </c>
      <c r="FJ33" s="62">
        <f ca="1">AVERAGE(OFFSET($FI$3,0,0,'Données projet'!$E$16+1,1))-AVERAGE(OFFSET($H$3,0,0,'Données projet'!$E$16+1,1))</f>
        <v>335.83558218229564</v>
      </c>
      <c r="FK33" s="62">
        <f t="shared" si="48"/>
        <v>217.08423061559648</v>
      </c>
      <c r="FL33" s="16">
        <f>IF(ISNA(VLOOKUP(A33,'Données projet'!$A$217:$I$237,3,0)),0,VLOOKUP(A33,'Données projet'!$A$217:$I$237,3,0))</f>
        <v>3</v>
      </c>
      <c r="FM33" s="16">
        <f>IF(ISNA(VLOOKUP(A33,'Données projet'!$A$217:$I$237,4,0)),0,VLOOKUP(A33,'Données projet'!$A$217:$I$237,4,0))</f>
        <v>28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0.26500000000000001</v>
      </c>
      <c r="FP33" s="17">
        <f>IF(ISNA(VLOOKUP(A33,'Données projet'!$A$217:$I$237,7,0)),0%,VLOOKUP(A33,'Données projet'!$A$217:$I$237,7,0))</f>
        <v>0.5</v>
      </c>
      <c r="FQ33" s="23">
        <f>EXP(-LN(2)/35)*FQ32+(1-EXP(-LN(2)/35))/(LN(2)/35)*FM33*FN33*VLOOKUP('Données projet'!$B$16,Paramètres!$A$1:$I$89,3,0)*0.475*44/12</f>
        <v>0</v>
      </c>
      <c r="FR33" s="23">
        <f>EXP(-LN(2)/25)*FR32+(1-EXP(-LN(2)/25))/(LN(2)/25)*Calculateur!FM33*Calculateur!FO33*VLOOKUP('Données projet'!$B$16,Paramètres!$A$1:$I$89,3,0)*0.475*44/12</f>
        <v>8.3433336971113619</v>
      </c>
      <c r="FS33" s="23">
        <f>EXP(-LN(2)/2)*FS32+(1-EXP(-LN(2)/2))/(LN(2)/2)*FM33*FP33*VLOOKUP('Données projet'!$B$16,Paramètres!$A$1:$I$89,3,0)*0.475*44/12</f>
        <v>11.053798443378934</v>
      </c>
      <c r="FT33" s="24">
        <f t="shared" si="24"/>
        <v>19.397132140490296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12.2</v>
      </c>
      <c r="N34" s="14">
        <f>IF('Données projet'!$A$36&gt;35,N33+M34-V33,IF(A34&lt;'Données projet'!$A$36,$K$205^A34,IF(A34='Données projet'!$A$36,'Données projet'!$B$36,N33+M34-V33)))</f>
        <v>152.20000000000002</v>
      </c>
      <c r="O34" s="14">
        <f>N34*VLOOKUP('Données projet'!$B$9,Paramètres!$A$1:$I$89,3,0)*VLOOKUP('Données projet'!$B$9,Paramètres!$A$1:$I$89,5,0)</f>
        <v>132.96192000000002</v>
      </c>
      <c r="P34" s="14">
        <f t="shared" si="33"/>
        <v>34.679872132599144</v>
      </c>
      <c r="Q34" s="22">
        <f t="shared" si="2"/>
        <v>291.97612129761018</v>
      </c>
      <c r="R34" s="62">
        <f t="shared" si="0"/>
        <v>585.30945463094349</v>
      </c>
      <c r="S34" s="62">
        <f ca="1">AVERAGE(OFFSET($R$3,0,0,'Données projet'!$E$9+1,1))-AVERAGE(OFFSET($H$3,0,0,'Données projet'!$E$9+1,1))</f>
        <v>321.23599968992932</v>
      </c>
      <c r="T34" s="62">
        <f t="shared" si="34"/>
        <v>388.05195847800502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24.882024266332305</v>
      </c>
      <c r="AB34" s="23">
        <f>EXP(-LN(2)/2)*AB33+(1-EXP(-LN(2)/2))/(LN(2)/2)*V34*Y34*VLOOKUP('Données projet'!$B$9,Paramètres!$A$1:$I$89,3,0)*0.475*44/12</f>
        <v>12.916371733843617</v>
      </c>
      <c r="AC34" s="24">
        <f t="shared" si="3"/>
        <v>37.79839600017592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10.8</v>
      </c>
      <c r="AI34" s="14">
        <f>IF('Données projet'!$A$62&gt;35,AI33+AH34-AQ33,IF(A34&lt;'Données projet'!$A$62,$AF$205^A34,IF(A34='Données projet'!$A$62,'Données projet'!$B$62,AI33+AH34-AQ33)))</f>
        <v>103.80000000000004</v>
      </c>
      <c r="AJ34" s="14">
        <f>AI34*VLOOKUP('Données projet'!$B$10,Paramètres!$A$1:$I$89,3,0)*VLOOKUP('Données projet'!$B$10,Paramètres!$A$1:$I$89,5,0)</f>
        <v>93.91824000000004</v>
      </c>
      <c r="AK34" s="14">
        <f t="shared" si="35"/>
        <v>25.507853654186022</v>
      </c>
      <c r="AL34" s="22">
        <f t="shared" si="4"/>
        <v>208.00044644770739</v>
      </c>
      <c r="AM34" s="62">
        <f t="shared" si="5"/>
        <v>501.33377978104068</v>
      </c>
      <c r="AN34" s="62">
        <f ca="1">AVERAGE(OFFSET($AM$3,0,0,'Données projet'!$E$10+1,1))-AVERAGE(OFFSET($H$3,0,0,'Données projet'!$E$10+1,1))</f>
        <v>439.19854273764042</v>
      </c>
      <c r="AO34" s="62">
        <f t="shared" si="36"/>
        <v>278.21741231699929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8.8807682699548316</v>
      </c>
      <c r="AW34" s="23">
        <f>EXP(-LN(2)/2)*AW33+(1-EXP(-LN(2)/2))/(LN(2)/2)*AQ34*AT34*VLOOKUP('Données projet'!$B$10,Paramètres!$A$1:$I$89,3,0)*0.475*44/12</f>
        <v>10.54280275712995</v>
      </c>
      <c r="AX34" s="23">
        <f t="shared" si="6"/>
        <v>19.423571027084783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13</v>
      </c>
      <c r="BD34" s="13">
        <f>IF('Données projet'!$A$88&gt;35,BD33+BC34-BL33,IF(A34&lt;'Données projet'!$A$88,$BA$205^A34,IF(A34='Données projet'!$A$88,'Données projet'!$B$88,BD33+BC34-BL33)))</f>
        <v>153.99999999999991</v>
      </c>
      <c r="BE34" s="14">
        <f>BD34*VLOOKUP('Données projet'!$B$11,Paramètres!$A$1:$I$89,3,0)*VLOOKUP('Données projet'!$B$11,Paramètres!$A$1:$I$89,5,0)</f>
        <v>122.52239999999995</v>
      </c>
      <c r="BF34" s="14">
        <f t="shared" si="37"/>
        <v>32.26259352430629</v>
      </c>
      <c r="BG34" s="22">
        <f t="shared" si="7"/>
        <v>269.58386372149999</v>
      </c>
      <c r="BH34" s="62">
        <f t="shared" si="8"/>
        <v>562.91719705483331</v>
      </c>
      <c r="BI34" s="62">
        <f ca="1">AVERAGE(OFFSET($BH$3,0,0,'Données projet'!$E$11+1,1))-AVERAGE(OFFSET($H$3,0,0,'Données projet'!$E$11+1,1))</f>
        <v>352.88510024787888</v>
      </c>
      <c r="BJ34" s="62">
        <f t="shared" si="38"/>
        <v>343.77208530767069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11.954597976225958</v>
      </c>
      <c r="BR34" s="23">
        <f>EXP(-LN(2)/2)*BR33+(1-EXP(-LN(2)/2))/(LN(2)/2)*BL34*BO34*VLOOKUP('Données projet'!$B$11,Paramètres!$A$1:$I$89,3,0)*0.475*44/12</f>
        <v>0.27914356318294209</v>
      </c>
      <c r="BS34" s="24">
        <f t="shared" si="9"/>
        <v>12.2337415394089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13</v>
      </c>
      <c r="BY34" s="13">
        <f>IF('Données projet'!$A$114&gt;35,BY33+BX34-CG33,IF(A34&lt;'Données projet'!$A$114,$BV$205^A34,IF(A34='Données projet'!$A$114,'Données projet'!$B$114,BY33+BX34-CG33)))</f>
        <v>153.99999999999991</v>
      </c>
      <c r="BZ34" s="14">
        <f>BY34*VLOOKUP('Données projet'!$B$12,Paramètres!$A$1:$I$89,3,0)*VLOOKUP('Données projet'!$B$12,Paramètres!$A$1:$I$89,5,0)</f>
        <v>112.91279999999993</v>
      </c>
      <c r="CA34" s="14">
        <f t="shared" si="39"/>
        <v>30.016215601722546</v>
      </c>
      <c r="CB34" s="22">
        <f t="shared" si="10"/>
        <v>248.93470217300001</v>
      </c>
      <c r="CC34" s="62">
        <f t="shared" si="11"/>
        <v>542.26803550633326</v>
      </c>
      <c r="CD34" s="62">
        <f ca="1">AVERAGE(OFFSET($CC$3,0,0,'Données projet'!$E$12+1,1))-AVERAGE(OFFSET($H$3,0,0,'Données projet'!$E$12+1,1))</f>
        <v>328.10411227536315</v>
      </c>
      <c r="CE34" s="62">
        <f t="shared" si="40"/>
        <v>320.24200483294322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8.900681259580951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8.900681259580951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>
        <f>VLOOKUP(A34,'Données projet'!$A$139:$I$159,2,0)</f>
        <v>155</v>
      </c>
      <c r="CR34" s="13">
        <f>VLOOKUP(A34,'Données projet'!$A$139:$I$159,9,0)</f>
        <v>11.5</v>
      </c>
      <c r="CS34" s="13">
        <f t="array" ref="CS34">INDEX(CR:CR,MIN(IF(ISNUMBER(CR34:CR230),ROW(CR34:CR230),"")))</f>
        <v>11.5</v>
      </c>
      <c r="CT34" s="13">
        <f>IF('Données projet'!$A$140&gt;35,CT33+CS34-DB33,IF(A34&lt;'Données projet'!$A$140,$CQ$205^A34,IF(A34='Données projet'!$A$140,'Données projet'!$B$140,CT33+CS34-DB33)))</f>
        <v>154.99999999999994</v>
      </c>
      <c r="CU34" s="18">
        <f>CT34*VLOOKUP('Données projet'!$B$13,Paramètres!$A$1:$I$89,3,0)*VLOOKUP('Données projet'!$B$13,Paramètres!$A$1:$I$89,5,0)</f>
        <v>120.89999999999996</v>
      </c>
      <c r="CV34" s="14">
        <f t="shared" si="41"/>
        <v>31.884818143351602</v>
      </c>
      <c r="CW34" s="22">
        <f t="shared" si="13"/>
        <v>266.10022493300397</v>
      </c>
      <c r="CX34" s="62">
        <f t="shared" si="14"/>
        <v>559.43355826633729</v>
      </c>
      <c r="CY34" s="62">
        <f ca="1">AVERAGE(OFFSET($CX$3,0,0,'Données projet'!$E$13+1,1))-AVERAGE(OFFSET($H$3,0,0,'Données projet'!$E$13+1,1))</f>
        <v>288.82868507674738</v>
      </c>
      <c r="CZ34" s="62">
        <f t="shared" si="42"/>
        <v>283.48738729114024</v>
      </c>
      <c r="DA34" s="16">
        <f>IF(ISNA(VLOOKUP(A34,'Données projet'!$A$139:$I$159,3,0)),0,VLOOKUP(A34,'Données projet'!$A$139:$I$159,3,0))</f>
        <v>4</v>
      </c>
      <c r="DB34" s="16">
        <f>IF(ISNA(VLOOKUP(A34,'Données projet'!$A$139:$I$159,4,0)),0,VLOOKUP(A34,'Données projet'!$A$139:$I$159,4,0))</f>
        <v>36</v>
      </c>
      <c r="DC34" s="17">
        <f>IF(ISNA(VLOOKUP(A34,'Données projet'!$A$139:$I$159,5,0)),0%,VLOOKUP(A34,'Données projet'!$A$139:$I$159,5,0)*VLOOKUP('Données projet'!$B$13,Paramètres!$A$1:$I$89,7,0))</f>
        <v>0.23650000000000002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10.00813789032116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10.00813789032116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10.8</v>
      </c>
      <c r="DO34" s="13">
        <f>IF('Données projet'!$A$166&gt;35,DO33+DN34-DW33,IF(A34&lt;'Données projet'!$A$166,$DL$205^A34,IF(A34='Données projet'!$A$166,'Données projet'!$B$166,DO33+DN34-DW33)))</f>
        <v>103.80000000000004</v>
      </c>
      <c r="DP34" s="18">
        <f>DO34*VLOOKUP('Données projet'!$B$14,Paramètres!$A$1:$I$89,3,0)*VLOOKUP('Données projet'!$B$14,Paramètres!$A$1:$I$89,5,0)</f>
        <v>105.25320000000005</v>
      </c>
      <c r="DQ34" s="14">
        <f t="shared" si="43"/>
        <v>28.209746498519422</v>
      </c>
      <c r="DR34" s="22">
        <f t="shared" si="16"/>
        <v>232.44796515158808</v>
      </c>
      <c r="DS34" s="62">
        <f t="shared" si="17"/>
        <v>525.78129848492142</v>
      </c>
      <c r="DT34" s="62">
        <f ca="1">AVERAGE(OFFSET($DS$3,0,0,'Données projet'!$E$14+1,1))-AVERAGE(OFFSET($H$3,0,0,'Données projet'!$E$14+1,1))</f>
        <v>487.04124684635974</v>
      </c>
      <c r="DU34" s="62">
        <f t="shared" si="44"/>
        <v>306.61893266146666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3.9694647534161915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3.9694647534161915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10.8</v>
      </c>
      <c r="EJ34" s="13">
        <f>IF('Données projet'!$A$192&gt;35,EJ33+EI34-ER33,IF(A34&lt;'Données projet'!$A$192,$EG$205^A34,IF(A34='Données projet'!$A$192,'Données projet'!$B$192,EJ33+EI34-ER33)))</f>
        <v>103.80000000000004</v>
      </c>
      <c r="EK34" s="18">
        <f>EJ34*VLOOKUP('Données projet'!$B$15,Paramètres!$A$1:$I$89,3,0)*VLOOKUP('Données projet'!$B$15,Paramètres!$A$1:$I$89,5,0)</f>
        <v>98.77608000000005</v>
      </c>
      <c r="EL34" s="14">
        <f t="shared" si="45"/>
        <v>26.670206833473124</v>
      </c>
      <c r="EM34" s="22">
        <f t="shared" si="19"/>
        <v>218.48561623496576</v>
      </c>
      <c r="EN34" s="62">
        <f t="shared" si="20"/>
        <v>511.8189495682991</v>
      </c>
      <c r="EO34" s="62">
        <f ca="1">AVERAGE(OFFSET($EN$3,0,0,'Données projet'!$E$15+1,1))-AVERAGE(OFFSET($H$3,0,0,'Données projet'!$E$15+1,1))</f>
        <v>459.64120566196812</v>
      </c>
      <c r="EP34" s="62">
        <f t="shared" si="46"/>
        <v>290.39826583283588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3.7251899993598094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3.7251899993598094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10.8</v>
      </c>
      <c r="FE34" s="13">
        <f>IF('Données projet'!$A$218&gt;35,FE33+FD34-FM33,IF(A34&lt;'Données projet'!$A$218,$FB$205^A34,IF(A34='Données projet'!$A$218,'Données projet'!$B$218,FE33+FD34-FM33)))</f>
        <v>103.80000000000004</v>
      </c>
      <c r="FF34" s="18">
        <f>FE34*VLOOKUP('Données projet'!$B$16,Paramètres!$A$1:$I$89,3,0)*VLOOKUP('Données projet'!$B$16,Paramètres!$A$1:$I$89,5,0)</f>
        <v>69.629040000000032</v>
      </c>
      <c r="FG34" s="14">
        <f t="shared" si="47"/>
        <v>19.58130665988983</v>
      </c>
      <c r="FH34" s="22">
        <f t="shared" si="22"/>
        <v>155.37468709930818</v>
      </c>
      <c r="FI34" s="62">
        <f t="shared" si="23"/>
        <v>448.70802043264149</v>
      </c>
      <c r="FJ34" s="62">
        <f ca="1">AVERAGE(OFFSET($FI$3,0,0,'Données projet'!$E$16+1,1))-AVERAGE(OFFSET($H$3,0,0,'Données projet'!$E$16+1,1))</f>
        <v>335.83558218229564</v>
      </c>
      <c r="FK34" s="62">
        <f t="shared" si="48"/>
        <v>217.08423061559648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0</v>
      </c>
      <c r="FR34" s="23">
        <f>EXP(-LN(2)/25)*FR33+(1-EXP(-LN(2)/25))/(LN(2)/25)*Calculateur!FM34*Calculateur!FO34*VLOOKUP('Données projet'!$B$16,Paramètres!$A$1:$I$89,3,0)*0.475*44/12</f>
        <v>8.115184798407002</v>
      </c>
      <c r="FS34" s="23">
        <f>EXP(-LN(2)/2)*FS33+(1-EXP(-LN(2)/2))/(LN(2)/2)*FM34*FP34*VLOOKUP('Données projet'!$B$16,Paramètres!$A$1:$I$89,3,0)*0.475*44/12</f>
        <v>7.8162158371825479</v>
      </c>
      <c r="FT34" s="24">
        <f t="shared" si="24"/>
        <v>15.931400635589551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12.2</v>
      </c>
      <c r="N35" s="14">
        <f>IF('Données projet'!$A$36&gt;35,N34+M35-V34,IF(A35&lt;'Données projet'!$A$36,$K$205^A35,IF(A35='Données projet'!$A$36,'Données projet'!$B$36,N34+M35-V34)))</f>
        <v>164.4</v>
      </c>
      <c r="O35" s="14">
        <f>N35*VLOOKUP('Données projet'!$B$9,Paramètres!$A$1:$I$89,3,0)*VLOOKUP('Données projet'!$B$9,Paramètres!$A$1:$I$89,5,0)</f>
        <v>143.61984000000001</v>
      </c>
      <c r="P35" s="14">
        <f t="shared" si="33"/>
        <v>37.125023974706046</v>
      </c>
      <c r="Q35" s="22">
        <f t="shared" ref="Q35:Q66" si="53">(O35+P35)*0.475*44/12</f>
        <v>314.79730475594641</v>
      </c>
      <c r="R35" s="62">
        <f t="shared" si="0"/>
        <v>608.13063808927973</v>
      </c>
      <c r="S35" s="62">
        <f ca="1">AVERAGE(OFFSET($R$3,0,0,'Données projet'!$E$9+1,1))-AVERAGE(OFFSET($H$3,0,0,'Données projet'!$E$9+1,1))</f>
        <v>321.23599968992932</v>
      </c>
      <c r="T35" s="62">
        <f t="shared" si="34"/>
        <v>388.05195847800502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24.20162400428066</v>
      </c>
      <c r="AB35" s="23">
        <f>EXP(-LN(2)/2)*AB34+(1-EXP(-LN(2)/2))/(LN(2)/2)*V35*Y35*VLOOKUP('Données projet'!$B$9,Paramètres!$A$1:$I$89,3,0)*0.475*44/12</f>
        <v>9.1332540413270671</v>
      </c>
      <c r="AC35" s="24">
        <f t="shared" si="3"/>
        <v>33.334878045607724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10.8</v>
      </c>
      <c r="AI35" s="14">
        <f>IF('Données projet'!$A$62&gt;35,AI34+AH35-AQ34,IF(A35&lt;'Données projet'!$A$62,$AF$205^A35,IF(A35='Données projet'!$A$62,'Données projet'!$B$62,AI34+AH35-AQ34)))</f>
        <v>114.60000000000004</v>
      </c>
      <c r="AJ35" s="14">
        <f>AI35*VLOOKUP('Données projet'!$B$10,Paramètres!$A$1:$I$89,3,0)*VLOOKUP('Données projet'!$B$10,Paramètres!$A$1:$I$89,5,0)</f>
        <v>103.69008000000004</v>
      </c>
      <c r="AK35" s="14">
        <f t="shared" si="35"/>
        <v>27.83924565319537</v>
      </c>
      <c r="AL35" s="22">
        <f t="shared" si="4"/>
        <v>229.08024217931529</v>
      </c>
      <c r="AM35" s="62">
        <f t="shared" si="5"/>
        <v>522.41357551264855</v>
      </c>
      <c r="AN35" s="62">
        <f ca="1">AVERAGE(OFFSET($AM$3,0,0,'Données projet'!$E$10+1,1))-AVERAGE(OFFSET($H$3,0,0,'Données projet'!$E$10+1,1))</f>
        <v>439.19854273764042</v>
      </c>
      <c r="AO35" s="62">
        <f t="shared" si="36"/>
        <v>278.21741231699929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8.6379231945936112</v>
      </c>
      <c r="AW35" s="23">
        <f>EXP(-LN(2)/2)*AW34+(1-EXP(-LN(2)/2))/(LN(2)/2)*AQ35*AT35*VLOOKUP('Données projet'!$B$10,Paramètres!$A$1:$I$89,3,0)*0.475*44/12</f>
        <v>7.4548873222788181</v>
      </c>
      <c r="AX35" s="23">
        <f t="shared" si="6"/>
        <v>16.092810516872429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13</v>
      </c>
      <c r="BD35" s="13">
        <f>IF('Données projet'!$A$88&gt;35,BD34+BC35-BL34,IF(A35&lt;'Données projet'!$A$88,$BA$205^A35,IF(A35='Données projet'!$A$88,'Données projet'!$B$88,BD34+BC35-BL34)))</f>
        <v>166.99999999999991</v>
      </c>
      <c r="BE35" s="14">
        <f>BD35*VLOOKUP('Données projet'!$B$11,Paramètres!$A$1:$I$89,3,0)*VLOOKUP('Données projet'!$B$11,Paramètres!$A$1:$I$89,5,0)</f>
        <v>132.86519999999993</v>
      </c>
      <c r="BF35" s="14">
        <f t="shared" si="37"/>
        <v>34.657580565743032</v>
      </c>
      <c r="BG35" s="22">
        <f t="shared" si="7"/>
        <v>291.76884281866893</v>
      </c>
      <c r="BH35" s="62">
        <f t="shared" si="8"/>
        <v>585.10217615200224</v>
      </c>
      <c r="BI35" s="62">
        <f ca="1">AVERAGE(OFFSET($BH$3,0,0,'Données projet'!$E$11+1,1))-AVERAGE(OFFSET($H$3,0,0,'Données projet'!$E$11+1,1))</f>
        <v>352.88510024787888</v>
      </c>
      <c r="BJ35" s="62">
        <f t="shared" si="38"/>
        <v>343.77208530767069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11.627698865901074</v>
      </c>
      <c r="BR35" s="23">
        <f>EXP(-LN(2)/2)*BR34+(1-EXP(-LN(2)/2))/(LN(2)/2)*BL35*BO35*VLOOKUP('Données projet'!$B$11,Paramètres!$A$1:$I$89,3,0)*0.475*44/12</f>
        <v>0.19738430645123384</v>
      </c>
      <c r="BS35" s="24">
        <f t="shared" si="9"/>
        <v>11.825083172352308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13</v>
      </c>
      <c r="BY35" s="13">
        <f>IF('Données projet'!$A$114&gt;35,BY34+BX35-CG34,IF(A35&lt;'Données projet'!$A$114,$BV$205^A35,IF(A35='Données projet'!$A$114,'Données projet'!$B$114,BY34+BX35-CG34)))</f>
        <v>166.99999999999991</v>
      </c>
      <c r="BZ35" s="14">
        <f>BY35*VLOOKUP('Données projet'!$B$12,Paramètres!$A$1:$I$89,3,0)*VLOOKUP('Données projet'!$B$12,Paramètres!$A$1:$I$89,5,0)</f>
        <v>122.44439999999993</v>
      </c>
      <c r="CA35" s="14">
        <f t="shared" si="39"/>
        <v>32.244444629402452</v>
      </c>
      <c r="CB35" s="22">
        <f t="shared" si="10"/>
        <v>269.41640439620915</v>
      </c>
      <c r="CC35" s="62">
        <f t="shared" si="11"/>
        <v>562.7497377295424</v>
      </c>
      <c r="CD35" s="62">
        <f ca="1">AVERAGE(OFFSET($CC$3,0,0,'Données projet'!$E$12+1,1))-AVERAGE(OFFSET($H$3,0,0,'Données projet'!$E$12+1,1))</f>
        <v>328.10411227536315</v>
      </c>
      <c r="CE35" s="62">
        <f t="shared" si="40"/>
        <v>320.24200483294322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8.7261443289600802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8.7261443289600802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11.5</v>
      </c>
      <c r="CT35" s="13">
        <f>IF('Données projet'!$A$140&gt;35,CT34+CS35-DB34,IF(A35&lt;'Données projet'!$A$140,$CQ$205^A35,IF(A35='Données projet'!$A$140,'Données projet'!$B$140,CT34+CS35-DB34)))</f>
        <v>130.49999999999994</v>
      </c>
      <c r="CU35" s="18">
        <f>CT35*VLOOKUP('Données projet'!$B$13,Paramètres!$A$1:$I$89,3,0)*VLOOKUP('Données projet'!$B$13,Paramètres!$A$1:$I$89,5,0)</f>
        <v>101.78999999999996</v>
      </c>
      <c r="CV35" s="14">
        <f t="shared" si="41"/>
        <v>27.38799903683508</v>
      </c>
      <c r="CW35" s="22">
        <f t="shared" si="13"/>
        <v>224.98501498915437</v>
      </c>
      <c r="CX35" s="62">
        <f t="shared" si="14"/>
        <v>518.31834832248774</v>
      </c>
      <c r="CY35" s="62">
        <f ca="1">AVERAGE(OFFSET($CX$3,0,0,'Données projet'!$E$13+1,1))-AVERAGE(OFFSET($H$3,0,0,'Données projet'!$E$13+1,1))</f>
        <v>288.82868507674738</v>
      </c>
      <c r="CZ35" s="62">
        <f t="shared" si="42"/>
        <v>283.48738729114024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9.8118844106533203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9.8118844106533203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10.8</v>
      </c>
      <c r="DO35" s="13">
        <f>IF('Données projet'!$A$166&gt;35,DO34+DN35-DW34,IF(A35&lt;'Données projet'!$A$166,$DL$205^A35,IF(A35='Données projet'!$A$166,'Données projet'!$B$166,DO34+DN35-DW34)))</f>
        <v>114.60000000000004</v>
      </c>
      <c r="DP35" s="18">
        <f>DO35*VLOOKUP('Données projet'!$B$14,Paramètres!$A$1:$I$89,3,0)*VLOOKUP('Données projet'!$B$14,Paramètres!$A$1:$I$89,5,0)</f>
        <v>116.20440000000004</v>
      </c>
      <c r="DQ35" s="14">
        <f t="shared" si="43"/>
        <v>30.788088768016376</v>
      </c>
      <c r="DR35" s="22">
        <f t="shared" si="16"/>
        <v>256.01191793762854</v>
      </c>
      <c r="DS35" s="62">
        <f t="shared" si="17"/>
        <v>549.34525127096185</v>
      </c>
      <c r="DT35" s="62">
        <f ca="1">AVERAGE(OFFSET($DS$3,0,0,'Données projet'!$E$14+1,1))-AVERAGE(OFFSET($H$3,0,0,'Données projet'!$E$14+1,1))</f>
        <v>487.04124684635974</v>
      </c>
      <c r="DU35" s="62">
        <f t="shared" si="44"/>
        <v>306.61893266146666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3.8916259707361323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3.8916259707361323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10.8</v>
      </c>
      <c r="EJ35" s="13">
        <f>IF('Données projet'!$A$192&gt;35,EJ34+EI35-ER34,IF(A35&lt;'Données projet'!$A$192,$EG$205^A35,IF(A35='Données projet'!$A$192,'Données projet'!$B$192,EJ34+EI35-ER34)))</f>
        <v>114.60000000000004</v>
      </c>
      <c r="EK35" s="18">
        <f>EJ35*VLOOKUP('Données projet'!$B$15,Paramètres!$A$1:$I$89,3,0)*VLOOKUP('Données projet'!$B$15,Paramètres!$A$1:$I$89,5,0)</f>
        <v>109.05336000000004</v>
      </c>
      <c r="EL35" s="14">
        <f t="shared" si="45"/>
        <v>29.107836736265032</v>
      </c>
      <c r="EM35" s="22">
        <f t="shared" si="19"/>
        <v>240.63075098232832</v>
      </c>
      <c r="EN35" s="62">
        <f t="shared" si="20"/>
        <v>533.96408431566169</v>
      </c>
      <c r="EO35" s="62">
        <f ca="1">AVERAGE(OFFSET($EN$3,0,0,'Données projet'!$E$15+1,1))-AVERAGE(OFFSET($H$3,0,0,'Données projet'!$E$15+1,1))</f>
        <v>459.64120566196812</v>
      </c>
      <c r="EP35" s="62">
        <f t="shared" si="46"/>
        <v>290.39826583283588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3.6521412956139079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3.6521412956139079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10.8</v>
      </c>
      <c r="FE35" s="13">
        <f>IF('Données projet'!$A$218&gt;35,FE34+FD35-FM34,IF(A35&lt;'Données projet'!$A$218,$FB$205^A35,IF(A35='Données projet'!$A$218,'Données projet'!$B$218,FE34+FD35-FM34)))</f>
        <v>114.60000000000004</v>
      </c>
      <c r="FF35" s="18">
        <f>FE35*VLOOKUP('Données projet'!$B$16,Paramètres!$A$1:$I$89,3,0)*VLOOKUP('Données projet'!$B$16,Paramètres!$A$1:$I$89,5,0)</f>
        <v>76.873680000000022</v>
      </c>
      <c r="FG35" s="14">
        <f t="shared" si="47"/>
        <v>21.371018263850051</v>
      </c>
      <c r="FH35" s="22">
        <f t="shared" si="22"/>
        <v>171.1095161428722</v>
      </c>
      <c r="FI35" s="62">
        <f t="shared" si="23"/>
        <v>464.44284947620554</v>
      </c>
      <c r="FJ35" s="62">
        <f ca="1">AVERAGE(OFFSET($FI$3,0,0,'Données projet'!$E$16+1,1))-AVERAGE(OFFSET($H$3,0,0,'Données projet'!$E$16+1,1))</f>
        <v>335.83558218229564</v>
      </c>
      <c r="FK35" s="62">
        <f t="shared" si="48"/>
        <v>217.08423061559648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0</v>
      </c>
      <c r="FR35" s="23">
        <f>EXP(-LN(2)/25)*FR34+(1-EXP(-LN(2)/25))/(LN(2)/25)*Calculateur!FM35*Calculateur!FO35*VLOOKUP('Données projet'!$B$16,Paramètres!$A$1:$I$89,3,0)*0.475*44/12</f>
        <v>7.8932746433355412</v>
      </c>
      <c r="FS35" s="23">
        <f>EXP(-LN(2)/2)*FS34+(1-EXP(-LN(2)/2))/(LN(2)/2)*FM35*FP35*VLOOKUP('Données projet'!$B$16,Paramètres!$A$1:$I$89,3,0)*0.475*44/12</f>
        <v>5.5268992216894679</v>
      </c>
      <c r="FT35" s="24">
        <f t="shared" si="24"/>
        <v>13.42017386502501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12.2</v>
      </c>
      <c r="N36" s="14">
        <f>IF('Données projet'!$A$36&gt;35,N35+M36-V35,IF(A36&lt;'Données projet'!$A$36,$K$205^A36,IF(A36='Données projet'!$A$36,'Données projet'!$B$36,N35+M36-V35)))</f>
        <v>176.6</v>
      </c>
      <c r="O36" s="14">
        <f>N36*VLOOKUP('Données projet'!$B$9,Paramètres!$A$1:$I$89,3,0)*VLOOKUP('Données projet'!$B$9,Paramètres!$A$1:$I$89,5,0)</f>
        <v>154.27776</v>
      </c>
      <c r="P36" s="14">
        <f t="shared" si="33"/>
        <v>39.549125277353333</v>
      </c>
      <c r="Q36" s="22">
        <f t="shared" si="53"/>
        <v>337.58182519139035</v>
      </c>
      <c r="R36" s="62">
        <f t="shared" si="0"/>
        <v>630.91515852472367</v>
      </c>
      <c r="S36" s="62">
        <f ca="1">AVERAGE(OFFSET($R$3,0,0,'Données projet'!$E$9+1,1))-AVERAGE(OFFSET($H$3,0,0,'Données projet'!$E$9+1,1))</f>
        <v>321.23599968992932</v>
      </c>
      <c r="T36" s="62">
        <f t="shared" si="34"/>
        <v>388.05195847800502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23.539829323175514</v>
      </c>
      <c r="AB36" s="23">
        <f>EXP(-LN(2)/2)*AB35+(1-EXP(-LN(2)/2))/(LN(2)/2)*V36*Y36*VLOOKUP('Données projet'!$B$9,Paramètres!$A$1:$I$89,3,0)*0.475*44/12</f>
        <v>6.4581858669218102</v>
      </c>
      <c r="AC36" s="24">
        <f t="shared" si="3"/>
        <v>29.998015190097323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10.8</v>
      </c>
      <c r="AI36" s="14">
        <f>IF('Données projet'!$A$62&gt;35,AI35+AH36-AQ35,IF(A36&lt;'Données projet'!$A$62,$AF$205^A36,IF(A36='Données projet'!$A$62,'Données projet'!$B$62,AI35+AH36-AQ35)))</f>
        <v>125.40000000000003</v>
      </c>
      <c r="AJ36" s="14">
        <f>AI36*VLOOKUP('Données projet'!$B$10,Paramètres!$A$1:$I$89,3,0)*VLOOKUP('Données projet'!$B$10,Paramètres!$A$1:$I$89,5,0)</f>
        <v>113.46192000000002</v>
      </c>
      <c r="AK36" s="14">
        <f t="shared" si="35"/>
        <v>30.145163126535493</v>
      </c>
      <c r="AL36" s="22">
        <f t="shared" si="4"/>
        <v>250.11566977871598</v>
      </c>
      <c r="AM36" s="62">
        <f t="shared" si="5"/>
        <v>543.44900311204924</v>
      </c>
      <c r="AN36" s="62">
        <f ca="1">AVERAGE(OFFSET($AM$3,0,0,'Données projet'!$E$10+1,1))-AVERAGE(OFFSET($H$3,0,0,'Données projet'!$E$10+1,1))</f>
        <v>439.19854273764042</v>
      </c>
      <c r="AO36" s="62">
        <f t="shared" si="36"/>
        <v>278.21741231699929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8.4017187305888097</v>
      </c>
      <c r="AW36" s="23">
        <f>EXP(-LN(2)/2)*AW35+(1-EXP(-LN(2)/2))/(LN(2)/2)*AQ36*AT36*VLOOKUP('Données projet'!$B$10,Paramètres!$A$1:$I$89,3,0)*0.475*44/12</f>
        <v>5.2714013785649758</v>
      </c>
      <c r="AX36" s="23">
        <f t="shared" si="6"/>
        <v>13.673120109153786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13</v>
      </c>
      <c r="BD36" s="13">
        <f>IF('Données projet'!$A$88&gt;35,BD35+BC36-BL35,IF(A36&lt;'Données projet'!$A$88,$BA$205^A36,IF(A36='Données projet'!$A$88,'Données projet'!$B$88,BD35+BC36-BL35)))</f>
        <v>179.99999999999991</v>
      </c>
      <c r="BE36" s="14">
        <f>BD36*VLOOKUP('Données projet'!$B$11,Paramètres!$A$1:$I$89,3,0)*VLOOKUP('Données projet'!$B$11,Paramètres!$A$1:$I$89,5,0)</f>
        <v>143.20799999999994</v>
      </c>
      <c r="BF36" s="14">
        <f t="shared" si="37"/>
        <v>37.030941422835802</v>
      </c>
      <c r="BG36" s="22">
        <f t="shared" si="7"/>
        <v>313.9161563114389</v>
      </c>
      <c r="BH36" s="62">
        <f t="shared" si="8"/>
        <v>607.24948964477221</v>
      </c>
      <c r="BI36" s="62">
        <f ca="1">AVERAGE(OFFSET($BH$3,0,0,'Données projet'!$E$11+1,1))-AVERAGE(OFFSET($H$3,0,0,'Données projet'!$E$11+1,1))</f>
        <v>352.88510024787888</v>
      </c>
      <c r="BJ36" s="62">
        <f t="shared" si="38"/>
        <v>343.77208530767069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11.309738828938901</v>
      </c>
      <c r="BR36" s="23">
        <f>EXP(-LN(2)/2)*BR35+(1-EXP(-LN(2)/2))/(LN(2)/2)*BL36*BO36*VLOOKUP('Données projet'!$B$11,Paramètres!$A$1:$I$89,3,0)*0.475*44/12</f>
        <v>0.13957178159147104</v>
      </c>
      <c r="BS36" s="24">
        <f t="shared" si="9"/>
        <v>11.449310610530372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13</v>
      </c>
      <c r="BY36" s="13">
        <f>IF('Données projet'!$A$114&gt;35,BY35+BX36-CG35,IF(A36&lt;'Données projet'!$A$114,$BV$205^A36,IF(A36='Données projet'!$A$114,'Données projet'!$B$114,BY35+BX36-CG35)))</f>
        <v>179.99999999999991</v>
      </c>
      <c r="BZ36" s="14">
        <f>BY36*VLOOKUP('Données projet'!$B$12,Paramètres!$A$1:$I$89,3,0)*VLOOKUP('Données projet'!$B$12,Paramètres!$A$1:$I$89,5,0)</f>
        <v>131.97599999999994</v>
      </c>
      <c r="CA36" s="14">
        <f t="shared" si="39"/>
        <v>34.452553259401945</v>
      </c>
      <c r="CB36" s="22">
        <f t="shared" si="10"/>
        <v>289.86306359345826</v>
      </c>
      <c r="CC36" s="62">
        <f t="shared" si="11"/>
        <v>583.19639692679152</v>
      </c>
      <c r="CD36" s="62">
        <f ca="1">AVERAGE(OFFSET($CC$3,0,0,'Données projet'!$E$12+1,1))-AVERAGE(OFFSET($H$3,0,0,'Données projet'!$E$12+1,1))</f>
        <v>328.10411227536315</v>
      </c>
      <c r="CE36" s="62">
        <f t="shared" si="40"/>
        <v>320.24200483294322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8.5550299610916678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8.5550299610916678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11.5</v>
      </c>
      <c r="CT36" s="13">
        <f>IF('Données projet'!$A$140&gt;35,CT35+CS36-DB35,IF(A36&lt;'Données projet'!$A$140,$CQ$205^A36,IF(A36='Données projet'!$A$140,'Données projet'!$B$140,CT35+CS36-DB35)))</f>
        <v>141.99999999999994</v>
      </c>
      <c r="CU36" s="18">
        <f>CT36*VLOOKUP('Données projet'!$B$13,Paramètres!$A$1:$I$89,3,0)*VLOOKUP('Données projet'!$B$13,Paramètres!$A$1:$I$89,5,0)</f>
        <v>110.75999999999996</v>
      </c>
      <c r="CV36" s="14">
        <f t="shared" si="41"/>
        <v>29.509974682362923</v>
      </c>
      <c r="CW36" s="22">
        <f t="shared" si="13"/>
        <v>244.30353923844871</v>
      </c>
      <c r="CX36" s="62">
        <f t="shared" si="14"/>
        <v>537.63687257178208</v>
      </c>
      <c r="CY36" s="62">
        <f ca="1">AVERAGE(OFFSET($CX$3,0,0,'Données projet'!$E$13+1,1))-AVERAGE(OFFSET($H$3,0,0,'Données projet'!$E$13+1,1))</f>
        <v>288.82868507674738</v>
      </c>
      <c r="CZ36" s="62">
        <f t="shared" si="42"/>
        <v>283.48738729114024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9.6194793420189626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9.6194793420189626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10.8</v>
      </c>
      <c r="DO36" s="13">
        <f>IF('Données projet'!$A$166&gt;35,DO35+DN36-DW35,IF(A36&lt;'Données projet'!$A$166,$DL$205^A36,IF(A36='Données projet'!$A$166,'Données projet'!$B$166,DO35+DN36-DW35)))</f>
        <v>125.40000000000003</v>
      </c>
      <c r="DP36" s="18">
        <f>DO36*VLOOKUP('Données projet'!$B$14,Paramètres!$A$1:$I$89,3,0)*VLOOKUP('Données projet'!$B$14,Paramètres!$A$1:$I$89,5,0)</f>
        <v>127.15560000000004</v>
      </c>
      <c r="DQ36" s="14">
        <f t="shared" si="43"/>
        <v>33.338258149231912</v>
      </c>
      <c r="DR36" s="22">
        <f t="shared" si="16"/>
        <v>279.52680294324563</v>
      </c>
      <c r="DS36" s="62">
        <f t="shared" si="17"/>
        <v>572.86013627657894</v>
      </c>
      <c r="DT36" s="62">
        <f ca="1">AVERAGE(OFFSET($DS$3,0,0,'Données projet'!$E$14+1,1))-AVERAGE(OFFSET($H$3,0,0,'Données projet'!$E$14+1,1))</f>
        <v>487.04124684635974</v>
      </c>
      <c r="DU36" s="62">
        <f t="shared" si="44"/>
        <v>306.61893266146666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3.8153135591074596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3.8153135591074596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10.8</v>
      </c>
      <c r="EJ36" s="13">
        <f>IF('Données projet'!$A$192&gt;35,EJ35+EI36-ER35,IF(A36&lt;'Données projet'!$A$192,$EG$205^A36,IF(A36='Données projet'!$A$192,'Données projet'!$B$192,EJ35+EI36-ER35)))</f>
        <v>125.40000000000003</v>
      </c>
      <c r="EK36" s="18">
        <f>EJ36*VLOOKUP('Données projet'!$B$15,Paramètres!$A$1:$I$89,3,0)*VLOOKUP('Données projet'!$B$15,Paramètres!$A$1:$I$89,5,0)</f>
        <v>119.33064000000003</v>
      </c>
      <c r="EL36" s="14">
        <f t="shared" si="45"/>
        <v>31.518831278912842</v>
      </c>
      <c r="EM36" s="22">
        <f t="shared" si="19"/>
        <v>262.72949581077319</v>
      </c>
      <c r="EN36" s="62">
        <f t="shared" si="20"/>
        <v>556.06282914410644</v>
      </c>
      <c r="EO36" s="62">
        <f ca="1">AVERAGE(OFFSET($EN$3,0,0,'Données projet'!$E$15+1,1))-AVERAGE(OFFSET($H$3,0,0,'Données projet'!$E$15+1,1))</f>
        <v>459.64120566196812</v>
      </c>
      <c r="EP36" s="62">
        <f t="shared" si="46"/>
        <v>290.39826583283588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3.5805250323931537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3.5805250323931537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10.8</v>
      </c>
      <c r="FE36" s="13">
        <f>IF('Données projet'!$A$218&gt;35,FE35+FD36-FM35,IF(A36&lt;'Données projet'!$A$218,$FB$205^A36,IF(A36='Données projet'!$A$218,'Données projet'!$B$218,FE35+FD36-FM35)))</f>
        <v>125.40000000000003</v>
      </c>
      <c r="FF36" s="18">
        <f>FE36*VLOOKUP('Données projet'!$B$16,Paramètres!$A$1:$I$89,3,0)*VLOOKUP('Données projet'!$B$16,Paramètres!$A$1:$I$89,5,0)</f>
        <v>84.118320000000026</v>
      </c>
      <c r="FG36" s="14">
        <f t="shared" si="47"/>
        <v>23.141174145643028</v>
      </c>
      <c r="FH36" s="22">
        <f t="shared" si="22"/>
        <v>186.81028563699499</v>
      </c>
      <c r="FI36" s="62">
        <f t="shared" si="23"/>
        <v>480.1436189703283</v>
      </c>
      <c r="FJ36" s="62">
        <f ca="1">AVERAGE(OFFSET($FI$3,0,0,'Données projet'!$E$16+1,1))-AVERAGE(OFFSET($H$3,0,0,'Données projet'!$E$16+1,1))</f>
        <v>335.83558218229564</v>
      </c>
      <c r="FK36" s="62">
        <f t="shared" si="48"/>
        <v>217.08423061559648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0</v>
      </c>
      <c r="FR36" s="23">
        <f>EXP(-LN(2)/25)*FR35+(1-EXP(-LN(2)/25))/(LN(2)/25)*Calculateur!FM36*Calculateur!FO36*VLOOKUP('Données projet'!$B$16,Paramètres!$A$1:$I$89,3,0)*0.475*44/12</f>
        <v>7.6774326331242575</v>
      </c>
      <c r="FS36" s="23">
        <f>EXP(-LN(2)/2)*FS35+(1-EXP(-LN(2)/2))/(LN(2)/2)*FM36*FP36*VLOOKUP('Données projet'!$B$16,Paramètres!$A$1:$I$89,3,0)*0.475*44/12</f>
        <v>3.9081079185912748</v>
      </c>
      <c r="FT36" s="24">
        <f t="shared" si="24"/>
        <v>11.585540551715532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12.2</v>
      </c>
      <c r="N37" s="14">
        <f>IF('Données projet'!$A$36&gt;35,N36+M37-V36,IF(A37&lt;'Données projet'!$A$36,$K$205^A37,IF(A37='Données projet'!$A$36,'Données projet'!$B$36,N36+M37-V36)))</f>
        <v>188.79999999999998</v>
      </c>
      <c r="O37" s="14">
        <f>N37*VLOOKUP('Données projet'!$B$9,Paramètres!$A$1:$I$89,3,0)*VLOOKUP('Données projet'!$B$9,Paramètres!$A$1:$I$89,5,0)</f>
        <v>164.93567999999999</v>
      </c>
      <c r="P37" s="14">
        <f t="shared" si="33"/>
        <v>41.953795695589498</v>
      </c>
      <c r="Q37" s="22">
        <f t="shared" si="53"/>
        <v>360.33250350315166</v>
      </c>
      <c r="R37" s="62">
        <f t="shared" si="0"/>
        <v>653.66583683648491</v>
      </c>
      <c r="S37" s="62">
        <f ca="1">AVERAGE(OFFSET($R$3,0,0,'Données projet'!$E$9+1,1))-AVERAGE(OFFSET($H$3,0,0,'Données projet'!$E$9+1,1))</f>
        <v>321.23599968992932</v>
      </c>
      <c r="T37" s="62">
        <f t="shared" si="34"/>
        <v>388.05195847800502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22.896131452427458</v>
      </c>
      <c r="AB37" s="23">
        <f>EXP(-LN(2)/2)*AB36+(1-EXP(-LN(2)/2))/(LN(2)/2)*V37*Y37*VLOOKUP('Données projet'!$B$9,Paramètres!$A$1:$I$89,3,0)*0.475*44/12</f>
        <v>4.5666270206635344</v>
      </c>
      <c r="AC37" s="24">
        <f t="shared" si="3"/>
        <v>27.462758473090993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10.8</v>
      </c>
      <c r="AI37" s="14">
        <f>IF('Données projet'!$A$62&gt;35,AI36+AH37-AQ36,IF(A37&lt;'Données projet'!$A$62,$AF$205^A37,IF(A37='Données projet'!$A$62,'Données projet'!$B$62,AI36+AH37-AQ36)))</f>
        <v>136.20000000000005</v>
      </c>
      <c r="AJ37" s="14">
        <f>AI37*VLOOKUP('Données projet'!$B$10,Paramètres!$A$1:$I$89,3,0)*VLOOKUP('Données projet'!$B$10,Paramètres!$A$1:$I$89,5,0)</f>
        <v>123.23376000000005</v>
      </c>
      <c r="AK37" s="14">
        <f t="shared" si="35"/>
        <v>32.428049504876491</v>
      </c>
      <c r="AL37" s="22">
        <f t="shared" si="4"/>
        <v>271.11098488765998</v>
      </c>
      <c r="AM37" s="62">
        <f t="shared" si="5"/>
        <v>564.4443182209933</v>
      </c>
      <c r="AN37" s="62">
        <f ca="1">AVERAGE(OFFSET($AM$3,0,0,'Données projet'!$E$10+1,1))-AVERAGE(OFFSET($H$3,0,0,'Données projet'!$E$10+1,1))</f>
        <v>439.19854273764042</v>
      </c>
      <c r="AO37" s="62">
        <f t="shared" si="36"/>
        <v>278.21741231699929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8.171973290073673</v>
      </c>
      <c r="AW37" s="23">
        <f>EXP(-LN(2)/2)*AW36+(1-EXP(-LN(2)/2))/(LN(2)/2)*AQ37*AT37*VLOOKUP('Données projet'!$B$10,Paramètres!$A$1:$I$89,3,0)*0.475*44/12</f>
        <v>3.7274436611394095</v>
      </c>
      <c r="AX37" s="23">
        <f t="shared" si="6"/>
        <v>11.899416951213082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13</v>
      </c>
      <c r="BD37" s="13">
        <f>IF('Données projet'!$A$88&gt;35,BD36+BC37-BL36,IF(A37&lt;'Données projet'!$A$88,$BA$205^A37,IF(A37='Données projet'!$A$88,'Données projet'!$B$88,BD36+BC37-BL36)))</f>
        <v>192.99999999999991</v>
      </c>
      <c r="BE37" s="14">
        <f>BD37*VLOOKUP('Données projet'!$B$11,Paramètres!$A$1:$I$89,3,0)*VLOOKUP('Données projet'!$B$11,Paramètres!$A$1:$I$89,5,0)</f>
        <v>153.55079999999995</v>
      </c>
      <c r="BF37" s="14">
        <f t="shared" si="37"/>
        <v>39.384415616157526</v>
      </c>
      <c r="BG37" s="22">
        <f t="shared" si="7"/>
        <v>336.02883386480761</v>
      </c>
      <c r="BH37" s="62">
        <f t="shared" si="8"/>
        <v>629.36216719814092</v>
      </c>
      <c r="BI37" s="62">
        <f ca="1">AVERAGE(OFFSET($BH$3,0,0,'Données projet'!$E$11+1,1))-AVERAGE(OFFSET($H$3,0,0,'Données projet'!$E$11+1,1))</f>
        <v>352.88510024787888</v>
      </c>
      <c r="BJ37" s="62">
        <f t="shared" si="38"/>
        <v>343.77208530767069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11.00047342590825</v>
      </c>
      <c r="BR37" s="23">
        <f>EXP(-LN(2)/2)*BR36+(1-EXP(-LN(2)/2))/(LN(2)/2)*BL37*BO37*VLOOKUP('Données projet'!$B$11,Paramètres!$A$1:$I$89,3,0)*0.475*44/12</f>
        <v>9.8692153225616919E-2</v>
      </c>
      <c r="BS37" s="24">
        <f t="shared" si="9"/>
        <v>11.099165579133867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13</v>
      </c>
      <c r="BY37" s="13">
        <f>IF('Données projet'!$A$114&gt;35,BY36+BX37-CG36,IF(A37&lt;'Données projet'!$A$114,$BV$205^A37,IF(A37='Données projet'!$A$114,'Données projet'!$B$114,BY36+BX37-CG36)))</f>
        <v>192.99999999999991</v>
      </c>
      <c r="BZ37" s="14">
        <f>BY37*VLOOKUP('Données projet'!$B$12,Paramètres!$A$1:$I$89,3,0)*VLOOKUP('Données projet'!$B$12,Paramètres!$A$1:$I$89,5,0)</f>
        <v>141.50759999999994</v>
      </c>
      <c r="CA37" s="14">
        <f t="shared" si="39"/>
        <v>36.642159893060018</v>
      </c>
      <c r="CB37" s="22">
        <f t="shared" si="10"/>
        <v>310.27749848041276</v>
      </c>
      <c r="CC37" s="62">
        <f t="shared" si="11"/>
        <v>603.61083181374602</v>
      </c>
      <c r="CD37" s="62">
        <f ca="1">AVERAGE(OFFSET($CC$3,0,0,'Données projet'!$E$12+1,1))-AVERAGE(OFFSET($H$3,0,0,'Données projet'!$E$12+1,1))</f>
        <v>328.10411227536315</v>
      </c>
      <c r="CE37" s="62">
        <f t="shared" si="40"/>
        <v>320.24200483294322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8.387271041607697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8.387271041607697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11.5</v>
      </c>
      <c r="CT37" s="13">
        <f>IF('Données projet'!$A$140&gt;35,CT36+CS37-DB36,IF(A37&lt;'Données projet'!$A$140,$CQ$205^A37,IF(A37='Données projet'!$A$140,'Données projet'!$B$140,CT36+CS37-DB36)))</f>
        <v>153.49999999999994</v>
      </c>
      <c r="CU37" s="18">
        <f>CT37*VLOOKUP('Données projet'!$B$13,Paramètres!$A$1:$I$89,3,0)*VLOOKUP('Données projet'!$B$13,Paramètres!$A$1:$I$89,5,0)</f>
        <v>119.72999999999996</v>
      </c>
      <c r="CV37" s="14">
        <f t="shared" si="41"/>
        <v>31.612017974790529</v>
      </c>
      <c r="CW37" s="22">
        <f t="shared" si="13"/>
        <v>263.58734797276003</v>
      </c>
      <c r="CX37" s="62">
        <f t="shared" si="14"/>
        <v>556.92068130609334</v>
      </c>
      <c r="CY37" s="62">
        <f ca="1">AVERAGE(OFFSET($CX$3,0,0,'Données projet'!$E$13+1,1))-AVERAGE(OFFSET($H$3,0,0,'Données projet'!$E$13+1,1))</f>
        <v>288.82868507674738</v>
      </c>
      <c r="CZ37" s="62">
        <f t="shared" si="42"/>
        <v>283.48738729114024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9.4308472194250221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9.4308472194250221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10.8</v>
      </c>
      <c r="DO37" s="13">
        <f>IF('Données projet'!$A$166&gt;35,DO36+DN37-DW36,IF(A37&lt;'Données projet'!$A$166,$DL$205^A37,IF(A37='Données projet'!$A$166,'Données projet'!$B$166,DO36+DN37-DW36)))</f>
        <v>136.20000000000005</v>
      </c>
      <c r="DP37" s="18">
        <f>DO37*VLOOKUP('Données projet'!$B$14,Paramètres!$A$1:$I$89,3,0)*VLOOKUP('Données projet'!$B$14,Paramètres!$A$1:$I$89,5,0)</f>
        <v>138.10680000000005</v>
      </c>
      <c r="DQ37" s="14">
        <f t="shared" si="43"/>
        <v>35.862956890686135</v>
      </c>
      <c r="DR37" s="22">
        <f t="shared" si="16"/>
        <v>302.99732658461176</v>
      </c>
      <c r="DS37" s="62">
        <f t="shared" si="17"/>
        <v>596.33065991794501</v>
      </c>
      <c r="DT37" s="62">
        <f ca="1">AVERAGE(OFFSET($DS$3,0,0,'Données projet'!$E$14+1,1))-AVERAGE(OFFSET($H$3,0,0,'Données projet'!$E$14+1,1))</f>
        <v>487.04124684635974</v>
      </c>
      <c r="DU37" s="62">
        <f t="shared" si="44"/>
        <v>306.61893266146666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3.74049758732485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3.74049758732485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10.8</v>
      </c>
      <c r="EJ37" s="13">
        <f>IF('Données projet'!$A$192&gt;35,EJ36+EI37-ER36,IF(A37&lt;'Données projet'!$A$192,$EG$205^A37,IF(A37='Données projet'!$A$192,'Données projet'!$B$192,EJ36+EI37-ER36)))</f>
        <v>136.20000000000005</v>
      </c>
      <c r="EK37" s="18">
        <f>EJ37*VLOOKUP('Données projet'!$B$15,Paramètres!$A$1:$I$89,3,0)*VLOOKUP('Données projet'!$B$15,Paramètres!$A$1:$I$89,5,0)</f>
        <v>129.60792000000004</v>
      </c>
      <c r="EL37" s="14">
        <f t="shared" si="45"/>
        <v>33.905745235418173</v>
      </c>
      <c r="EM37" s="22">
        <f t="shared" si="19"/>
        <v>284.78630028501999</v>
      </c>
      <c r="EN37" s="62">
        <f t="shared" si="20"/>
        <v>578.1196336183533</v>
      </c>
      <c r="EO37" s="62">
        <f ca="1">AVERAGE(OFFSET($EN$3,0,0,'Données projet'!$E$15+1,1))-AVERAGE(OFFSET($H$3,0,0,'Données projet'!$E$15+1,1))</f>
        <v>459.64120566196812</v>
      </c>
      <c r="EP37" s="62">
        <f t="shared" si="46"/>
        <v>290.39826583283588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3.5103131204125511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3.5103131204125511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10.8</v>
      </c>
      <c r="FE37" s="13">
        <f>IF('Données projet'!$A$218&gt;35,FE36+FD37-FM36,IF(A37&lt;'Données projet'!$A$218,$FB$205^A37,IF(A37='Données projet'!$A$218,'Données projet'!$B$218,FE36+FD37-FM36)))</f>
        <v>136.20000000000005</v>
      </c>
      <c r="FF37" s="18">
        <f>FE37*VLOOKUP('Données projet'!$B$16,Paramètres!$A$1:$I$89,3,0)*VLOOKUP('Données projet'!$B$16,Paramètres!$A$1:$I$89,5,0)</f>
        <v>91.362960000000029</v>
      </c>
      <c r="FG37" s="14">
        <f t="shared" si="47"/>
        <v>24.89365002424929</v>
      </c>
      <c r="FH37" s="22">
        <f t="shared" si="22"/>
        <v>202.48026245890085</v>
      </c>
      <c r="FI37" s="62">
        <f t="shared" si="23"/>
        <v>495.8135957922342</v>
      </c>
      <c r="FJ37" s="62">
        <f ca="1">AVERAGE(OFFSET($FI$3,0,0,'Données projet'!$E$16+1,1))-AVERAGE(OFFSET($H$3,0,0,'Données projet'!$E$16+1,1))</f>
        <v>335.83558218229564</v>
      </c>
      <c r="FK37" s="62">
        <f t="shared" si="48"/>
        <v>217.08423061559648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0</v>
      </c>
      <c r="FR37" s="23">
        <f>EXP(-LN(2)/25)*FR36+(1-EXP(-LN(2)/25))/(LN(2)/25)*Calculateur!FM37*Calculateur!FO37*VLOOKUP('Données projet'!$B$16,Paramètres!$A$1:$I$89,3,0)*0.475*44/12</f>
        <v>7.4674928340328393</v>
      </c>
      <c r="FS37" s="23">
        <f>EXP(-LN(2)/2)*FS36+(1-EXP(-LN(2)/2))/(LN(2)/2)*FM37*FP37*VLOOKUP('Données projet'!$B$16,Paramètres!$A$1:$I$89,3,0)*0.475*44/12</f>
        <v>2.7634496108447344</v>
      </c>
      <c r="FT37" s="24">
        <f t="shared" si="24"/>
        <v>10.230942444877574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201</v>
      </c>
      <c r="L38" s="13">
        <f>VLOOKUP(A38,'Données projet'!$A$35:$I$55,9,0)</f>
        <v>12.2</v>
      </c>
      <c r="M38" s="13">
        <f t="array" ref="M38">INDEX(L:L,MIN(IF(ISNUMBER(L38:L234),ROW(L38:L234),"")))</f>
        <v>12.2</v>
      </c>
      <c r="N38" s="14">
        <f>IF('Données projet'!$A$36&gt;35,N37+M38-V37,IF(A38&lt;'Données projet'!$A$36,$K$205^A38,IF(A38='Données projet'!$A$36,'Données projet'!$B$36,N37+M38-V37)))</f>
        <v>200.99999999999997</v>
      </c>
      <c r="O38" s="14">
        <f>N38*VLOOKUP('Données projet'!$B$9,Paramètres!$A$1:$I$89,3,0)*VLOOKUP('Données projet'!$B$9,Paramètres!$A$1:$I$89,5,0)</f>
        <v>175.59359999999998</v>
      </c>
      <c r="P38" s="14">
        <f t="shared" si="33"/>
        <v>44.340433728638573</v>
      </c>
      <c r="Q38" s="22">
        <f t="shared" si="53"/>
        <v>383.05177541071208</v>
      </c>
      <c r="R38" s="62">
        <f t="shared" si="0"/>
        <v>676.3851087440454</v>
      </c>
      <c r="S38" s="62">
        <f ca="1">AVERAGE(OFFSET($R$3,0,0,'Données projet'!$E$9+1,1))-AVERAGE(OFFSET($H$3,0,0,'Données projet'!$E$9+1,1))</f>
        <v>321.23599968992932</v>
      </c>
      <c r="T38" s="62">
        <f t="shared" si="34"/>
        <v>388.05195847800502</v>
      </c>
      <c r="U38" s="16">
        <f>IF(ISNA(VLOOKUP(A38,'Données projet'!$A$35:$I$55,3,0)),0,VLOOKUP(A38,'Données projet'!$A$35:$I$55,3,0))</f>
        <v>5</v>
      </c>
      <c r="V38" s="16">
        <f>IF(ISNA(VLOOKUP(A38,'Données projet'!$A$35:$I$55,4,0)),0,VLOOKUP(A38,'Données projet'!$A$35:$I$55,4,0))</f>
        <v>42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22.270035533805604</v>
      </c>
      <c r="AB38" s="23">
        <f>EXP(-LN(2)/2)*AB37+(1-EXP(-LN(2)/2))/(LN(2)/2)*V38*Y38*VLOOKUP('Données projet'!$B$9,Paramètres!$A$1:$I$89,3,0)*0.475*44/12</f>
        <v>3.2290929334609055</v>
      </c>
      <c r="AC38" s="24">
        <f t="shared" si="3"/>
        <v>25.499128467266509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147</v>
      </c>
      <c r="AG38" s="13">
        <f>VLOOKUP(A38,'Données projet'!$A$61:$I$81,9,0)</f>
        <v>10.8</v>
      </c>
      <c r="AH38" s="13">
        <f t="array" ref="AH38">INDEX(AG:AG,MIN(IF(ISNUMBER(AG38:AG234),ROW(AG38:AG234),"")))</f>
        <v>10.8</v>
      </c>
      <c r="AI38" s="14">
        <f>IF('Données projet'!$A$62&gt;35,AI37+AH38-AQ37,IF(A38&lt;'Données projet'!$A$62,$AF$205^A38,IF(A38='Données projet'!$A$62,'Données projet'!$B$62,AI37+AH38-AQ37)))</f>
        <v>147.00000000000006</v>
      </c>
      <c r="AJ38" s="14">
        <f>AI38*VLOOKUP('Données projet'!$B$10,Paramètres!$A$1:$I$89,3,0)*VLOOKUP('Données projet'!$B$10,Paramètres!$A$1:$I$89,5,0)</f>
        <v>133.00560000000004</v>
      </c>
      <c r="AK38" s="14">
        <f t="shared" si="35"/>
        <v>34.689938673073549</v>
      </c>
      <c r="AL38" s="22">
        <f t="shared" si="4"/>
        <v>292.06972985560316</v>
      </c>
      <c r="AM38" s="62">
        <f t="shared" si="5"/>
        <v>585.40306318893647</v>
      </c>
      <c r="AN38" s="62">
        <f ca="1">AVERAGE(OFFSET($AM$3,0,0,'Données projet'!$E$10+1,1))-AVERAGE(OFFSET($H$3,0,0,'Données projet'!$E$10+1,1))</f>
        <v>439.19854273764042</v>
      </c>
      <c r="AO38" s="62">
        <f t="shared" si="36"/>
        <v>278.21741231699929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28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7.9485102507112106</v>
      </c>
      <c r="AW38" s="23">
        <f>EXP(-LN(2)/2)*AW37+(1-EXP(-LN(2)/2))/(LN(2)/2)*AQ38*AT38*VLOOKUP('Données projet'!$B$10,Paramètres!$A$1:$I$89,3,0)*0.475*44/12</f>
        <v>2.6357006892824884</v>
      </c>
      <c r="AX38" s="23">
        <f t="shared" si="6"/>
        <v>10.584210939993699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206</v>
      </c>
      <c r="BB38" s="13">
        <f>VLOOKUP(A38,'Données projet'!$A$87:$I$107,9,0)</f>
        <v>13</v>
      </c>
      <c r="BC38" s="13">
        <f t="array" ref="BC38">INDEX(BB:BB,MIN(IF(ISNUMBER(BB38:BB234),ROW(BB38:BB234),"")))</f>
        <v>13</v>
      </c>
      <c r="BD38" s="13">
        <f>IF('Données projet'!$A$88&gt;35,BD37+BC38-BL37,IF(A38&lt;'Données projet'!$A$88,$BA$205^A38,IF(A38='Données projet'!$A$88,'Données projet'!$B$88,BD37+BC38-BL37)))</f>
        <v>205.99999999999991</v>
      </c>
      <c r="BE38" s="14">
        <f>BD38*VLOOKUP('Données projet'!$B$11,Paramètres!$A$1:$I$89,3,0)*VLOOKUP('Données projet'!$B$11,Paramètres!$A$1:$I$89,5,0)</f>
        <v>163.89359999999994</v>
      </c>
      <c r="BF38" s="14">
        <f t="shared" si="37"/>
        <v>41.71949506642347</v>
      </c>
      <c r="BG38" s="22">
        <f t="shared" si="7"/>
        <v>358.10947390735402</v>
      </c>
      <c r="BH38" s="62">
        <f t="shared" si="8"/>
        <v>651.44280724068733</v>
      </c>
      <c r="BI38" s="62">
        <f ca="1">AVERAGE(OFFSET($BH$3,0,0,'Données projet'!$E$11+1,1))-AVERAGE(OFFSET($H$3,0,0,'Données projet'!$E$11+1,1))</f>
        <v>352.88510024787888</v>
      </c>
      <c r="BJ38" s="62">
        <f t="shared" si="38"/>
        <v>343.77208530767069</v>
      </c>
      <c r="BK38" s="16">
        <f>IF(ISNA(VLOOKUP(A38,'Données projet'!$A$87:$I$107,3,0)),0,VLOOKUP(A38,'Données projet'!$A$87:$I$107,3,0))</f>
        <v>6</v>
      </c>
      <c r="BL38" s="16">
        <f>IF(ISNA(VLOOKUP(A38,'Données projet'!$A$87:$I$107,4,0)),0,VLOOKUP(A38,'Données projet'!$A$87:$I$107,4,0))</f>
        <v>35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10.699664901587033</v>
      </c>
      <c r="BR38" s="23">
        <f>EXP(-LN(2)/2)*BR37+(1-EXP(-LN(2)/2))/(LN(2)/2)*BL38*BO38*VLOOKUP('Données projet'!$B$11,Paramètres!$A$1:$I$89,3,0)*0.475*44/12</f>
        <v>6.9785890795735522E-2</v>
      </c>
      <c r="BS38" s="24">
        <f t="shared" si="9"/>
        <v>10.769450792382768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206</v>
      </c>
      <c r="BW38" s="13">
        <f>VLOOKUP(A38,'Données projet'!$A$113:$I$133,9,0)</f>
        <v>13</v>
      </c>
      <c r="BX38" s="13">
        <f t="array" ref="BX38">INDEX(BW:BW,MIN(IF(ISNUMBER(BW38:BW234),ROW(BW38:BW234),"")))</f>
        <v>13</v>
      </c>
      <c r="BY38" s="13">
        <f>IF('Données projet'!$A$114&gt;35,BY37+BX38-CG37,IF(A38&lt;'Données projet'!$A$114,$BV$205^A38,IF(A38='Données projet'!$A$114,'Données projet'!$B$114,BY37+BX38-CG37)))</f>
        <v>205.99999999999991</v>
      </c>
      <c r="BZ38" s="14">
        <f>BY38*VLOOKUP('Données projet'!$B$12,Paramètres!$A$1:$I$89,3,0)*VLOOKUP('Données projet'!$B$12,Paramètres!$A$1:$I$89,5,0)</f>
        <v>151.03919999999994</v>
      </c>
      <c r="CA38" s="14">
        <f t="shared" si="39"/>
        <v>38.814652571726043</v>
      </c>
      <c r="CB38" s="22">
        <f t="shared" si="10"/>
        <v>330.66212656242277</v>
      </c>
      <c r="CC38" s="62">
        <f t="shared" si="11"/>
        <v>623.99545989575608</v>
      </c>
      <c r="CD38" s="62">
        <f ca="1">AVERAGE(OFFSET($CC$3,0,0,'Données projet'!$E$12+1,1))-AVERAGE(OFFSET($H$3,0,0,'Données projet'!$E$12+1,1))</f>
        <v>328.10411227536315</v>
      </c>
      <c r="CE38" s="62">
        <f t="shared" si="40"/>
        <v>320.24200483294322</v>
      </c>
      <c r="CF38" s="16">
        <f>IF(ISNA(VLOOKUP(A38,'Données projet'!$A$113:$I$133,3,0)),0,VLOOKUP(A38,'Données projet'!$A$113:$I$133,3,0))</f>
        <v>6</v>
      </c>
      <c r="CG38" s="16">
        <f>IF(ISNA(VLOOKUP(A38,'Données projet'!$A$113:$I$133,4,0)),0,VLOOKUP(A38,'Données projet'!$A$113:$I$133,4,0))</f>
        <v>35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8.2228017722119695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8.2228017722119695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11.5</v>
      </c>
      <c r="CT38" s="13">
        <f>IF('Données projet'!$A$140&gt;35,CT37+CS38-DB37,IF(A38&lt;'Données projet'!$A$140,$CQ$205^A38,IF(A38='Données projet'!$A$140,'Données projet'!$B$140,CT37+CS38-DB37)))</f>
        <v>164.99999999999994</v>
      </c>
      <c r="CU38" s="18">
        <f>CT38*VLOOKUP('Données projet'!$B$13,Paramètres!$A$1:$I$89,3,0)*VLOOKUP('Données projet'!$B$13,Paramètres!$A$1:$I$89,5,0)</f>
        <v>128.69999999999996</v>
      </c>
      <c r="CV38" s="14">
        <f t="shared" si="41"/>
        <v>33.695792019186115</v>
      </c>
      <c r="CW38" s="22">
        <f t="shared" si="13"/>
        <v>282.83933776674911</v>
      </c>
      <c r="CX38" s="62">
        <f t="shared" si="14"/>
        <v>576.17267110008243</v>
      </c>
      <c r="CY38" s="62">
        <f ca="1">AVERAGE(OFFSET($CX$3,0,0,'Données projet'!$E$13+1,1))-AVERAGE(OFFSET($H$3,0,0,'Données projet'!$E$13+1,1))</f>
        <v>288.82868507674738</v>
      </c>
      <c r="CZ38" s="62">
        <f t="shared" si="42"/>
        <v>283.48738729114024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9.2459140577009133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9.2459140577009133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147</v>
      </c>
      <c r="DM38" s="13">
        <f>VLOOKUP(A38,'Données projet'!$A$165:$I$185,9,0)</f>
        <v>10.8</v>
      </c>
      <c r="DN38" s="13">
        <f t="array" ref="DN38">INDEX(DM:DM,MIN(IF(ISNUMBER(DM38:DM234),ROW(DM38:DM234),"")))</f>
        <v>10.8</v>
      </c>
      <c r="DO38" s="13">
        <f>IF('Données projet'!$A$166&gt;35,DO37+DN38-DW37,IF(A38&lt;'Données projet'!$A$166,$DL$205^A38,IF(A38='Données projet'!$A$166,'Données projet'!$B$166,DO37+DN38-DW37)))</f>
        <v>147.00000000000006</v>
      </c>
      <c r="DP38" s="18">
        <f>DO38*VLOOKUP('Données projet'!$B$14,Paramètres!$A$1:$I$89,3,0)*VLOOKUP('Données projet'!$B$14,Paramètres!$A$1:$I$89,5,0)</f>
        <v>149.05800000000008</v>
      </c>
      <c r="DQ38" s="14">
        <f t="shared" si="43"/>
        <v>38.364434314370335</v>
      </c>
      <c r="DR38" s="22">
        <f t="shared" si="16"/>
        <v>326.42740643086182</v>
      </c>
      <c r="DS38" s="62">
        <f t="shared" si="17"/>
        <v>619.76073976419514</v>
      </c>
      <c r="DT38" s="62">
        <f ca="1">AVERAGE(OFFSET($DS$3,0,0,'Données projet'!$E$14+1,1))-AVERAGE(OFFSET($H$3,0,0,'Données projet'!$E$14+1,1))</f>
        <v>487.04124684635974</v>
      </c>
      <c r="DU38" s="62">
        <f t="shared" si="44"/>
        <v>306.61893266146666</v>
      </c>
      <c r="DV38" s="16">
        <f>IF(ISNA(VLOOKUP(A38,'Données projet'!$A$165:$I$185,3,0)),0,VLOOKUP(A38,'Données projet'!$A$165:$I$185,3,0))</f>
        <v>4</v>
      </c>
      <c r="DW38" s="16">
        <f>IF(ISNA(VLOOKUP(A38,'Données projet'!$A$165:$I$185,4,0)),0,VLOOKUP(A38,'Données projet'!$A$165:$I$185,4,0))</f>
        <v>28</v>
      </c>
      <c r="DX38" s="17">
        <f>IF(ISNA(VLOOKUP(A38,'Données projet'!$A$165:$I$185,5,0)),0%,VLOOKUP(A38,'Données projet'!$A$165:$I$185,5,0)*VLOOKUP('Données projet'!$B$14,Paramètres!$A$1:$I$89,7,0))</f>
        <v>0.23650000000000002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11.090059512328597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11.090059512328597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147</v>
      </c>
      <c r="EH38" s="13">
        <f>VLOOKUP(A38,'Données projet'!$A$191:$I$211,9,0)</f>
        <v>10.8</v>
      </c>
      <c r="EI38" s="13">
        <f t="array" ref="EI38">INDEX(EH:EH,MIN(IF(ISNUMBER(EH38:EH234),ROW(EH38:EH234),"")))</f>
        <v>10.8</v>
      </c>
      <c r="EJ38" s="13">
        <f>IF('Données projet'!$A$192&gt;35,EJ37+EI38-ER37,IF(A38&lt;'Données projet'!$A$192,$EG$205^A38,IF(A38='Données projet'!$A$192,'Données projet'!$B$192,EJ37+EI38-ER37)))</f>
        <v>147.00000000000006</v>
      </c>
      <c r="EK38" s="18">
        <f>EJ38*VLOOKUP('Données projet'!$B$15,Paramètres!$A$1:$I$89,3,0)*VLOOKUP('Données projet'!$B$15,Paramètres!$A$1:$I$89,5,0)</f>
        <v>139.88520000000005</v>
      </c>
      <c r="EL38" s="14">
        <f t="shared" si="45"/>
        <v>36.270705171602728</v>
      </c>
      <c r="EM38" s="22">
        <f t="shared" si="19"/>
        <v>306.80486817387487</v>
      </c>
      <c r="EN38" s="62">
        <f t="shared" si="20"/>
        <v>600.13820150720812</v>
      </c>
      <c r="EO38" s="62">
        <f ca="1">AVERAGE(OFFSET($EN$3,0,0,'Données projet'!$E$15+1,1))-AVERAGE(OFFSET($H$3,0,0,'Données projet'!$E$15+1,1))</f>
        <v>459.64120566196812</v>
      </c>
      <c r="EP38" s="62">
        <f t="shared" si="46"/>
        <v>290.39826583283588</v>
      </c>
      <c r="EQ38" s="16">
        <f>IF(ISNA(VLOOKUP(A38,'Données projet'!$A$191:$I$211,3,0)),0,VLOOKUP(A38,'Données projet'!$A$191:$I$211,3,0))</f>
        <v>4</v>
      </c>
      <c r="ER38" s="16">
        <f>IF(ISNA(VLOOKUP(A38,'Données projet'!$A$191:$I$211,4,0)),0,VLOOKUP(A38,'Données projet'!$A$191:$I$211,4,0))</f>
        <v>28</v>
      </c>
      <c r="ES38" s="17">
        <f>IF(ISNA(VLOOKUP(A38,'Données projet'!$A$191:$I$211,5,0)),0%,VLOOKUP(A38,'Données projet'!$A$191:$I$211,5,0)*VLOOKUP('Données projet'!$B$15,Paramètres!$A$1:$I$89,7,0))</f>
        <v>0.23650000000000002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10.407594311569914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10.407594311569914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>
        <f>VLOOKUP(A38,'Données projet'!$A$217:$I$237,2,0)</f>
        <v>147</v>
      </c>
      <c r="FC38" s="13">
        <f>VLOOKUP(A38,'Données projet'!$A$217:$I$237,9,0)</f>
        <v>10.8</v>
      </c>
      <c r="FD38" s="13">
        <f t="array" ref="FD38">INDEX(FC:FC,MIN(IF(ISNUMBER(FC38:FC234),ROW(FC38:FC234),"")))</f>
        <v>10.8</v>
      </c>
      <c r="FE38" s="13">
        <f>IF('Données projet'!$A$218&gt;35,FE37+FD38-FM37,IF(A38&lt;'Données projet'!$A$218,$FB$205^A38,IF(A38='Données projet'!$A$218,'Données projet'!$B$218,FE37+FD38-FM37)))</f>
        <v>147.00000000000006</v>
      </c>
      <c r="FF38" s="18">
        <f>FE38*VLOOKUP('Données projet'!$B$16,Paramètres!$A$1:$I$89,3,0)*VLOOKUP('Données projet'!$B$16,Paramètres!$A$1:$I$89,5,0)</f>
        <v>98.607600000000033</v>
      </c>
      <c r="FG38" s="14">
        <f t="shared" si="47"/>
        <v>26.630007227548578</v>
      </c>
      <c r="FH38" s="22">
        <f t="shared" si="22"/>
        <v>218.12216592131381</v>
      </c>
      <c r="FI38" s="62">
        <f t="shared" si="23"/>
        <v>511.45549925464712</v>
      </c>
      <c r="FJ38" s="62">
        <f ca="1">AVERAGE(OFFSET($FI$3,0,0,'Données projet'!$E$16+1,1))-AVERAGE(OFFSET($H$3,0,0,'Données projet'!$E$16+1,1))</f>
        <v>335.83558218229564</v>
      </c>
      <c r="FK38" s="62">
        <f t="shared" si="48"/>
        <v>217.08423061559648</v>
      </c>
      <c r="FL38" s="16">
        <f>IF(ISNA(VLOOKUP(A38,'Données projet'!$A$217:$I$237,3,0)),0,VLOOKUP(A38,'Données projet'!$A$217:$I$237,3,0))</f>
        <v>4</v>
      </c>
      <c r="FM38" s="16">
        <f>IF(ISNA(VLOOKUP(A38,'Données projet'!$A$217:$I$237,4,0)),0,VLOOKUP(A38,'Données projet'!$A$217:$I$237,4,0))</f>
        <v>28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0</v>
      </c>
      <c r="FR38" s="23">
        <f>EXP(-LN(2)/25)*FR37+(1-EXP(-LN(2)/25))/(LN(2)/25)*Calculateur!FM38*Calculateur!FO38*VLOOKUP('Données projet'!$B$16,Paramètres!$A$1:$I$89,3,0)*0.475*44/12</f>
        <v>7.2632938497878303</v>
      </c>
      <c r="FS38" s="23">
        <f>EXP(-LN(2)/2)*FS37+(1-EXP(-LN(2)/2))/(LN(2)/2)*FM38*FP38*VLOOKUP('Données projet'!$B$16,Paramètres!$A$1:$I$89,3,0)*0.475*44/12</f>
        <v>1.9540539592956376</v>
      </c>
      <c r="FT38" s="24">
        <f t="shared" si="24"/>
        <v>9.2173478090834671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10.8</v>
      </c>
      <c r="N39" s="14">
        <f>IF('Données projet'!$A$36&gt;35,N38+M39-V38,IF(A39&lt;'Données projet'!$A$36,$K$205^A39,IF(A39='Données projet'!$A$36,'Données projet'!$B$36,N38+M39-V38)))</f>
        <v>169.79999999999998</v>
      </c>
      <c r="O39" s="14">
        <f>N39*VLOOKUP('Données projet'!$B$9,Paramètres!$A$1:$I$89,3,0)*VLOOKUP('Données projet'!$B$9,Paramètres!$A$1:$I$89,5,0)</f>
        <v>148.33727999999999</v>
      </c>
      <c r="P39" s="14">
        <f t="shared" si="33"/>
        <v>38.200481752654802</v>
      </c>
      <c r="Q39" s="22">
        <f t="shared" si="53"/>
        <v>324.88660171920714</v>
      </c>
      <c r="R39" s="62">
        <f t="shared" si="0"/>
        <v>618.21993505254045</v>
      </c>
      <c r="S39" s="62">
        <f ca="1">AVERAGE(OFFSET($R$3,0,0,'Données projet'!$E$9+1,1))-AVERAGE(OFFSET($H$3,0,0,'Données projet'!$E$9+1,1))</f>
        <v>321.23599968992932</v>
      </c>
      <c r="T39" s="62">
        <f t="shared" si="34"/>
        <v>388.05195847800502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21.661060241003419</v>
      </c>
      <c r="AB39" s="23">
        <f>EXP(-LN(2)/2)*AB38+(1-EXP(-LN(2)/2))/(LN(2)/2)*V39*Y39*VLOOKUP('Données projet'!$B$9,Paramètres!$A$1:$I$89,3,0)*0.475*44/12</f>
        <v>2.2833135103317677</v>
      </c>
      <c r="AC39" s="24">
        <f t="shared" si="3"/>
        <v>23.944373751335185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11.2</v>
      </c>
      <c r="AI39" s="14">
        <f>IF('Données projet'!$A$62&gt;35,AI38+AH39-AQ38,IF(A39&lt;'Données projet'!$A$62,$AF$205^A39,IF(A39='Données projet'!$A$62,'Données projet'!$B$62,AI38+AH39-AQ38)))</f>
        <v>130.20000000000005</v>
      </c>
      <c r="AJ39" s="14">
        <f>AI39*VLOOKUP('Données projet'!$B$10,Paramètres!$A$1:$I$89,3,0)*VLOOKUP('Données projet'!$B$10,Paramètres!$A$1:$I$89,5,0)</f>
        <v>117.80496000000004</v>
      </c>
      <c r="AK39" s="14">
        <f t="shared" si="35"/>
        <v>31.162493487829593</v>
      </c>
      <c r="AL39" s="22">
        <f t="shared" si="4"/>
        <v>259.45164815796994</v>
      </c>
      <c r="AM39" s="62">
        <f t="shared" si="5"/>
        <v>552.78498149130326</v>
      </c>
      <c r="AN39" s="62">
        <f ca="1">AVERAGE(OFFSET($AM$3,0,0,'Données projet'!$E$10+1,1))-AVERAGE(OFFSET($H$3,0,0,'Données projet'!$E$10+1,1))</f>
        <v>439.19854273764042</v>
      </c>
      <c r="AO39" s="62">
        <f t="shared" si="36"/>
        <v>278.21741231699929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7.731157819911525</v>
      </c>
      <c r="AW39" s="23">
        <f>EXP(-LN(2)/2)*AW38+(1-EXP(-LN(2)/2))/(LN(2)/2)*AQ39*AT39*VLOOKUP('Données projet'!$B$10,Paramètres!$A$1:$I$89,3,0)*0.475*44/12</f>
        <v>1.8637218305697052</v>
      </c>
      <c r="AX39" s="23">
        <f t="shared" si="6"/>
        <v>9.5948796504812304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11.4</v>
      </c>
      <c r="BD39" s="13">
        <f>IF('Données projet'!$A$88&gt;35,BD38+BC39-BL38,IF(A39&lt;'Données projet'!$A$88,$BA$205^A39,IF(A39='Données projet'!$A$88,'Données projet'!$B$88,BD38+BC39-BL38)))</f>
        <v>182.39999999999992</v>
      </c>
      <c r="BE39" s="14">
        <f>BD39*VLOOKUP('Données projet'!$B$11,Paramètres!$A$1:$I$89,3,0)*VLOOKUP('Données projet'!$B$11,Paramètres!$A$1:$I$89,5,0)</f>
        <v>145.11743999999993</v>
      </c>
      <c r="BF39" s="14">
        <f t="shared" si="37"/>
        <v>37.466878406916173</v>
      </c>
      <c r="BG39" s="22">
        <f t="shared" si="7"/>
        <v>318.00102122537891</v>
      </c>
      <c r="BH39" s="62">
        <f t="shared" si="8"/>
        <v>611.33435455871222</v>
      </c>
      <c r="BI39" s="62">
        <f ca="1">AVERAGE(OFFSET($BH$3,0,0,'Données projet'!$E$11+1,1))-AVERAGE(OFFSET($H$3,0,0,'Données projet'!$E$11+1,1))</f>
        <v>352.88510024787888</v>
      </c>
      <c r="BJ39" s="62">
        <f t="shared" si="38"/>
        <v>343.77208530767069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10.407082002182213</v>
      </c>
      <c r="BR39" s="23">
        <f>EXP(-LN(2)/2)*BR38+(1-EXP(-LN(2)/2))/(LN(2)/2)*BL39*BO39*VLOOKUP('Données projet'!$B$11,Paramètres!$A$1:$I$89,3,0)*0.475*44/12</f>
        <v>4.9346076612808459E-2</v>
      </c>
      <c r="BS39" s="24">
        <f t="shared" si="9"/>
        <v>10.456428078795021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11.4</v>
      </c>
      <c r="BY39" s="13">
        <f>IF('Données projet'!$A$114&gt;35,BY38+BX39-CG38,IF(A39&lt;'Données projet'!$A$114,$BV$205^A39,IF(A39='Données projet'!$A$114,'Données projet'!$B$114,BY38+BX39-CG38)))</f>
        <v>182.39999999999992</v>
      </c>
      <c r="BZ39" s="14">
        <f>BY39*VLOOKUP('Données projet'!$B$12,Paramètres!$A$1:$I$89,3,0)*VLOOKUP('Données projet'!$B$12,Paramètres!$A$1:$I$89,5,0)</f>
        <v>133.73567999999992</v>
      </c>
      <c r="CA39" s="14">
        <f t="shared" si="39"/>
        <v>34.858136849359212</v>
      </c>
      <c r="CB39" s="22">
        <f t="shared" si="10"/>
        <v>293.63423101263379</v>
      </c>
      <c r="CC39" s="62">
        <f t="shared" si="11"/>
        <v>586.96756434596705</v>
      </c>
      <c r="CD39" s="62">
        <f ca="1">AVERAGE(OFFSET($CC$3,0,0,'Données projet'!$E$12+1,1))-AVERAGE(OFFSET($H$3,0,0,'Données projet'!$E$12+1,1))</f>
        <v>328.10411227536315</v>
      </c>
      <c r="CE39" s="62">
        <f t="shared" si="40"/>
        <v>320.24200483294322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8.0615576448727424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8.0615576448727424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11.5</v>
      </c>
      <c r="CT39" s="13">
        <f>IF('Données projet'!$A$140&gt;35,CT38+CS39-DB38,IF(A39&lt;'Données projet'!$A$140,$CQ$205^A39,IF(A39='Données projet'!$A$140,'Données projet'!$B$140,CT38+CS39-DB38)))</f>
        <v>176.49999999999994</v>
      </c>
      <c r="CU39" s="18">
        <f>CT39*VLOOKUP('Données projet'!$B$13,Paramètres!$A$1:$I$89,3,0)*VLOOKUP('Données projet'!$B$13,Paramètres!$A$1:$I$89,5,0)</f>
        <v>137.66999999999996</v>
      </c>
      <c r="CV39" s="14">
        <f t="shared" si="41"/>
        <v>35.762714965854656</v>
      </c>
      <c r="CW39" s="22">
        <f t="shared" si="13"/>
        <v>302.06197856553007</v>
      </c>
      <c r="CX39" s="62">
        <f t="shared" si="14"/>
        <v>595.39531189886338</v>
      </c>
      <c r="CY39" s="62">
        <f ca="1">AVERAGE(OFFSET($CX$3,0,0,'Données projet'!$E$13+1,1))-AVERAGE(OFFSET($H$3,0,0,'Données projet'!$E$13+1,1))</f>
        <v>288.82868507674738</v>
      </c>
      <c r="CZ39" s="62">
        <f t="shared" si="42"/>
        <v>283.48738729114024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9.0646073224801249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9.0646073224801249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11.2</v>
      </c>
      <c r="DO39" s="13">
        <f>IF('Données projet'!$A$166&gt;35,DO38+DN39-DW38,IF(A39&lt;'Données projet'!$A$166,$DL$205^A39,IF(A39='Données projet'!$A$166,'Données projet'!$B$166,DO38+DN39-DW38)))</f>
        <v>130.20000000000005</v>
      </c>
      <c r="DP39" s="18">
        <f>DO39*VLOOKUP('Données projet'!$B$14,Paramètres!$A$1:$I$89,3,0)*VLOOKUP('Données projet'!$B$14,Paramètres!$A$1:$I$89,5,0)</f>
        <v>132.02280000000007</v>
      </c>
      <c r="DQ39" s="14">
        <f t="shared" si="43"/>
        <v>34.463348169992798</v>
      </c>
      <c r="DR39" s="22">
        <f t="shared" si="16"/>
        <v>289.96337472940422</v>
      </c>
      <c r="DS39" s="62">
        <f t="shared" si="17"/>
        <v>583.29670806273748</v>
      </c>
      <c r="DT39" s="62">
        <f ca="1">AVERAGE(OFFSET($DS$3,0,0,'Données projet'!$E$14+1,1))-AVERAGE(OFFSET($H$3,0,0,'Données projet'!$E$14+1,1))</f>
        <v>487.04124684635974</v>
      </c>
      <c r="DU39" s="62">
        <f t="shared" si="44"/>
        <v>306.61893266146666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10.87259020956022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10.87259020956022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11.2</v>
      </c>
      <c r="EJ39" s="13">
        <f>IF('Données projet'!$A$192&gt;35,EJ38+EI39-ER38,IF(A39&lt;'Données projet'!$A$192,$EG$205^A39,IF(A39='Données projet'!$A$192,'Données projet'!$B$192,EJ38+EI39-ER38)))</f>
        <v>130.20000000000005</v>
      </c>
      <c r="EK39" s="18">
        <f>EJ39*VLOOKUP('Données projet'!$B$15,Paramètres!$A$1:$I$89,3,0)*VLOOKUP('Données projet'!$B$15,Paramètres!$A$1:$I$89,5,0)</f>
        <v>123.89832000000004</v>
      </c>
      <c r="EL39" s="14">
        <f t="shared" si="45"/>
        <v>32.58251980094704</v>
      </c>
      <c r="EM39" s="22">
        <f t="shared" si="19"/>
        <v>272.53746265331614</v>
      </c>
      <c r="EN39" s="62">
        <f t="shared" si="20"/>
        <v>565.87079598664945</v>
      </c>
      <c r="EO39" s="62">
        <f ca="1">AVERAGE(OFFSET($EN$3,0,0,'Données projet'!$E$15+1,1))-AVERAGE(OFFSET($H$3,0,0,'Données projet'!$E$15+1,1))</f>
        <v>459.64120566196812</v>
      </c>
      <c r="EP39" s="62">
        <f t="shared" si="46"/>
        <v>290.39826583283588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10.203507735125745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10.203507735125745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11.2</v>
      </c>
      <c r="FE39" s="13">
        <f>IF('Données projet'!$A$218&gt;35,FE38+FD39-FM38,IF(A39&lt;'Données projet'!$A$218,$FB$205^A39,IF(A39='Données projet'!$A$218,'Données projet'!$B$218,FE38+FD39-FM38)))</f>
        <v>130.20000000000005</v>
      </c>
      <c r="FF39" s="18">
        <f>FE39*VLOOKUP('Données projet'!$B$16,Paramètres!$A$1:$I$89,3,0)*VLOOKUP('Données projet'!$B$16,Paramètres!$A$1:$I$89,5,0)</f>
        <v>87.33816000000003</v>
      </c>
      <c r="FG39" s="14">
        <f t="shared" si="47"/>
        <v>23.922135885857756</v>
      </c>
      <c r="FH39" s="22">
        <f t="shared" si="22"/>
        <v>193.77834866786895</v>
      </c>
      <c r="FI39" s="62">
        <f t="shared" si="23"/>
        <v>487.11168200120227</v>
      </c>
      <c r="FJ39" s="62">
        <f ca="1">AVERAGE(OFFSET($FI$3,0,0,'Données projet'!$E$16+1,1))-AVERAGE(OFFSET($H$3,0,0,'Données projet'!$E$16+1,1))</f>
        <v>335.83558218229564</v>
      </c>
      <c r="FK39" s="62">
        <f t="shared" si="48"/>
        <v>217.08423061559648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0</v>
      </c>
      <c r="FR39" s="23">
        <f>EXP(-LN(2)/25)*FR38+(1-EXP(-LN(2)/25))/(LN(2)/25)*Calculateur!FM39*Calculateur!FO39*VLOOKUP('Données projet'!$B$16,Paramètres!$A$1:$I$89,3,0)*0.475*44/12</f>
        <v>7.064678697505359</v>
      </c>
      <c r="FS39" s="23">
        <f>EXP(-LN(2)/2)*FS38+(1-EXP(-LN(2)/2))/(LN(2)/2)*FM39*FP39*VLOOKUP('Données projet'!$B$16,Paramètres!$A$1:$I$89,3,0)*0.475*44/12</f>
        <v>1.3817248054223674</v>
      </c>
      <c r="FT39" s="24">
        <f t="shared" si="24"/>
        <v>8.4464035029277262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10.8</v>
      </c>
      <c r="N40" s="14">
        <f>IF('Données projet'!$A$36&gt;35,N39+M40-V39,IF(A40&lt;'Données projet'!$A$36,$K$205^A40,IF(A40='Données projet'!$A$36,'Données projet'!$B$36,N39+M40-V39)))</f>
        <v>180.6</v>
      </c>
      <c r="O40" s="14">
        <f>N40*VLOOKUP('Données projet'!$B$9,Paramètres!$A$1:$I$89,3,0)*VLOOKUP('Données projet'!$B$9,Paramètres!$A$1:$I$89,5,0)</f>
        <v>157.77216000000001</v>
      </c>
      <c r="P40" s="14">
        <f t="shared" si="33"/>
        <v>40.339610539653599</v>
      </c>
      <c r="Q40" s="22">
        <f t="shared" si="53"/>
        <v>345.04466702323003</v>
      </c>
      <c r="R40" s="62">
        <f t="shared" si="0"/>
        <v>638.37800035656335</v>
      </c>
      <c r="S40" s="62">
        <f ca="1">AVERAGE(OFFSET($R$3,0,0,'Données projet'!$E$9+1,1))-AVERAGE(OFFSET($H$3,0,0,'Données projet'!$E$9+1,1))</f>
        <v>321.23599968992932</v>
      </c>
      <c r="T40" s="62">
        <f t="shared" si="34"/>
        <v>388.05195847800502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21.068737409607529</v>
      </c>
      <c r="AB40" s="23">
        <f>EXP(-LN(2)/2)*AB39+(1-EXP(-LN(2)/2))/(LN(2)/2)*V40*Y40*VLOOKUP('Données projet'!$B$9,Paramètres!$A$1:$I$89,3,0)*0.475*44/12</f>
        <v>1.614546466730453</v>
      </c>
      <c r="AC40" s="24">
        <f t="shared" si="3"/>
        <v>22.683283876337981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11.2</v>
      </c>
      <c r="AI40" s="14">
        <f>IF('Données projet'!$A$62&gt;35,AI39+AH40-AQ39,IF(A40&lt;'Données projet'!$A$62,$AF$205^A40,IF(A40='Données projet'!$A$62,'Données projet'!$B$62,AI39+AH40-AQ39)))</f>
        <v>141.40000000000003</v>
      </c>
      <c r="AJ40" s="14">
        <f>AI40*VLOOKUP('Données projet'!$B$10,Paramètres!$A$1:$I$89,3,0)*VLOOKUP('Données projet'!$B$10,Paramètres!$A$1:$I$89,5,0)</f>
        <v>127.93872000000003</v>
      </c>
      <c r="AK40" s="14">
        <f t="shared" si="35"/>
        <v>33.519615889545641</v>
      </c>
      <c r="AL40" s="22">
        <f t="shared" si="4"/>
        <v>281.20660167429202</v>
      </c>
      <c r="AM40" s="62">
        <f t="shared" si="5"/>
        <v>574.53993500762533</v>
      </c>
      <c r="AN40" s="62">
        <f ca="1">AVERAGE(OFFSET($AM$3,0,0,'Données projet'!$E$10+1,1))-AVERAGE(OFFSET($H$3,0,0,'Données projet'!$E$10+1,1))</f>
        <v>439.19854273764042</v>
      </c>
      <c r="AO40" s="62">
        <f t="shared" si="36"/>
        <v>278.21741231699929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7.5197489027621245</v>
      </c>
      <c r="AW40" s="23">
        <f>EXP(-LN(2)/2)*AW39+(1-EXP(-LN(2)/2))/(LN(2)/2)*AQ40*AT40*VLOOKUP('Données projet'!$B$10,Paramètres!$A$1:$I$89,3,0)*0.475*44/12</f>
        <v>1.3178503446412444</v>
      </c>
      <c r="AX40" s="23">
        <f t="shared" si="6"/>
        <v>8.837599247403368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11.4</v>
      </c>
      <c r="BD40" s="13">
        <f>IF('Données projet'!$A$88&gt;35,BD39+BC40-BL39,IF(A40&lt;'Données projet'!$A$88,$BA$205^A40,IF(A40='Données projet'!$A$88,'Données projet'!$B$88,BD39+BC40-BL39)))</f>
        <v>193.79999999999993</v>
      </c>
      <c r="BE40" s="14">
        <f>BD40*VLOOKUP('Données projet'!$B$11,Paramètres!$A$1:$I$89,3,0)*VLOOKUP('Données projet'!$B$11,Paramètres!$A$1:$I$89,5,0)</f>
        <v>154.18727999999996</v>
      </c>
      <c r="BF40" s="14">
        <f t="shared" si="37"/>
        <v>39.528629863903078</v>
      </c>
      <c r="BG40" s="22">
        <f t="shared" si="7"/>
        <v>337.38854301296448</v>
      </c>
      <c r="BH40" s="62">
        <f t="shared" si="8"/>
        <v>630.72187634629779</v>
      </c>
      <c r="BI40" s="62">
        <f ca="1">AVERAGE(OFFSET($BH$3,0,0,'Données projet'!$E$11+1,1))-AVERAGE(OFFSET($H$3,0,0,'Données projet'!$E$11+1,1))</f>
        <v>352.88510024787888</v>
      </c>
      <c r="BJ40" s="62">
        <f t="shared" si="38"/>
        <v>343.77208530767069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10.122499797547883</v>
      </c>
      <c r="BR40" s="23">
        <f>EXP(-LN(2)/2)*BR39+(1-EXP(-LN(2)/2))/(LN(2)/2)*BL40*BO40*VLOOKUP('Données projet'!$B$11,Paramètres!$A$1:$I$89,3,0)*0.475*44/12</f>
        <v>3.4892945397867761E-2</v>
      </c>
      <c r="BS40" s="24">
        <f t="shared" si="9"/>
        <v>10.157392742945751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11.4</v>
      </c>
      <c r="BY40" s="13">
        <f>IF('Données projet'!$A$114&gt;35,BY39+BX40-CG39,IF(A40&lt;'Données projet'!$A$114,$BV$205^A40,IF(A40='Données projet'!$A$114,'Données projet'!$B$114,BY39+BX40-CG39)))</f>
        <v>193.79999999999993</v>
      </c>
      <c r="BZ40" s="14">
        <f>BY40*VLOOKUP('Données projet'!$B$12,Paramètres!$A$1:$I$89,3,0)*VLOOKUP('Données projet'!$B$12,Paramètres!$A$1:$I$89,5,0)</f>
        <v>142.09415999999993</v>
      </c>
      <c r="CA40" s="14">
        <f t="shared" si="39"/>
        <v>36.776332799832325</v>
      </c>
      <c r="CB40" s="22">
        <f t="shared" si="10"/>
        <v>311.53277495970787</v>
      </c>
      <c r="CC40" s="62">
        <f t="shared" si="11"/>
        <v>604.86610829304118</v>
      </c>
      <c r="CD40" s="62">
        <f ca="1">AVERAGE(OFFSET($CC$3,0,0,'Données projet'!$E$12+1,1))-AVERAGE(OFFSET($H$3,0,0,'Données projet'!$E$12+1,1))</f>
        <v>328.10411227536315</v>
      </c>
      <c r="CE40" s="62">
        <f t="shared" si="40"/>
        <v>320.24200483294322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7.9034754165214318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7.9034754165214318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>
        <f>VLOOKUP(A40,'Données projet'!$A$139:$I$159,2,0)</f>
        <v>188</v>
      </c>
      <c r="CR40" s="13">
        <f>VLOOKUP(A40,'Données projet'!$A$139:$I$159,9,0)</f>
        <v>11.5</v>
      </c>
      <c r="CS40" s="13">
        <f t="array" ref="CS40">INDEX(CR:CR,MIN(IF(ISNUMBER(CR40:CR236),ROW(CR40:CR236),"")))</f>
        <v>11.5</v>
      </c>
      <c r="CT40" s="13">
        <f>IF('Données projet'!$A$140&gt;35,CT39+CS40-DB39,IF(A40&lt;'Données projet'!$A$140,$CQ$205^A40,IF(A40='Données projet'!$A$140,'Données projet'!$B$140,CT39+CS40-DB39)))</f>
        <v>187.99999999999994</v>
      </c>
      <c r="CU40" s="18">
        <f>CT40*VLOOKUP('Données projet'!$B$13,Paramètres!$A$1:$I$89,3,0)*VLOOKUP('Données projet'!$B$13,Paramètres!$A$1:$I$89,5,0)</f>
        <v>146.63999999999996</v>
      </c>
      <c r="CV40" s="14">
        <f t="shared" si="41"/>
        <v>37.814009712703026</v>
      </c>
      <c r="CW40" s="22">
        <f t="shared" si="13"/>
        <v>321.25740024962437</v>
      </c>
      <c r="CX40" s="62">
        <f t="shared" si="14"/>
        <v>614.59073358295768</v>
      </c>
      <c r="CY40" s="62">
        <f ca="1">AVERAGE(OFFSET($CX$3,0,0,'Données projet'!$E$13+1,1))-AVERAGE(OFFSET($H$3,0,0,'Données projet'!$E$13+1,1))</f>
        <v>288.82868507674738</v>
      </c>
      <c r="CZ40" s="62">
        <f t="shared" si="42"/>
        <v>283.48738729114024</v>
      </c>
      <c r="DA40" s="16">
        <f>IF(ISNA(VLOOKUP(A40,'Données projet'!$A$139:$I$159,3,0)),0,VLOOKUP(A40,'Données projet'!$A$139:$I$159,3,0))</f>
        <v>5</v>
      </c>
      <c r="DB40" s="16">
        <f>IF(ISNA(VLOOKUP(A40,'Données projet'!$A$139:$I$159,4,0)),0,VLOOKUP(A40,'Données projet'!$A$139:$I$159,4,0))</f>
        <v>36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8.8868559017508257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8.8868559017508257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11.2</v>
      </c>
      <c r="DO40" s="13">
        <f>IF('Données projet'!$A$166&gt;35,DO39+DN40-DW39,IF(A40&lt;'Données projet'!$A$166,$DL$205^A40,IF(A40='Données projet'!$A$166,'Données projet'!$B$166,DO39+DN40-DW39)))</f>
        <v>141.40000000000003</v>
      </c>
      <c r="DP40" s="18">
        <f>DO40*VLOOKUP('Données projet'!$B$14,Paramètres!$A$1:$I$89,3,0)*VLOOKUP('Données projet'!$B$14,Paramètres!$A$1:$I$89,5,0)</f>
        <v>143.37960000000004</v>
      </c>
      <c r="DQ40" s="14">
        <f t="shared" si="43"/>
        <v>37.070146308317469</v>
      </c>
      <c r="DR40" s="22">
        <f t="shared" si="16"/>
        <v>314.28330815365302</v>
      </c>
      <c r="DS40" s="62">
        <f t="shared" si="17"/>
        <v>607.61664148698628</v>
      </c>
      <c r="DT40" s="62">
        <f ca="1">AVERAGE(OFFSET($DS$3,0,0,'Données projet'!$E$14+1,1))-AVERAGE(OFFSET($H$3,0,0,'Données projet'!$E$14+1,1))</f>
        <v>487.04124684635974</v>
      </c>
      <c r="DU40" s="62">
        <f t="shared" si="44"/>
        <v>306.61893266146666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10.659385347175954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10.659385347175954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11.2</v>
      </c>
      <c r="EJ40" s="13">
        <f>IF('Données projet'!$A$192&gt;35,EJ39+EI40-ER39,IF(A40&lt;'Données projet'!$A$192,$EG$205^A40,IF(A40='Données projet'!$A$192,'Données projet'!$B$192,EJ39+EI40-ER39)))</f>
        <v>141.40000000000003</v>
      </c>
      <c r="EK40" s="18">
        <f>EJ40*VLOOKUP('Données projet'!$B$15,Paramètres!$A$1:$I$89,3,0)*VLOOKUP('Données projet'!$B$15,Paramètres!$A$1:$I$89,5,0)</f>
        <v>134.55624000000003</v>
      </c>
      <c r="EL40" s="14">
        <f t="shared" si="45"/>
        <v>35.047052600838754</v>
      </c>
      <c r="EM40" s="22">
        <f t="shared" si="19"/>
        <v>295.39240127979423</v>
      </c>
      <c r="EN40" s="62">
        <f t="shared" si="20"/>
        <v>588.72573461312754</v>
      </c>
      <c r="EO40" s="62">
        <f ca="1">AVERAGE(OFFSET($EN$3,0,0,'Données projet'!$E$15+1,1))-AVERAGE(OFFSET($H$3,0,0,'Données projet'!$E$15+1,1))</f>
        <v>459.64120566196812</v>
      </c>
      <c r="EP40" s="62">
        <f t="shared" si="46"/>
        <v>290.39826583283588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10.003423171965126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10.003423171965126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11.2</v>
      </c>
      <c r="FE40" s="13">
        <f>IF('Données projet'!$A$218&gt;35,FE39+FD40-FM39,IF(A40&lt;'Données projet'!$A$218,$FB$205^A40,IF(A40='Données projet'!$A$218,'Données projet'!$B$218,FE39+FD40-FM39)))</f>
        <v>141.40000000000003</v>
      </c>
      <c r="FF40" s="18">
        <f>FE40*VLOOKUP('Données projet'!$B$16,Paramètres!$A$1:$I$89,3,0)*VLOOKUP('Données projet'!$B$16,Paramètres!$A$1:$I$89,5,0)</f>
        <v>94.851120000000023</v>
      </c>
      <c r="FG40" s="14">
        <f t="shared" si="47"/>
        <v>25.731599638027415</v>
      </c>
      <c r="FH40" s="22">
        <f t="shared" si="22"/>
        <v>210.01490336956445</v>
      </c>
      <c r="FI40" s="62">
        <f t="shared" si="23"/>
        <v>503.34823670289779</v>
      </c>
      <c r="FJ40" s="62">
        <f ca="1">AVERAGE(OFFSET($FI$3,0,0,'Données projet'!$E$16+1,1))-AVERAGE(OFFSET($H$3,0,0,'Données projet'!$E$16+1,1))</f>
        <v>335.83558218229564</v>
      </c>
      <c r="FK40" s="62">
        <f t="shared" si="48"/>
        <v>217.08423061559648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0</v>
      </c>
      <c r="FR40" s="23">
        <f>EXP(-LN(2)/25)*FR39+(1-EXP(-LN(2)/25))/(LN(2)/25)*Calculateur!FM40*Calculateur!FO40*VLOOKUP('Données projet'!$B$16,Paramètres!$A$1:$I$89,3,0)*0.475*44/12</f>
        <v>6.871494687006769</v>
      </c>
      <c r="FS40" s="23">
        <f>EXP(-LN(2)/2)*FS39+(1-EXP(-LN(2)/2))/(LN(2)/2)*FM40*FP40*VLOOKUP('Données projet'!$B$16,Paramètres!$A$1:$I$89,3,0)*0.475*44/12</f>
        <v>0.97702697964781893</v>
      </c>
      <c r="FT40" s="24">
        <f t="shared" si="24"/>
        <v>7.8485216666545883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10.8</v>
      </c>
      <c r="N41" s="14">
        <f>IF('Données projet'!$A$36&gt;35,N40+M41-V40,IF(A41&lt;'Données projet'!$A$36,$K$205^A41,IF(A41='Données projet'!$A$36,'Données projet'!$B$36,N40+M41-V40)))</f>
        <v>191.4</v>
      </c>
      <c r="O41" s="14">
        <f>N41*VLOOKUP('Données projet'!$B$9,Paramètres!$A$1:$I$89,3,0)*VLOOKUP('Données projet'!$B$9,Paramètres!$A$1:$I$89,5,0)</f>
        <v>167.20704000000003</v>
      </c>
      <c r="P41" s="14">
        <f t="shared" si="33"/>
        <v>42.463891647822834</v>
      </c>
      <c r="Q41" s="22">
        <f t="shared" si="53"/>
        <v>365.17687261995815</v>
      </c>
      <c r="R41" s="62">
        <f t="shared" si="0"/>
        <v>658.51020595329146</v>
      </c>
      <c r="S41" s="62">
        <f ca="1">AVERAGE(OFFSET($R$3,0,0,'Données projet'!$E$9+1,1))-AVERAGE(OFFSET($H$3,0,0,'Données projet'!$E$9+1,1))</f>
        <v>321.23599968992932</v>
      </c>
      <c r="T41" s="62">
        <f t="shared" si="34"/>
        <v>388.05195847800502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20.492611677185064</v>
      </c>
      <c r="AB41" s="23">
        <f>EXP(-LN(2)/2)*AB40+(1-EXP(-LN(2)/2))/(LN(2)/2)*V41*Y41*VLOOKUP('Données projet'!$B$9,Paramètres!$A$1:$I$89,3,0)*0.475*44/12</f>
        <v>1.1416567551658838</v>
      </c>
      <c r="AC41" s="24">
        <f t="shared" si="3"/>
        <v>21.634268432350947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11.2</v>
      </c>
      <c r="AI41" s="14">
        <f>IF('Données projet'!$A$62&gt;35,AI40+AH41-AQ40,IF(A41&lt;'Données projet'!$A$62,$AF$205^A41,IF(A41='Données projet'!$A$62,'Données projet'!$B$62,AI40+AH41-AQ40)))</f>
        <v>152.60000000000002</v>
      </c>
      <c r="AJ41" s="14">
        <f>AI41*VLOOKUP('Données projet'!$B$10,Paramètres!$A$1:$I$89,3,0)*VLOOKUP('Données projet'!$B$10,Paramètres!$A$1:$I$89,5,0)</f>
        <v>138.07248000000001</v>
      </c>
      <c r="AK41" s="14">
        <f t="shared" si="35"/>
        <v>35.85508207677799</v>
      </c>
      <c r="AL41" s="22">
        <f t="shared" si="4"/>
        <v>302.9238372837217</v>
      </c>
      <c r="AM41" s="62">
        <f t="shared" si="5"/>
        <v>596.25717061705495</v>
      </c>
      <c r="AN41" s="62">
        <f ca="1">AVERAGE(OFFSET($AM$3,0,0,'Données projet'!$E$10+1,1))-AVERAGE(OFFSET($H$3,0,0,'Données projet'!$E$10+1,1))</f>
        <v>439.19854273764042</v>
      </c>
      <c r="AO41" s="62">
        <f t="shared" si="36"/>
        <v>278.21741231699929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7.3141209735696862</v>
      </c>
      <c r="AW41" s="23">
        <f>EXP(-LN(2)/2)*AW40+(1-EXP(-LN(2)/2))/(LN(2)/2)*AQ41*AT41*VLOOKUP('Données projet'!$B$10,Paramètres!$A$1:$I$89,3,0)*0.475*44/12</f>
        <v>0.93186091528485271</v>
      </c>
      <c r="AX41" s="23">
        <f t="shared" si="6"/>
        <v>8.2459818888545389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11.4</v>
      </c>
      <c r="BD41" s="13">
        <f>IF('Données projet'!$A$88&gt;35,BD40+BC41-BL40,IF(A41&lt;'Données projet'!$A$88,$BA$205^A41,IF(A41='Données projet'!$A$88,'Données projet'!$B$88,BD40+BC41-BL40)))</f>
        <v>205.19999999999993</v>
      </c>
      <c r="BE41" s="14">
        <f>BD41*VLOOKUP('Données projet'!$B$11,Paramètres!$A$1:$I$89,3,0)*VLOOKUP('Données projet'!$B$11,Paramètres!$A$1:$I$89,5,0)</f>
        <v>163.25711999999996</v>
      </c>
      <c r="BF41" s="14">
        <f t="shared" si="37"/>
        <v>41.576304038313033</v>
      </c>
      <c r="BG41" s="22">
        <f t="shared" si="7"/>
        <v>356.7515468667284</v>
      </c>
      <c r="BH41" s="62">
        <f t="shared" si="8"/>
        <v>650.08488020006166</v>
      </c>
      <c r="BI41" s="62">
        <f ca="1">AVERAGE(OFFSET($BH$3,0,0,'Données projet'!$E$11+1,1))-AVERAGE(OFFSET($H$3,0,0,'Données projet'!$E$11+1,1))</f>
        <v>352.88510024787888</v>
      </c>
      <c r="BJ41" s="62">
        <f t="shared" si="38"/>
        <v>343.77208530767069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9.8456995082648078</v>
      </c>
      <c r="BR41" s="23">
        <f>EXP(-LN(2)/2)*BR40+(1-EXP(-LN(2)/2))/(LN(2)/2)*BL41*BO41*VLOOKUP('Données projet'!$B$11,Paramètres!$A$1:$I$89,3,0)*0.475*44/12</f>
        <v>2.467303830640423E-2</v>
      </c>
      <c r="BS41" s="24">
        <f t="shared" si="9"/>
        <v>9.8703725465712129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11.4</v>
      </c>
      <c r="BY41" s="13">
        <f>IF('Données projet'!$A$114&gt;35,BY40+BX41-CG40,IF(A41&lt;'Données projet'!$A$114,$BV$205^A41,IF(A41='Données projet'!$A$114,'Données projet'!$B$114,BY40+BX41-CG40)))</f>
        <v>205.19999999999993</v>
      </c>
      <c r="BZ41" s="14">
        <f>BY41*VLOOKUP('Données projet'!$B$12,Paramètres!$A$1:$I$89,3,0)*VLOOKUP('Données projet'!$B$12,Paramètres!$A$1:$I$89,5,0)</f>
        <v>150.45263999999995</v>
      </c>
      <c r="CA41" s="14">
        <f t="shared" si="39"/>
        <v>38.681431639913605</v>
      </c>
      <c r="CB41" s="22">
        <f t="shared" si="10"/>
        <v>329.40850810618275</v>
      </c>
      <c r="CC41" s="62">
        <f t="shared" si="11"/>
        <v>622.74184143951607</v>
      </c>
      <c r="CD41" s="62">
        <f ca="1">AVERAGE(OFFSET($CC$3,0,0,'Données projet'!$E$12+1,1))-AVERAGE(OFFSET($H$3,0,0,'Données projet'!$E$12+1,1))</f>
        <v>328.10411227536315</v>
      </c>
      <c r="CE41" s="62">
        <f t="shared" si="40"/>
        <v>320.24200483294322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7.7484930842474515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7.7484930842474515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11.142857142857142</v>
      </c>
      <c r="CT41" s="13">
        <f>IF('Données projet'!$A$140&gt;35,CT40+CS41-DB40,IF(A41&lt;'Données projet'!$A$140,$CQ$205^A41,IF(A41='Données projet'!$A$140,'Données projet'!$B$140,CT40+CS41-DB40)))</f>
        <v>163.14285714285708</v>
      </c>
      <c r="CU41" s="18">
        <f>CT41*VLOOKUP('Données projet'!$B$13,Paramètres!$A$1:$I$89,3,0)*VLOOKUP('Données projet'!$B$13,Paramètres!$A$1:$I$89,5,0)</f>
        <v>127.25142857142853</v>
      </c>
      <c r="CV41" s="14">
        <f t="shared" si="41"/>
        <v>33.360457439554281</v>
      </c>
      <c r="CW41" s="22">
        <f t="shared" si="13"/>
        <v>279.73236813579501</v>
      </c>
      <c r="CX41" s="62">
        <f t="shared" si="14"/>
        <v>573.06570146912827</v>
      </c>
      <c r="CY41" s="62">
        <f ca="1">AVERAGE(OFFSET($CX$3,0,0,'Données projet'!$E$13+1,1))-AVERAGE(OFFSET($H$3,0,0,'Données projet'!$E$13+1,1))</f>
        <v>288.82868507674738</v>
      </c>
      <c r="CZ41" s="62">
        <f t="shared" si="42"/>
        <v>283.48738729114024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8.7125900779643679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8.7125900779643679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11.2</v>
      </c>
      <c r="DO41" s="13">
        <f>IF('Données projet'!$A$166&gt;35,DO40+DN41-DW40,IF(A41&lt;'Données projet'!$A$166,$DL$205^A41,IF(A41='Données projet'!$A$166,'Données projet'!$B$166,DO40+DN41-DW40)))</f>
        <v>152.60000000000002</v>
      </c>
      <c r="DP41" s="18">
        <f>DO41*VLOOKUP('Données projet'!$B$14,Paramètres!$A$1:$I$89,3,0)*VLOOKUP('Données projet'!$B$14,Paramètres!$A$1:$I$89,5,0)</f>
        <v>154.73640000000003</v>
      </c>
      <c r="DQ41" s="14">
        <f t="shared" si="43"/>
        <v>39.652994320183701</v>
      </c>
      <c r="DR41" s="22">
        <f t="shared" si="16"/>
        <v>338.56152844098665</v>
      </c>
      <c r="DS41" s="62">
        <f t="shared" si="17"/>
        <v>631.89486177431991</v>
      </c>
      <c r="DT41" s="62">
        <f ca="1">AVERAGE(OFFSET($DS$3,0,0,'Données projet'!$E$14+1,1))-AVERAGE(OFFSET($H$3,0,0,'Données projet'!$E$14+1,1))</f>
        <v>487.04124684635974</v>
      </c>
      <c r="DU41" s="62">
        <f t="shared" si="44"/>
        <v>306.61893266146666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10.450361302100918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10.450361302100918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11.2</v>
      </c>
      <c r="EJ41" s="13">
        <f>IF('Données projet'!$A$192&gt;35,EJ40+EI41-ER40,IF(A41&lt;'Données projet'!$A$192,$EG$205^A41,IF(A41='Données projet'!$A$192,'Données projet'!$B$192,EJ40+EI41-ER40)))</f>
        <v>152.60000000000002</v>
      </c>
      <c r="EK41" s="18">
        <f>EJ41*VLOOKUP('Données projet'!$B$15,Paramètres!$A$1:$I$89,3,0)*VLOOKUP('Données projet'!$B$15,Paramètres!$A$1:$I$89,5,0)</f>
        <v>145.21416000000002</v>
      </c>
      <c r="EL41" s="14">
        <f t="shared" si="45"/>
        <v>37.488942346268111</v>
      </c>
      <c r="EM41" s="22">
        <f t="shared" si="19"/>
        <v>318.20790325308366</v>
      </c>
      <c r="EN41" s="62">
        <f t="shared" si="20"/>
        <v>611.54123658641697</v>
      </c>
      <c r="EO41" s="62">
        <f ca="1">AVERAGE(OFFSET($EN$3,0,0,'Données projet'!$E$15+1,1))-AVERAGE(OFFSET($H$3,0,0,'Données projet'!$E$15+1,1))</f>
        <v>459.64120566196812</v>
      </c>
      <c r="EP41" s="62">
        <f t="shared" si="46"/>
        <v>290.39826583283588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9.8072621450485542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9.8072621450485542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11.2</v>
      </c>
      <c r="FE41" s="13">
        <f>IF('Données projet'!$A$218&gt;35,FE40+FD41-FM40,IF(A41&lt;'Données projet'!$A$218,$FB$205^A41,IF(A41='Données projet'!$A$218,'Données projet'!$B$218,FE40+FD41-FM40)))</f>
        <v>152.60000000000002</v>
      </c>
      <c r="FF41" s="18">
        <f>FE41*VLOOKUP('Données projet'!$B$16,Paramètres!$A$1:$I$89,3,0)*VLOOKUP('Données projet'!$B$16,Paramètres!$A$1:$I$89,5,0)</f>
        <v>102.36408000000002</v>
      </c>
      <c r="FG41" s="14">
        <f t="shared" si="47"/>
        <v>27.524438824969181</v>
      </c>
      <c r="FH41" s="22">
        <f t="shared" si="22"/>
        <v>226.2225036201547</v>
      </c>
      <c r="FI41" s="62">
        <f t="shared" si="23"/>
        <v>519.55583695348798</v>
      </c>
      <c r="FJ41" s="62">
        <f ca="1">AVERAGE(OFFSET($FI$3,0,0,'Données projet'!$E$16+1,1))-AVERAGE(OFFSET($H$3,0,0,'Données projet'!$E$16+1,1))</f>
        <v>335.83558218229564</v>
      </c>
      <c r="FK41" s="62">
        <f t="shared" si="48"/>
        <v>217.08423061559648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0</v>
      </c>
      <c r="FR41" s="23">
        <f>EXP(-LN(2)/25)*FR40+(1-EXP(-LN(2)/25))/(LN(2)/25)*Calculateur!FM41*Calculateur!FO41*VLOOKUP('Données projet'!$B$16,Paramètres!$A$1:$I$89,3,0)*0.475*44/12</f>
        <v>6.6835933034343684</v>
      </c>
      <c r="FS41" s="23">
        <f>EXP(-LN(2)/2)*FS40+(1-EXP(-LN(2)/2))/(LN(2)/2)*FM41*FP41*VLOOKUP('Données projet'!$B$16,Paramètres!$A$1:$I$89,3,0)*0.475*44/12</f>
        <v>0.69086240271118382</v>
      </c>
      <c r="FT41" s="24">
        <f t="shared" si="24"/>
        <v>7.374455706145552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10.8</v>
      </c>
      <c r="N42" s="14">
        <f>IF('Données projet'!$A$36&gt;35,N41+M42-V41,IF(A42&lt;'Données projet'!$A$36,$K$205^A42,IF(A42='Données projet'!$A$36,'Données projet'!$B$36,N41+M42-V41)))</f>
        <v>202.20000000000002</v>
      </c>
      <c r="O42" s="14">
        <f>N42*VLOOKUP('Données projet'!$B$9,Paramètres!$A$1:$I$89,3,0)*VLOOKUP('Données projet'!$B$9,Paramètres!$A$1:$I$89,5,0)</f>
        <v>176.64192000000003</v>
      </c>
      <c r="P42" s="14">
        <f t="shared" si="33"/>
        <v>44.574258350008236</v>
      </c>
      <c r="Q42" s="22">
        <f t="shared" si="53"/>
        <v>385.28484395959771</v>
      </c>
      <c r="R42" s="62">
        <f t="shared" si="0"/>
        <v>678.61817729293102</v>
      </c>
      <c r="S42" s="62">
        <f ca="1">AVERAGE(OFFSET($R$3,0,0,'Données projet'!$E$9+1,1))-AVERAGE(OFFSET($H$3,0,0,'Données projet'!$E$9+1,1))</f>
        <v>321.23599968992932</v>
      </c>
      <c r="T42" s="62">
        <f t="shared" si="34"/>
        <v>388.05195847800502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19.932240133212826</v>
      </c>
      <c r="AB42" s="23">
        <f>EXP(-LN(2)/2)*AB41+(1-EXP(-LN(2)/2))/(LN(2)/2)*V42*Y42*VLOOKUP('Données projet'!$B$9,Paramètres!$A$1:$I$89,3,0)*0.475*44/12</f>
        <v>0.80727323336522649</v>
      </c>
      <c r="AC42" s="24">
        <f t="shared" si="3"/>
        <v>20.739513366578052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11.2</v>
      </c>
      <c r="AI42" s="14">
        <f>IF('Données projet'!$A$62&gt;35,AI41+AH42-AQ41,IF(A42&lt;'Données projet'!$A$62,$AF$205^A42,IF(A42='Données projet'!$A$62,'Données projet'!$B$62,AI41+AH42-AQ41)))</f>
        <v>163.80000000000001</v>
      </c>
      <c r="AJ42" s="14">
        <f>AI42*VLOOKUP('Données projet'!$B$10,Paramètres!$A$1:$I$89,3,0)*VLOOKUP('Données projet'!$B$10,Paramètres!$A$1:$I$89,5,0)</f>
        <v>148.20624000000001</v>
      </c>
      <c r="AK42" s="14">
        <f t="shared" si="35"/>
        <v>38.170662245893794</v>
      </c>
      <c r="AL42" s="22">
        <f t="shared" si="4"/>
        <v>324.60643807826506</v>
      </c>
      <c r="AM42" s="62">
        <f t="shared" si="5"/>
        <v>617.93977141159837</v>
      </c>
      <c r="AN42" s="62">
        <f ca="1">AVERAGE(OFFSET($AM$3,0,0,'Données projet'!$E$10+1,1))-AVERAGE(OFFSET($H$3,0,0,'Données projet'!$E$10+1,1))</f>
        <v>439.19854273764042</v>
      </c>
      <c r="AO42" s="62">
        <f t="shared" si="36"/>
        <v>278.21741231699929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7.1141159509145178</v>
      </c>
      <c r="AW42" s="23">
        <f>EXP(-LN(2)/2)*AW41+(1-EXP(-LN(2)/2))/(LN(2)/2)*AQ42*AT42*VLOOKUP('Données projet'!$B$10,Paramètres!$A$1:$I$89,3,0)*0.475*44/12</f>
        <v>0.65892517232062231</v>
      </c>
      <c r="AX42" s="23">
        <f t="shared" si="6"/>
        <v>7.7730411232351404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11.4</v>
      </c>
      <c r="BD42" s="13">
        <f>IF('Données projet'!$A$88&gt;35,BD41+BC42-BL41,IF(A42&lt;'Données projet'!$A$88,$BA$205^A42,IF(A42='Données projet'!$A$88,'Données projet'!$B$88,BD41+BC42-BL41)))</f>
        <v>216.59999999999994</v>
      </c>
      <c r="BE42" s="14">
        <f>BD42*VLOOKUP('Données projet'!$B$11,Paramètres!$A$1:$I$89,3,0)*VLOOKUP('Données projet'!$B$11,Paramètres!$A$1:$I$89,5,0)</f>
        <v>172.32695999999996</v>
      </c>
      <c r="BF42" s="14">
        <f t="shared" si="37"/>
        <v>43.610772138081288</v>
      </c>
      <c r="BG42" s="22">
        <f t="shared" si="7"/>
        <v>376.09155014049139</v>
      </c>
      <c r="BH42" s="62">
        <f t="shared" si="8"/>
        <v>669.42488347382471</v>
      </c>
      <c r="BI42" s="62">
        <f ca="1">AVERAGE(OFFSET($BH$3,0,0,'Données projet'!$E$11+1,1))-AVERAGE(OFFSET($H$3,0,0,'Données projet'!$E$11+1,1))</f>
        <v>352.88510024787888</v>
      </c>
      <c r="BJ42" s="62">
        <f t="shared" si="38"/>
        <v>343.77208530767069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9.5764683374484729</v>
      </c>
      <c r="BR42" s="23">
        <f>EXP(-LN(2)/2)*BR41+(1-EXP(-LN(2)/2))/(LN(2)/2)*BL42*BO42*VLOOKUP('Données projet'!$B$11,Paramètres!$A$1:$I$89,3,0)*0.475*44/12</f>
        <v>1.7446472698933881E-2</v>
      </c>
      <c r="BS42" s="24">
        <f t="shared" si="9"/>
        <v>9.5939148101474068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11.4</v>
      </c>
      <c r="BY42" s="13">
        <f>IF('Données projet'!$A$114&gt;35,BY41+BX42-CG41,IF(A42&lt;'Données projet'!$A$114,$BV$205^A42,IF(A42='Données projet'!$A$114,'Données projet'!$B$114,BY41+BX42-CG41)))</f>
        <v>216.59999999999994</v>
      </c>
      <c r="BZ42" s="14">
        <f>BY42*VLOOKUP('Données projet'!$B$12,Paramètres!$A$1:$I$89,3,0)*VLOOKUP('Données projet'!$B$12,Paramètres!$A$1:$I$89,5,0)</f>
        <v>158.81111999999996</v>
      </c>
      <c r="CA42" s="14">
        <f t="shared" si="39"/>
        <v>40.57424391712447</v>
      </c>
      <c r="CB42" s="22">
        <f t="shared" si="10"/>
        <v>347.26284215565835</v>
      </c>
      <c r="CC42" s="62">
        <f t="shared" si="11"/>
        <v>640.59617548899166</v>
      </c>
      <c r="CD42" s="62">
        <f ca="1">AVERAGE(OFFSET($CC$3,0,0,'Données projet'!$E$12+1,1))-AVERAGE(OFFSET($H$3,0,0,'Données projet'!$E$12+1,1))</f>
        <v>328.10411227536315</v>
      </c>
      <c r="CE42" s="62">
        <f t="shared" si="40"/>
        <v>320.24200483294322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7.5965498609794757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7.5965498609794757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11.142857142857142</v>
      </c>
      <c r="CT42" s="13">
        <f>IF('Données projet'!$A$140&gt;35,CT41+CS42-DB41,IF(A42&lt;'Données projet'!$A$140,$CQ$205^A42,IF(A42='Données projet'!$A$140,'Données projet'!$B$140,CT41+CS42-DB41)))</f>
        <v>174.28571428571422</v>
      </c>
      <c r="CU42" s="18">
        <f>CT42*VLOOKUP('Données projet'!$B$13,Paramètres!$A$1:$I$89,3,0)*VLOOKUP('Données projet'!$B$13,Paramètres!$A$1:$I$89,5,0)</f>
        <v>135.94285714285709</v>
      </c>
      <c r="CV42" s="14">
        <f t="shared" si="41"/>
        <v>35.365986273808367</v>
      </c>
      <c r="CW42" s="22">
        <f t="shared" si="13"/>
        <v>298.36290228402567</v>
      </c>
      <c r="CX42" s="62">
        <f t="shared" si="14"/>
        <v>591.69623561735898</v>
      </c>
      <c r="CY42" s="62">
        <f ca="1">AVERAGE(OFFSET($CX$3,0,0,'Données projet'!$E$13+1,1))-AVERAGE(OFFSET($H$3,0,0,'Données projet'!$E$13+1,1))</f>
        <v>288.82868507674738</v>
      </c>
      <c r="CZ42" s="62">
        <f t="shared" si="42"/>
        <v>283.48738729114024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8.5417415006907049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8.5417415006907049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11.2</v>
      </c>
      <c r="DO42" s="13">
        <f>IF('Données projet'!$A$166&gt;35,DO41+DN42-DW41,IF(A42&lt;'Données projet'!$A$166,$DL$205^A42,IF(A42='Données projet'!$A$166,'Données projet'!$B$166,DO41+DN42-DW41)))</f>
        <v>163.80000000000001</v>
      </c>
      <c r="DP42" s="18">
        <f>DO42*VLOOKUP('Données projet'!$B$14,Paramètres!$A$1:$I$89,3,0)*VLOOKUP('Données projet'!$B$14,Paramètres!$A$1:$I$89,5,0)</f>
        <v>166.09320000000002</v>
      </c>
      <c r="DQ42" s="14">
        <f t="shared" si="43"/>
        <v>42.213849908165905</v>
      </c>
      <c r="DR42" s="22">
        <f t="shared" si="16"/>
        <v>362.80144525672227</v>
      </c>
      <c r="DS42" s="62">
        <f t="shared" si="17"/>
        <v>656.13477859005559</v>
      </c>
      <c r="DT42" s="62">
        <f ca="1">AVERAGE(OFFSET($DS$3,0,0,'Données projet'!$E$14+1,1))-AVERAGE(OFFSET($H$3,0,0,'Données projet'!$E$14+1,1))</f>
        <v>487.04124684635974</v>
      </c>
      <c r="DU42" s="62">
        <f t="shared" si="44"/>
        <v>306.61893266146666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10.245436091057723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10.245436091057723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11.2</v>
      </c>
      <c r="EJ42" s="13">
        <f>IF('Données projet'!$A$192&gt;35,EJ41+EI42-ER41,IF(A42&lt;'Données projet'!$A$192,$EG$205^A42,IF(A42='Données projet'!$A$192,'Données projet'!$B$192,EJ41+EI42-ER41)))</f>
        <v>163.80000000000001</v>
      </c>
      <c r="EK42" s="18">
        <f>EJ42*VLOOKUP('Données projet'!$B$15,Paramètres!$A$1:$I$89,3,0)*VLOOKUP('Données projet'!$B$15,Paramètres!$A$1:$I$89,5,0)</f>
        <v>155.87208000000001</v>
      </c>
      <c r="EL42" s="14">
        <f t="shared" si="45"/>
        <v>39.910039898694805</v>
      </c>
      <c r="EM42" s="22">
        <f t="shared" si="19"/>
        <v>340.98719215689346</v>
      </c>
      <c r="EN42" s="62">
        <f t="shared" si="20"/>
        <v>634.32052549022683</v>
      </c>
      <c r="EO42" s="62">
        <f ca="1">AVERAGE(OFFSET($EN$3,0,0,'Données projet'!$E$15+1,1))-AVERAGE(OFFSET($H$3,0,0,'Données projet'!$E$15+1,1))</f>
        <v>459.64120566196812</v>
      </c>
      <c r="EP42" s="62">
        <f t="shared" si="46"/>
        <v>290.39826583283588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9.6149477162234032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9.6149477162234032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11.2</v>
      </c>
      <c r="FE42" s="13">
        <f>IF('Données projet'!$A$218&gt;35,FE41+FD42-FM41,IF(A42&lt;'Données projet'!$A$218,$FB$205^A42,IF(A42='Données projet'!$A$218,'Données projet'!$B$218,FE41+FD42-FM41)))</f>
        <v>163.80000000000001</v>
      </c>
      <c r="FF42" s="18">
        <f>FE42*VLOOKUP('Données projet'!$B$16,Paramètres!$A$1:$I$89,3,0)*VLOOKUP('Données projet'!$B$16,Paramètres!$A$1:$I$89,5,0)</f>
        <v>109.87703999999999</v>
      </c>
      <c r="FG42" s="14">
        <f t="shared" si="47"/>
        <v>29.302012351998378</v>
      </c>
      <c r="FH42" s="22">
        <f t="shared" si="22"/>
        <v>242.40351617973047</v>
      </c>
      <c r="FI42" s="62">
        <f t="shared" si="23"/>
        <v>535.73684951306382</v>
      </c>
      <c r="FJ42" s="62">
        <f ca="1">AVERAGE(OFFSET($FI$3,0,0,'Données projet'!$E$16+1,1))-AVERAGE(OFFSET($H$3,0,0,'Données projet'!$E$16+1,1))</f>
        <v>335.83558218229564</v>
      </c>
      <c r="FK42" s="62">
        <f t="shared" si="48"/>
        <v>217.08423061559648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0</v>
      </c>
      <c r="FR42" s="23">
        <f>EXP(-LN(2)/25)*FR41+(1-EXP(-LN(2)/25))/(LN(2)/25)*Calculateur!FM42*Calculateur!FO42*VLOOKUP('Données projet'!$B$16,Paramètres!$A$1:$I$89,3,0)*0.475*44/12</f>
        <v>6.5008300930770595</v>
      </c>
      <c r="FS42" s="23">
        <f>EXP(-LN(2)/2)*FS41+(1-EXP(-LN(2)/2))/(LN(2)/2)*FM42*FP42*VLOOKUP('Données projet'!$B$16,Paramètres!$A$1:$I$89,3,0)*0.475*44/12</f>
        <v>0.48851348982390957</v>
      </c>
      <c r="FT42" s="24">
        <f t="shared" si="24"/>
        <v>6.9893435829009691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213</v>
      </c>
      <c r="L43" s="13">
        <f>VLOOKUP(A43,'Données projet'!$A$35:$I$55,9,0)</f>
        <v>10.8</v>
      </c>
      <c r="M43" s="13">
        <f t="array" ref="M43">INDEX(L:L,MIN(IF(ISNUMBER(L43:L239),ROW(L43:L239),"")))</f>
        <v>10.8</v>
      </c>
      <c r="N43" s="14">
        <f>IF('Données projet'!$A$36&gt;35,N42+M43-V42,IF(A43&lt;'Données projet'!$A$36,$K$205^A43,IF(A43='Données projet'!$A$36,'Données projet'!$B$36,N42+M43-V42)))</f>
        <v>213.00000000000003</v>
      </c>
      <c r="O43" s="14">
        <f>N43*VLOOKUP('Données projet'!$B$9,Paramètres!$A$1:$I$89,3,0)*VLOOKUP('Données projet'!$B$9,Paramètres!$A$1:$I$89,5,0)</f>
        <v>186.07680000000005</v>
      </c>
      <c r="P43" s="14">
        <f t="shared" si="33"/>
        <v>46.671538591528673</v>
      </c>
      <c r="Q43" s="22">
        <f t="shared" si="53"/>
        <v>405.37002304691242</v>
      </c>
      <c r="R43" s="62">
        <f t="shared" si="0"/>
        <v>698.70335638024574</v>
      </c>
      <c r="S43" s="62">
        <f ca="1">AVERAGE(OFFSET($R$3,0,0,'Données projet'!$E$9+1,1))-AVERAGE(OFFSET($H$3,0,0,'Données projet'!$E$9+1,1))</f>
        <v>321.23599968992932</v>
      </c>
      <c r="T43" s="62">
        <f t="shared" si="34"/>
        <v>388.05195847800502</v>
      </c>
      <c r="U43" s="16">
        <f>IF(ISNA(VLOOKUP(A43,'Données projet'!$A$35:$I$55,3,0)),0,VLOOKUP(A43,'Données projet'!$A$35:$I$55,3,0))</f>
        <v>6</v>
      </c>
      <c r="V43" s="16">
        <f>IF(ISNA(VLOOKUP(A43,'Données projet'!$A$35:$I$55,4,0)),0,VLOOKUP(A43,'Données projet'!$A$35:$I$55,4,0))</f>
        <v>39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19.387191978579168</v>
      </c>
      <c r="AB43" s="23">
        <f>EXP(-LN(2)/2)*AB42+(1-EXP(-LN(2)/2))/(LN(2)/2)*V43*Y43*VLOOKUP('Données projet'!$B$9,Paramètres!$A$1:$I$89,3,0)*0.475*44/12</f>
        <v>0.57082837758294191</v>
      </c>
      <c r="AC43" s="24">
        <f t="shared" si="3"/>
        <v>19.958020356162109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175</v>
      </c>
      <c r="AG43" s="13">
        <f>VLOOKUP(A43,'Données projet'!$A$61:$I$81,9,0)</f>
        <v>11.2</v>
      </c>
      <c r="AH43" s="13">
        <f t="array" ref="AH43">INDEX(AG:AG,MIN(IF(ISNUMBER(AG43:AG239),ROW(AG43:AG239),"")))</f>
        <v>11.2</v>
      </c>
      <c r="AI43" s="14">
        <f>IF('Données projet'!$A$62&gt;35,AI42+AH43-AQ42,IF(A43&lt;'Données projet'!$A$62,$AF$205^A43,IF(A43='Données projet'!$A$62,'Données projet'!$B$62,AI42+AH43-AQ42)))</f>
        <v>175</v>
      </c>
      <c r="AJ43" s="14">
        <f>AI43*VLOOKUP('Données projet'!$B$10,Paramètres!$A$1:$I$89,3,0)*VLOOKUP('Données projet'!$B$10,Paramètres!$A$1:$I$89,5,0)</f>
        <v>158.34</v>
      </c>
      <c r="AK43" s="14">
        <f t="shared" si="35"/>
        <v>40.467870812652819</v>
      </c>
      <c r="AL43" s="22">
        <f t="shared" si="4"/>
        <v>346.25704166537031</v>
      </c>
      <c r="AM43" s="62">
        <f t="shared" si="5"/>
        <v>639.59037499870362</v>
      </c>
      <c r="AN43" s="62">
        <f ca="1">AVERAGE(OFFSET($AM$3,0,0,'Données projet'!$E$10+1,1))-AVERAGE(OFFSET($H$3,0,0,'Données projet'!$E$10+1,1))</f>
        <v>439.19854273764042</v>
      </c>
      <c r="AO43" s="62">
        <f t="shared" si="36"/>
        <v>278.21741231699929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28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6.9195800761216617</v>
      </c>
      <c r="AW43" s="23">
        <f>EXP(-LN(2)/2)*AW42+(1-EXP(-LN(2)/2))/(LN(2)/2)*AQ43*AT43*VLOOKUP('Données projet'!$B$10,Paramètres!$A$1:$I$89,3,0)*0.475*44/12</f>
        <v>0.46593045764242641</v>
      </c>
      <c r="AX43" s="23">
        <f t="shared" si="6"/>
        <v>7.3855105337640881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228</v>
      </c>
      <c r="BB43" s="13">
        <f>VLOOKUP(A43,'Données projet'!$A$87:$I$107,9,0)</f>
        <v>11.4</v>
      </c>
      <c r="BC43" s="13">
        <f t="array" ref="BC43">INDEX(BB:BB,MIN(IF(ISNUMBER(BB43:BB239),ROW(BB43:BB239),"")))</f>
        <v>11.4</v>
      </c>
      <c r="BD43" s="13">
        <f>IF('Données projet'!$A$88&gt;35,BD42+BC43-BL42,IF(A43&lt;'Données projet'!$A$88,$BA$205^A43,IF(A43='Données projet'!$A$88,'Données projet'!$B$88,BD42+BC43-BL42)))</f>
        <v>227.99999999999994</v>
      </c>
      <c r="BE43" s="14">
        <f>BD43*VLOOKUP('Données projet'!$B$11,Paramètres!$A$1:$I$89,3,0)*VLOOKUP('Données projet'!$B$11,Paramètres!$A$1:$I$89,5,0)</f>
        <v>181.39679999999996</v>
      </c>
      <c r="BF43" s="14">
        <f t="shared" si="37"/>
        <v>45.63280848550832</v>
      </c>
      <c r="BG43" s="22">
        <f t="shared" si="7"/>
        <v>395.40990144559356</v>
      </c>
      <c r="BH43" s="62">
        <f t="shared" si="8"/>
        <v>688.74323477892688</v>
      </c>
      <c r="BI43" s="62">
        <f ca="1">AVERAGE(OFFSET($BH$3,0,0,'Données projet'!$E$11+1,1))-AVERAGE(OFFSET($H$3,0,0,'Données projet'!$E$11+1,1))</f>
        <v>352.88510024787888</v>
      </c>
      <c r="BJ43" s="62">
        <f t="shared" si="38"/>
        <v>343.77208530767069</v>
      </c>
      <c r="BK43" s="16">
        <f>IF(ISNA(VLOOKUP(A43,'Données projet'!$A$87:$I$107,3,0)),0,VLOOKUP(A43,'Données projet'!$A$87:$I$107,3,0))</f>
        <v>7</v>
      </c>
      <c r="BL43" s="16">
        <f>IF(ISNA(VLOOKUP(A43,'Données projet'!$A$87:$I$107,4,0)),0,VLOOKUP(A43,'Données projet'!$A$87:$I$107,4,0))</f>
        <v>35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9.314599307156362</v>
      </c>
      <c r="BR43" s="23">
        <f>EXP(-LN(2)/2)*BR42+(1-EXP(-LN(2)/2))/(LN(2)/2)*BL43*BO43*VLOOKUP('Données projet'!$B$11,Paramètres!$A$1:$I$89,3,0)*0.475*44/12</f>
        <v>1.2336519153202115E-2</v>
      </c>
      <c r="BS43" s="24">
        <f t="shared" si="9"/>
        <v>9.3269358263095636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228</v>
      </c>
      <c r="BW43" s="13">
        <f>VLOOKUP(A43,'Données projet'!$A$113:$I$133,9,0)</f>
        <v>11.4</v>
      </c>
      <c r="BX43" s="13">
        <f t="array" ref="BX43">INDEX(BW:BW,MIN(IF(ISNUMBER(BW43:BW239),ROW(BW43:BW239),"")))</f>
        <v>11.4</v>
      </c>
      <c r="BY43" s="13">
        <f>IF('Données projet'!$A$114&gt;35,BY42+BX43-CG42,IF(A43&lt;'Données projet'!$A$114,$BV$205^A43,IF(A43='Données projet'!$A$114,'Données projet'!$B$114,BY42+BX43-CG42)))</f>
        <v>227.99999999999994</v>
      </c>
      <c r="BZ43" s="14">
        <f>BY43*VLOOKUP('Données projet'!$B$12,Paramètres!$A$1:$I$89,3,0)*VLOOKUP('Données projet'!$B$12,Paramètres!$A$1:$I$89,5,0)</f>
        <v>167.16959999999995</v>
      </c>
      <c r="CA43" s="14">
        <f t="shared" si="39"/>
        <v>42.455490039298816</v>
      </c>
      <c r="CB43" s="22">
        <f t="shared" si="10"/>
        <v>365.09703181844537</v>
      </c>
      <c r="CC43" s="62">
        <f t="shared" si="11"/>
        <v>658.43036515177869</v>
      </c>
      <c r="CD43" s="62">
        <f ca="1">AVERAGE(OFFSET($CC$3,0,0,'Données projet'!$E$12+1,1))-AVERAGE(OFFSET($H$3,0,0,'Données projet'!$E$12+1,1))</f>
        <v>328.10411227536315</v>
      </c>
      <c r="CE43" s="62">
        <f t="shared" si="40"/>
        <v>320.24200483294322</v>
      </c>
      <c r="CF43" s="16">
        <f>IF(ISNA(VLOOKUP(A43,'Données projet'!$A$113:$I$133,3,0)),0,VLOOKUP(A43,'Données projet'!$A$113:$I$133,3,0))</f>
        <v>7</v>
      </c>
      <c r="CG43" s="16">
        <f>IF(ISNA(VLOOKUP(A43,'Données projet'!$A$113:$I$133,4,0)),0,VLOOKUP(A43,'Données projet'!$A$113:$I$133,4,0))</f>
        <v>35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7.4475861516435691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7.4475861516435691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11.142857142857142</v>
      </c>
      <c r="CT43" s="13">
        <f>IF('Données projet'!$A$140&gt;35,CT42+CS43-DB42,IF(A43&lt;'Données projet'!$A$140,$CQ$205^A43,IF(A43='Données projet'!$A$140,'Données projet'!$B$140,CT42+CS43-DB42)))</f>
        <v>185.42857142857136</v>
      </c>
      <c r="CU43" s="18">
        <f>CT43*VLOOKUP('Données projet'!$B$13,Paramètres!$A$1:$I$89,3,0)*VLOOKUP('Données projet'!$B$13,Paramètres!$A$1:$I$89,5,0)</f>
        <v>144.63428571428565</v>
      </c>
      <c r="CV43" s="14">
        <f t="shared" si="41"/>
        <v>37.356634728420524</v>
      </c>
      <c r="CW43" s="22">
        <f t="shared" si="13"/>
        <v>316.96751977104657</v>
      </c>
      <c r="CX43" s="62">
        <f t="shared" si="14"/>
        <v>610.30085310437994</v>
      </c>
      <c r="CY43" s="62">
        <f ca="1">AVERAGE(OFFSET($CX$3,0,0,'Données projet'!$E$13+1,1))-AVERAGE(OFFSET($H$3,0,0,'Données projet'!$E$13+1,1))</f>
        <v>288.82868507674738</v>
      </c>
      <c r="CZ43" s="62">
        <f t="shared" si="42"/>
        <v>283.48738729114024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8.3742431598100353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8.3742431598100353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175</v>
      </c>
      <c r="DM43" s="13">
        <f>VLOOKUP(A43,'Données projet'!$A$165:$I$185,9,0)</f>
        <v>11.2</v>
      </c>
      <c r="DN43" s="13">
        <f t="array" ref="DN43">INDEX(DM:DM,MIN(IF(ISNUMBER(DM43:DM239),ROW(DM43:DM239),"")))</f>
        <v>11.2</v>
      </c>
      <c r="DO43" s="13">
        <f>IF('Données projet'!$A$166&gt;35,DO42+DN43-DW42,IF(A43&lt;'Données projet'!$A$166,$DL$205^A43,IF(A43='Données projet'!$A$166,'Données projet'!$B$166,DO42+DN43-DW42)))</f>
        <v>175</v>
      </c>
      <c r="DP43" s="18">
        <f>DO43*VLOOKUP('Données projet'!$B$14,Paramètres!$A$1:$I$89,3,0)*VLOOKUP('Données projet'!$B$14,Paramètres!$A$1:$I$89,5,0)</f>
        <v>177.45000000000002</v>
      </c>
      <c r="DQ43" s="14">
        <f t="shared" si="43"/>
        <v>44.754387900936791</v>
      </c>
      <c r="DR43" s="22">
        <f t="shared" si="16"/>
        <v>387.0059755941316</v>
      </c>
      <c r="DS43" s="62">
        <f t="shared" si="17"/>
        <v>680.33930892746491</v>
      </c>
      <c r="DT43" s="62">
        <f ca="1">AVERAGE(OFFSET($DS$3,0,0,'Données projet'!$E$14+1,1))-AVERAGE(OFFSET($H$3,0,0,'Données projet'!$E$14+1,1))</f>
        <v>487.04124684635974</v>
      </c>
      <c r="DU43" s="62">
        <f t="shared" si="44"/>
        <v>306.61893266146666</v>
      </c>
      <c r="DV43" s="16">
        <f>IF(ISNA(VLOOKUP(A43,'Données projet'!$A$165:$I$185,3,0)),0,VLOOKUP(A43,'Données projet'!$A$165:$I$185,3,0))</f>
        <v>5</v>
      </c>
      <c r="DW43" s="16">
        <f>IF(ISNA(VLOOKUP(A43,'Données projet'!$A$165:$I$185,4,0)),0,VLOOKUP(A43,'Données projet'!$A$165:$I$185,4,0))</f>
        <v>28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10.044529338411049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10.044529338411049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175</v>
      </c>
      <c r="EH43" s="13">
        <f>VLOOKUP(A43,'Données projet'!$A$191:$I$211,9,0)</f>
        <v>11.2</v>
      </c>
      <c r="EI43" s="13">
        <f t="array" ref="EI43">INDEX(EH:EH,MIN(IF(ISNUMBER(EH43:EH239),ROW(EH43:EH239),"")))</f>
        <v>11.2</v>
      </c>
      <c r="EJ43" s="13">
        <f>IF('Données projet'!$A$192&gt;35,EJ42+EI43-ER42,IF(A43&lt;'Données projet'!$A$192,$EG$205^A43,IF(A43='Données projet'!$A$192,'Données projet'!$B$192,EJ42+EI43-ER42)))</f>
        <v>175</v>
      </c>
      <c r="EK43" s="18">
        <f>EJ43*VLOOKUP('Données projet'!$B$15,Paramètres!$A$1:$I$89,3,0)*VLOOKUP('Données projet'!$B$15,Paramètres!$A$1:$I$89,5,0)</f>
        <v>166.53</v>
      </c>
      <c r="EL43" s="14">
        <f t="shared" si="45"/>
        <v>42.311928683446922</v>
      </c>
      <c r="EM43" s="22">
        <f t="shared" si="19"/>
        <v>363.73302579033674</v>
      </c>
      <c r="EN43" s="62">
        <f t="shared" si="20"/>
        <v>657.06635912367005</v>
      </c>
      <c r="EO43" s="62">
        <f ca="1">AVERAGE(OFFSET($EN$3,0,0,'Données projet'!$E$15+1,1))-AVERAGE(OFFSET($H$3,0,0,'Données projet'!$E$15+1,1))</f>
        <v>459.64120566196812</v>
      </c>
      <c r="EP43" s="62">
        <f t="shared" si="46"/>
        <v>290.39826583283588</v>
      </c>
      <c r="EQ43" s="16">
        <f>IF(ISNA(VLOOKUP(A43,'Données projet'!$A$191:$I$211,3,0)),0,VLOOKUP(A43,'Données projet'!$A$191:$I$211,3,0))</f>
        <v>5</v>
      </c>
      <c r="ER43" s="16">
        <f>IF(ISNA(VLOOKUP(A43,'Données projet'!$A$191:$I$211,4,0)),0,VLOOKUP(A43,'Données projet'!$A$191:$I$211,4,0))</f>
        <v>28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9.4264044560472939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9.4264044560472939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>
        <f>VLOOKUP(A43,'Données projet'!$A$217:$I$237,2,0)</f>
        <v>175</v>
      </c>
      <c r="FC43" s="13">
        <f>VLOOKUP(A43,'Données projet'!$A$217:$I$237,9,0)</f>
        <v>11.2</v>
      </c>
      <c r="FD43" s="13">
        <f t="array" ref="FD43">INDEX(FC:FC,MIN(IF(ISNUMBER(FC43:FC239),ROW(FC43:FC239),"")))</f>
        <v>11.2</v>
      </c>
      <c r="FE43" s="13">
        <f>IF('Données projet'!$A$218&gt;35,FE42+FD43-FM42,IF(A43&lt;'Données projet'!$A$218,$FB$205^A43,IF(A43='Données projet'!$A$218,'Données projet'!$B$218,FE42+FD43-FM42)))</f>
        <v>175</v>
      </c>
      <c r="FF43" s="18">
        <f>FE43*VLOOKUP('Données projet'!$B$16,Paramètres!$A$1:$I$89,3,0)*VLOOKUP('Données projet'!$B$16,Paramètres!$A$1:$I$89,5,0)</f>
        <v>117.39</v>
      </c>
      <c r="FG43" s="14">
        <f t="shared" si="47"/>
        <v>31.065482772413461</v>
      </c>
      <c r="FH43" s="22">
        <f t="shared" si="22"/>
        <v>258.55996582862014</v>
      </c>
      <c r="FI43" s="62">
        <f t="shared" si="23"/>
        <v>551.89329916195345</v>
      </c>
      <c r="FJ43" s="62">
        <f ca="1">AVERAGE(OFFSET($FI$3,0,0,'Données projet'!$E$16+1,1))-AVERAGE(OFFSET($H$3,0,0,'Données projet'!$E$16+1,1))</f>
        <v>335.83558218229564</v>
      </c>
      <c r="FK43" s="62">
        <f t="shared" si="48"/>
        <v>217.08423061559648</v>
      </c>
      <c r="FL43" s="16">
        <f>IF(ISNA(VLOOKUP(A43,'Données projet'!$A$217:$I$237,3,0)),0,VLOOKUP(A43,'Données projet'!$A$217:$I$237,3,0))</f>
        <v>5</v>
      </c>
      <c r="FM43" s="16">
        <f>IF(ISNA(VLOOKUP(A43,'Données projet'!$A$217:$I$237,4,0)),0,VLOOKUP(A43,'Données projet'!$A$217:$I$237,4,0))</f>
        <v>28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0</v>
      </c>
      <c r="FR43" s="23">
        <f>EXP(-LN(2)/25)*FR42+(1-EXP(-LN(2)/25))/(LN(2)/25)*Calculateur!FM43*Calculateur!FO43*VLOOKUP('Données projet'!$B$16,Paramètres!$A$1:$I$89,3,0)*0.475*44/12</f>
        <v>6.3230645523180709</v>
      </c>
      <c r="FS43" s="23">
        <f>EXP(-LN(2)/2)*FS42+(1-EXP(-LN(2)/2))/(LN(2)/2)*FM43*FP43*VLOOKUP('Données projet'!$B$16,Paramètres!$A$1:$I$89,3,0)*0.475*44/12</f>
        <v>0.34543120135559197</v>
      </c>
      <c r="FT43" s="24">
        <f t="shared" si="24"/>
        <v>6.6684957536736631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9.8000000000000007</v>
      </c>
      <c r="N44" s="14">
        <f>IF('Données projet'!$A$36&gt;35,N43+M44-V43,IF(A44&lt;'Données projet'!$A$36,$K$205^A44,IF(A44='Données projet'!$A$36,'Données projet'!$B$36,N43+M44-V43)))</f>
        <v>183.80000000000004</v>
      </c>
      <c r="O44" s="14">
        <f>N44*VLOOKUP('Données projet'!$B$9,Paramètres!$A$1:$I$89,3,0)*VLOOKUP('Données projet'!$B$9,Paramètres!$A$1:$I$89,5,0)</f>
        <v>160.56768000000005</v>
      </c>
      <c r="P44" s="14">
        <f t="shared" si="33"/>
        <v>40.970530810309882</v>
      </c>
      <c r="Q44" s="22">
        <f t="shared" si="53"/>
        <v>351.0123838279564</v>
      </c>
      <c r="R44" s="62">
        <f t="shared" si="0"/>
        <v>644.34571716128971</v>
      </c>
      <c r="S44" s="62">
        <f ca="1">AVERAGE(OFFSET($R$3,0,0,'Données projet'!$E$9+1,1))-AVERAGE(OFFSET($H$3,0,0,'Données projet'!$E$9+1,1))</f>
        <v>321.23599968992932</v>
      </c>
      <c r="T44" s="62">
        <f t="shared" si="34"/>
        <v>388.05195847800502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18.857048194396803</v>
      </c>
      <c r="AB44" s="23">
        <f>EXP(-LN(2)/2)*AB43+(1-EXP(-LN(2)/2))/(LN(2)/2)*V44*Y44*VLOOKUP('Données projet'!$B$9,Paramètres!$A$1:$I$89,3,0)*0.475*44/12</f>
        <v>0.40363661668261325</v>
      </c>
      <c r="AC44" s="24">
        <f t="shared" si="3"/>
        <v>19.260684811079418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11.4</v>
      </c>
      <c r="AI44" s="14">
        <f>IF('Données projet'!$A$62&gt;35,AI43+AH44-AQ43,IF(A44&lt;'Données projet'!$A$62,$AF$205^A44,IF(A44='Données projet'!$A$62,'Données projet'!$B$62,AI43+AH44-AQ43)))</f>
        <v>158.4</v>
      </c>
      <c r="AJ44" s="14">
        <f>AI44*VLOOKUP('Données projet'!$B$10,Paramètres!$A$1:$I$89,3,0)*VLOOKUP('Données projet'!$B$10,Paramètres!$A$1:$I$89,5,0)</f>
        <v>143.32032000000001</v>
      </c>
      <c r="AK44" s="14">
        <f t="shared" si="35"/>
        <v>37.056603420232349</v>
      </c>
      <c r="AL44" s="22">
        <f t="shared" si="4"/>
        <v>314.15647495690467</v>
      </c>
      <c r="AM44" s="62">
        <f t="shared" si="5"/>
        <v>607.48980829023799</v>
      </c>
      <c r="AN44" s="62">
        <f ca="1">AVERAGE(OFFSET($AM$3,0,0,'Données projet'!$E$10+1,1))-AVERAGE(OFFSET($H$3,0,0,'Données projet'!$E$10+1,1))</f>
        <v>439.19854273764042</v>
      </c>
      <c r="AO44" s="62">
        <f t="shared" si="36"/>
        <v>278.21741231699929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6.7303637950552133</v>
      </c>
      <c r="AW44" s="23">
        <f>EXP(-LN(2)/2)*AW43+(1-EXP(-LN(2)/2))/(LN(2)/2)*AQ44*AT44*VLOOKUP('Données projet'!$B$10,Paramètres!$A$1:$I$89,3,0)*0.475*44/12</f>
        <v>0.32946258616031121</v>
      </c>
      <c r="AX44" s="23">
        <f t="shared" si="6"/>
        <v>7.0598263812155242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9.8000000000000007</v>
      </c>
      <c r="BD44" s="13">
        <f>IF('Données projet'!$A$88&gt;35,BD43+BC44-BL43,IF(A44&lt;'Données projet'!$A$88,$BA$205^A44,IF(A44='Données projet'!$A$88,'Données projet'!$B$88,BD43+BC44-BL43)))</f>
        <v>202.79999999999995</v>
      </c>
      <c r="BE44" s="14">
        <f>BD44*VLOOKUP('Données projet'!$B$11,Paramètres!$A$1:$I$89,3,0)*VLOOKUP('Données projet'!$B$11,Paramètres!$A$1:$I$89,5,0)</f>
        <v>161.34767999999997</v>
      </c>
      <c r="BF44" s="14">
        <f t="shared" si="37"/>
        <v>41.146339844316657</v>
      </c>
      <c r="BG44" s="22">
        <f t="shared" si="7"/>
        <v>352.67708456218475</v>
      </c>
      <c r="BH44" s="62">
        <f t="shared" si="8"/>
        <v>646.010417895518</v>
      </c>
      <c r="BI44" s="62">
        <f ca="1">AVERAGE(OFFSET($BH$3,0,0,'Données projet'!$E$11+1,1))-AVERAGE(OFFSET($H$3,0,0,'Données projet'!$E$11+1,1))</f>
        <v>352.88510024787888</v>
      </c>
      <c r="BJ44" s="62">
        <f t="shared" si="38"/>
        <v>343.77208530767069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9.0598910992686825</v>
      </c>
      <c r="BR44" s="23">
        <f>EXP(-LN(2)/2)*BR43+(1-EXP(-LN(2)/2))/(LN(2)/2)*BL44*BO44*VLOOKUP('Données projet'!$B$11,Paramètres!$A$1:$I$89,3,0)*0.475*44/12</f>
        <v>8.7232363494669403E-3</v>
      </c>
      <c r="BS44" s="24">
        <f t="shared" si="9"/>
        <v>9.0686143356181503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9.8000000000000007</v>
      </c>
      <c r="BY44" s="13">
        <f>IF('Données projet'!$A$114&gt;35,BY43+BX44-CG43,IF(A44&lt;'Données projet'!$A$114,$BV$205^A44,IF(A44='Données projet'!$A$114,'Données projet'!$B$114,BY43+BX44-CG43)))</f>
        <v>202.79999999999995</v>
      </c>
      <c r="BZ44" s="14">
        <f>BY44*VLOOKUP('Données projet'!$B$12,Paramètres!$A$1:$I$89,3,0)*VLOOKUP('Données projet'!$B$12,Paramètres!$A$1:$I$89,5,0)</f>
        <v>148.69295999999997</v>
      </c>
      <c r="CA44" s="14">
        <f t="shared" si="39"/>
        <v>38.281404966971365</v>
      </c>
      <c r="CB44" s="22">
        <f t="shared" si="10"/>
        <v>325.64701898414177</v>
      </c>
      <c r="CC44" s="62">
        <f t="shared" si="11"/>
        <v>618.98035231747508</v>
      </c>
      <c r="CD44" s="62">
        <f ca="1">AVERAGE(OFFSET($CC$3,0,0,'Données projet'!$E$12+1,1))-AVERAGE(OFFSET($H$3,0,0,'Données projet'!$E$12+1,1))</f>
        <v>328.10411227536315</v>
      </c>
      <c r="CE44" s="62">
        <f t="shared" si="40"/>
        <v>320.24200483294322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7.3015435297888489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7.3015435297888489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11.142857142857142</v>
      </c>
      <c r="CT44" s="13">
        <f>IF('Données projet'!$A$140&gt;35,CT43+CS44-DB43,IF(A44&lt;'Données projet'!$A$140,$CQ$205^A44,IF(A44='Données projet'!$A$140,'Données projet'!$B$140,CT43+CS44-DB43)))</f>
        <v>196.5714285714285</v>
      </c>
      <c r="CU44" s="18">
        <f>CT44*VLOOKUP('Données projet'!$B$13,Paramètres!$A$1:$I$89,3,0)*VLOOKUP('Données projet'!$B$13,Paramètres!$A$1:$I$89,5,0)</f>
        <v>153.32571428571424</v>
      </c>
      <c r="CV44" s="14">
        <f t="shared" si="41"/>
        <v>39.333398837614155</v>
      </c>
      <c r="CW44" s="22">
        <f t="shared" si="13"/>
        <v>335.5479553564636</v>
      </c>
      <c r="CX44" s="62">
        <f t="shared" si="14"/>
        <v>628.88128868979697</v>
      </c>
      <c r="CY44" s="62">
        <f ca="1">AVERAGE(OFFSET($CX$3,0,0,'Données projet'!$E$13+1,1))-AVERAGE(OFFSET($H$3,0,0,'Données projet'!$E$13+1,1))</f>
        <v>288.82868507674738</v>
      </c>
      <c r="CZ44" s="62">
        <f t="shared" si="42"/>
        <v>283.48738729114024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8.2100293592301359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8.2100293592301359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11.4</v>
      </c>
      <c r="DO44" s="13">
        <f>IF('Données projet'!$A$166&gt;35,DO43+DN44-DW43,IF(A44&lt;'Données projet'!$A$166,$DL$205^A44,IF(A44='Données projet'!$A$166,'Données projet'!$B$166,DO43+DN44-DW43)))</f>
        <v>158.4</v>
      </c>
      <c r="DP44" s="18">
        <f>DO44*VLOOKUP('Données projet'!$B$14,Paramètres!$A$1:$I$89,3,0)*VLOOKUP('Données projet'!$B$14,Paramètres!$A$1:$I$89,5,0)</f>
        <v>160.61760000000001</v>
      </c>
      <c r="DQ44" s="14">
        <f t="shared" si="43"/>
        <v>40.981785561145074</v>
      </c>
      <c r="DR44" s="22">
        <f t="shared" si="16"/>
        <v>351.11892985232771</v>
      </c>
      <c r="DS44" s="62">
        <f t="shared" si="17"/>
        <v>644.45226318566097</v>
      </c>
      <c r="DT44" s="62">
        <f ca="1">AVERAGE(OFFSET($DS$3,0,0,'Données projet'!$E$14+1,1))-AVERAGE(OFFSET($H$3,0,0,'Données projet'!$E$14+1,1))</f>
        <v>487.04124684635974</v>
      </c>
      <c r="DU44" s="62">
        <f t="shared" si="44"/>
        <v>306.61893266146666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9.8475622446427575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9.8475622446427575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11.4</v>
      </c>
      <c r="EJ44" s="13">
        <f>IF('Données projet'!$A$192&gt;35,EJ43+EI44-ER43,IF(A44&lt;'Données projet'!$A$192,$EG$205^A44,IF(A44='Données projet'!$A$192,'Données projet'!$B$192,EJ43+EI44-ER43)))</f>
        <v>158.4</v>
      </c>
      <c r="EK44" s="18">
        <f>EJ44*VLOOKUP('Données projet'!$B$15,Paramètres!$A$1:$I$89,3,0)*VLOOKUP('Données projet'!$B$15,Paramètres!$A$1:$I$89,5,0)</f>
        <v>150.73344</v>
      </c>
      <c r="EL44" s="14">
        <f t="shared" si="45"/>
        <v>38.745215146763087</v>
      </c>
      <c r="EM44" s="22">
        <f t="shared" si="19"/>
        <v>330.00865771394569</v>
      </c>
      <c r="EN44" s="62">
        <f t="shared" si="20"/>
        <v>623.34199104727895</v>
      </c>
      <c r="EO44" s="62">
        <f ca="1">AVERAGE(OFFSET($EN$3,0,0,'Données projet'!$E$15+1,1))-AVERAGE(OFFSET($H$3,0,0,'Données projet'!$E$15+1,1))</f>
        <v>459.64120566196812</v>
      </c>
      <c r="EP44" s="62">
        <f t="shared" si="46"/>
        <v>290.39826583283588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9.2415584142032046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9.2415584142032046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11.4</v>
      </c>
      <c r="FE44" s="13">
        <f>IF('Données projet'!$A$218&gt;35,FE43+FD44-FM43,IF(A44&lt;'Données projet'!$A$218,$FB$205^A44,IF(A44='Données projet'!$A$218,'Données projet'!$B$218,FE43+FD44-FM43)))</f>
        <v>158.4</v>
      </c>
      <c r="FF44" s="18">
        <f>FE44*VLOOKUP('Données projet'!$B$16,Paramètres!$A$1:$I$89,3,0)*VLOOKUP('Données projet'!$B$16,Paramètres!$A$1:$I$89,5,0)</f>
        <v>106.25471999999999</v>
      </c>
      <c r="FG44" s="14">
        <f t="shared" si="47"/>
        <v>28.446796237064529</v>
      </c>
      <c r="FH44" s="22">
        <f t="shared" si="22"/>
        <v>234.60514077955398</v>
      </c>
      <c r="FI44" s="62">
        <f t="shared" si="23"/>
        <v>527.93847411288732</v>
      </c>
      <c r="FJ44" s="62">
        <f ca="1">AVERAGE(OFFSET($FI$3,0,0,'Données projet'!$E$16+1,1))-AVERAGE(OFFSET($H$3,0,0,'Données projet'!$E$16+1,1))</f>
        <v>335.83558218229564</v>
      </c>
      <c r="FK44" s="62">
        <f t="shared" si="48"/>
        <v>217.08423061559648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0</v>
      </c>
      <c r="FR44" s="23">
        <f>EXP(-LN(2)/25)*FR43+(1-EXP(-LN(2)/25))/(LN(2)/25)*Calculateur!FM44*Calculateur!FO44*VLOOKUP('Données projet'!$B$16,Paramètres!$A$1:$I$89,3,0)*0.475*44/12</f>
        <v>6.1501600196194204</v>
      </c>
      <c r="FS44" s="23">
        <f>EXP(-LN(2)/2)*FS43+(1-EXP(-LN(2)/2))/(LN(2)/2)*FM44*FP44*VLOOKUP('Données projet'!$B$16,Paramètres!$A$1:$I$89,3,0)*0.475*44/12</f>
        <v>0.24425674491195482</v>
      </c>
      <c r="FT44" s="24">
        <f t="shared" si="24"/>
        <v>6.3944167645313748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9.8000000000000007</v>
      </c>
      <c r="N45" s="14">
        <f>IF('Données projet'!$A$36&gt;35,N44+M45-V44,IF(A45&lt;'Données projet'!$A$36,$K$205^A45,IF(A45='Données projet'!$A$36,'Données projet'!$B$36,N44+M45-V44)))</f>
        <v>193.60000000000005</v>
      </c>
      <c r="O45" s="14">
        <f>N45*VLOOKUP('Données projet'!$B$9,Paramètres!$A$1:$I$89,3,0)*VLOOKUP('Données projet'!$B$9,Paramètres!$A$1:$I$89,5,0)</f>
        <v>169.12896000000006</v>
      </c>
      <c r="P45" s="14">
        <f t="shared" si="33"/>
        <v>42.894881315146776</v>
      </c>
      <c r="Q45" s="22">
        <f t="shared" si="53"/>
        <v>369.27485695721407</v>
      </c>
      <c r="R45" s="62">
        <f t="shared" si="0"/>
        <v>662.60819029054733</v>
      </c>
      <c r="S45" s="62">
        <f ca="1">AVERAGE(OFFSET($R$3,0,0,'Données projet'!$E$9+1,1))-AVERAGE(OFFSET($H$3,0,0,'Données projet'!$E$9+1,1))</f>
        <v>321.23599968992932</v>
      </c>
      <c r="T45" s="62">
        <f t="shared" si="34"/>
        <v>388.05195847800502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18.341401219871958</v>
      </c>
      <c r="AB45" s="23">
        <f>EXP(-LN(2)/2)*AB44+(1-EXP(-LN(2)/2))/(LN(2)/2)*V45*Y45*VLOOKUP('Données projet'!$B$9,Paramètres!$A$1:$I$89,3,0)*0.475*44/12</f>
        <v>0.28541418879147096</v>
      </c>
      <c r="AC45" s="24">
        <f t="shared" si="3"/>
        <v>18.626815408663429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11.4</v>
      </c>
      <c r="AI45" s="14">
        <f>IF('Données projet'!$A$62&gt;35,AI44+AH45-AQ44,IF(A45&lt;'Données projet'!$A$62,$AF$205^A45,IF(A45='Données projet'!$A$62,'Données projet'!$B$62,AI44+AH45-AQ44)))</f>
        <v>169.8</v>
      </c>
      <c r="AJ45" s="14">
        <f>AI45*VLOOKUP('Données projet'!$B$10,Paramètres!$A$1:$I$89,3,0)*VLOOKUP('Données projet'!$B$10,Paramètres!$A$1:$I$89,5,0)</f>
        <v>153.63504</v>
      </c>
      <c r="AK45" s="14">
        <f t="shared" si="35"/>
        <v>39.403506785222667</v>
      </c>
      <c r="AL45" s="22">
        <f t="shared" si="4"/>
        <v>336.20880231759617</v>
      </c>
      <c r="AM45" s="62">
        <f t="shared" si="5"/>
        <v>629.54213565092948</v>
      </c>
      <c r="AN45" s="62">
        <f ca="1">AVERAGE(OFFSET($AM$3,0,0,'Données projet'!$E$10+1,1))-AVERAGE(OFFSET($H$3,0,0,'Données projet'!$E$10+1,1))</f>
        <v>439.19854273764042</v>
      </c>
      <c r="AO45" s="62">
        <f t="shared" si="36"/>
        <v>278.21741231699929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6.5463216431449789</v>
      </c>
      <c r="AW45" s="23">
        <f>EXP(-LN(2)/2)*AW44+(1-EXP(-LN(2)/2))/(LN(2)/2)*AQ45*AT45*VLOOKUP('Données projet'!$B$10,Paramètres!$A$1:$I$89,3,0)*0.475*44/12</f>
        <v>0.23296522882121326</v>
      </c>
      <c r="AX45" s="23">
        <f t="shared" si="6"/>
        <v>6.7792868719661925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9.8000000000000007</v>
      </c>
      <c r="BD45" s="13">
        <f>IF('Données projet'!$A$88&gt;35,BD44+BC45-BL44,IF(A45&lt;'Données projet'!$A$88,$BA$205^A45,IF(A45='Données projet'!$A$88,'Données projet'!$B$88,BD44+BC45-BL44)))</f>
        <v>212.59999999999997</v>
      </c>
      <c r="BE45" s="14">
        <f>BD45*VLOOKUP('Données projet'!$B$11,Paramètres!$A$1:$I$89,3,0)*VLOOKUP('Données projet'!$B$11,Paramètres!$A$1:$I$89,5,0)</f>
        <v>169.14455999999998</v>
      </c>
      <c r="BF45" s="14">
        <f t="shared" si="37"/>
        <v>42.898377267189964</v>
      </c>
      <c r="BG45" s="22">
        <f t="shared" si="7"/>
        <v>369.30811574035579</v>
      </c>
      <c r="BH45" s="62">
        <f t="shared" si="8"/>
        <v>662.64144907368905</v>
      </c>
      <c r="BI45" s="62">
        <f ca="1">AVERAGE(OFFSET($BH$3,0,0,'Données projet'!$E$11+1,1))-AVERAGE(OFFSET($H$3,0,0,'Données projet'!$E$11+1,1))</f>
        <v>352.88510024787888</v>
      </c>
      <c r="BJ45" s="62">
        <f t="shared" si="38"/>
        <v>343.77208530767069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8.8121479007202144</v>
      </c>
      <c r="BR45" s="23">
        <f>EXP(-LN(2)/2)*BR44+(1-EXP(-LN(2)/2))/(LN(2)/2)*BL45*BO45*VLOOKUP('Données projet'!$B$11,Paramètres!$A$1:$I$89,3,0)*0.475*44/12</f>
        <v>6.1682595766010574E-3</v>
      </c>
      <c r="BS45" s="24">
        <f t="shared" si="9"/>
        <v>8.8183161602968152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9.8000000000000007</v>
      </c>
      <c r="BY45" s="13">
        <f>IF('Données projet'!$A$114&gt;35,BY44+BX45-CG44,IF(A45&lt;'Données projet'!$A$114,$BV$205^A45,IF(A45='Données projet'!$A$114,'Données projet'!$B$114,BY44+BX45-CG44)))</f>
        <v>212.59999999999997</v>
      </c>
      <c r="BZ45" s="14">
        <f>BY45*VLOOKUP('Données projet'!$B$12,Paramètres!$A$1:$I$89,3,0)*VLOOKUP('Données projet'!$B$12,Paramètres!$A$1:$I$89,5,0)</f>
        <v>155.87831999999997</v>
      </c>
      <c r="CA45" s="14">
        <f t="shared" si="39"/>
        <v>39.911451633480986</v>
      </c>
      <c r="CB45" s="22">
        <f t="shared" si="10"/>
        <v>341.00051892831272</v>
      </c>
      <c r="CC45" s="62">
        <f t="shared" si="11"/>
        <v>634.33385226164603</v>
      </c>
      <c r="CD45" s="62">
        <f ca="1">AVERAGE(OFFSET($CC$3,0,0,'Données projet'!$E$12+1,1))-AVERAGE(OFFSET($H$3,0,0,'Données projet'!$E$12+1,1))</f>
        <v>328.10411227536315</v>
      </c>
      <c r="CE45" s="62">
        <f t="shared" si="40"/>
        <v>320.24200483294322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7.1583647146714959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7.1583647146714959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11.142857142857142</v>
      </c>
      <c r="CT45" s="13">
        <f>IF('Données projet'!$A$140&gt;35,CT44+CS45-DB44,IF(A45&lt;'Données projet'!$A$140,$CQ$205^A45,IF(A45='Données projet'!$A$140,'Données projet'!$B$140,CT44+CS45-DB44)))</f>
        <v>207.71428571428564</v>
      </c>
      <c r="CU45" s="18">
        <f>CT45*VLOOKUP('Données projet'!$B$13,Paramètres!$A$1:$I$89,3,0)*VLOOKUP('Données projet'!$B$13,Paramètres!$A$1:$I$89,5,0)</f>
        <v>162.0171428571428</v>
      </c>
      <c r="CV45" s="14">
        <f t="shared" si="41"/>
        <v>41.29715533509664</v>
      </c>
      <c r="CW45" s="22">
        <f t="shared" si="13"/>
        <v>354.10573601815037</v>
      </c>
      <c r="CX45" s="62">
        <f t="shared" si="14"/>
        <v>647.43906935148368</v>
      </c>
      <c r="CY45" s="62">
        <f ca="1">AVERAGE(OFFSET($CX$3,0,0,'Données projet'!$E$13+1,1))-AVERAGE(OFFSET($H$3,0,0,'Données projet'!$E$13+1,1))</f>
        <v>288.82868507674738</v>
      </c>
      <c r="CZ45" s="62">
        <f t="shared" si="42"/>
        <v>283.48738729114024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8.0490356911190801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8.0490356911190801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11.4</v>
      </c>
      <c r="DO45" s="13">
        <f>IF('Données projet'!$A$166&gt;35,DO44+DN45-DW44,IF(A45&lt;'Données projet'!$A$166,$DL$205^A45,IF(A45='Données projet'!$A$166,'Données projet'!$B$166,DO44+DN45-DW44)))</f>
        <v>169.8</v>
      </c>
      <c r="DP45" s="18">
        <f>DO45*VLOOKUP('Données projet'!$B$14,Paramètres!$A$1:$I$89,3,0)*VLOOKUP('Données projet'!$B$14,Paramètres!$A$1:$I$89,5,0)</f>
        <v>172.1772</v>
      </c>
      <c r="DQ45" s="14">
        <f t="shared" si="43"/>
        <v>43.577282221917017</v>
      </c>
      <c r="DR45" s="22">
        <f t="shared" si="16"/>
        <v>375.77238986983883</v>
      </c>
      <c r="DS45" s="62">
        <f t="shared" si="17"/>
        <v>669.10572320317215</v>
      </c>
      <c r="DT45" s="62">
        <f ca="1">AVERAGE(OFFSET($DS$3,0,0,'Données projet'!$E$14+1,1))-AVERAGE(OFFSET($H$3,0,0,'Données projet'!$E$14+1,1))</f>
        <v>487.04124684635974</v>
      </c>
      <c r="DU45" s="62">
        <f t="shared" si="44"/>
        <v>306.61893266146666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9.6544575554451981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9.6544575554451981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11.4</v>
      </c>
      <c r="EJ45" s="13">
        <f>IF('Données projet'!$A$192&gt;35,EJ44+EI45-ER44,IF(A45&lt;'Données projet'!$A$192,$EG$205^A45,IF(A45='Données projet'!$A$192,'Données projet'!$B$192,EJ44+EI45-ER44)))</f>
        <v>169.8</v>
      </c>
      <c r="EK45" s="18">
        <f>EJ45*VLOOKUP('Données projet'!$B$15,Paramètres!$A$1:$I$89,3,0)*VLOOKUP('Données projet'!$B$15,Paramètres!$A$1:$I$89,5,0)</f>
        <v>161.58168000000001</v>
      </c>
      <c r="EL45" s="14">
        <f t="shared" si="45"/>
        <v>41.199063244334951</v>
      </c>
      <c r="EM45" s="22">
        <f t="shared" si="19"/>
        <v>353.17646115055004</v>
      </c>
      <c r="EN45" s="62">
        <f t="shared" si="20"/>
        <v>646.5097944838833</v>
      </c>
      <c r="EO45" s="62">
        <f ca="1">AVERAGE(OFFSET($EN$3,0,0,'Données projet'!$E$15+1,1))-AVERAGE(OFFSET($H$3,0,0,'Données projet'!$E$15+1,1))</f>
        <v>459.64120566196812</v>
      </c>
      <c r="EP45" s="62">
        <f t="shared" si="46"/>
        <v>290.39826583283588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9.0603370904947251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9.0603370904947251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11.4</v>
      </c>
      <c r="FE45" s="13">
        <f>IF('Données projet'!$A$218&gt;35,FE44+FD45-FM44,IF(A45&lt;'Données projet'!$A$218,$FB$205^A45,IF(A45='Données projet'!$A$218,'Données projet'!$B$218,FE44+FD45-FM44)))</f>
        <v>169.8</v>
      </c>
      <c r="FF45" s="18">
        <f>FE45*VLOOKUP('Données projet'!$B$16,Paramètres!$A$1:$I$89,3,0)*VLOOKUP('Données projet'!$B$16,Paramètres!$A$1:$I$89,5,0)</f>
        <v>113.90184000000002</v>
      </c>
      <c r="FG45" s="14">
        <f t="shared" si="47"/>
        <v>30.248415264444404</v>
      </c>
      <c r="FH45" s="22">
        <f t="shared" si="22"/>
        <v>251.06169458557397</v>
      </c>
      <c r="FI45" s="62">
        <f t="shared" si="23"/>
        <v>544.39502791890732</v>
      </c>
      <c r="FJ45" s="62">
        <f ca="1">AVERAGE(OFFSET($FI$3,0,0,'Données projet'!$E$16+1,1))-AVERAGE(OFFSET($H$3,0,0,'Données projet'!$E$16+1,1))</f>
        <v>335.83558218229564</v>
      </c>
      <c r="FK45" s="62">
        <f t="shared" si="48"/>
        <v>217.08423061559648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0</v>
      </c>
      <c r="FR45" s="23">
        <f>EXP(-LN(2)/25)*FR44+(1-EXP(-LN(2)/25))/(LN(2)/25)*Calculateur!FM45*Calculateur!FO45*VLOOKUP('Données projet'!$B$16,Paramètres!$A$1:$I$89,3,0)*0.475*44/12</f>
        <v>5.9819835704600681</v>
      </c>
      <c r="FS45" s="23">
        <f>EXP(-LN(2)/2)*FS44+(1-EXP(-LN(2)/2))/(LN(2)/2)*FM45*FP45*VLOOKUP('Données projet'!$B$16,Paramètres!$A$1:$I$89,3,0)*0.475*44/12</f>
        <v>0.17271560067779601</v>
      </c>
      <c r="FT45" s="24">
        <f t="shared" si="24"/>
        <v>6.1546991711378638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9.8000000000000007</v>
      </c>
      <c r="N46" s="14">
        <f>IF('Données projet'!$A$36&gt;35,N45+M46-V45,IF(A46&lt;'Données projet'!$A$36,$K$205^A46,IF(A46='Données projet'!$A$36,'Données projet'!$B$36,N45+M46-V45)))</f>
        <v>203.40000000000006</v>
      </c>
      <c r="O46" s="14">
        <f>N46*VLOOKUP('Données projet'!$B$9,Paramètres!$A$1:$I$89,3,0)*VLOOKUP('Données projet'!$B$9,Paramètres!$A$1:$I$89,5,0)</f>
        <v>177.69024000000007</v>
      </c>
      <c r="P46" s="14">
        <f t="shared" si="33"/>
        <v>44.807921499827692</v>
      </c>
      <c r="Q46" s="22">
        <f t="shared" si="53"/>
        <v>387.5176312788667</v>
      </c>
      <c r="R46" s="62">
        <f t="shared" si="0"/>
        <v>680.85096461219996</v>
      </c>
      <c r="S46" s="62">
        <f ca="1">AVERAGE(OFFSET($R$3,0,0,'Données projet'!$E$9+1,1))-AVERAGE(OFFSET($H$3,0,0,'Données projet'!$E$9+1,1))</f>
        <v>321.23599968992932</v>
      </c>
      <c r="T46" s="62">
        <f t="shared" si="34"/>
        <v>388.05195847800502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17.839854638982189</v>
      </c>
      <c r="AB46" s="23">
        <f>EXP(-LN(2)/2)*AB45+(1-EXP(-LN(2)/2))/(LN(2)/2)*V46*Y46*VLOOKUP('Données projet'!$B$9,Paramètres!$A$1:$I$89,3,0)*0.475*44/12</f>
        <v>0.20181830834130662</v>
      </c>
      <c r="AC46" s="24">
        <f t="shared" si="3"/>
        <v>18.041672947323494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11.4</v>
      </c>
      <c r="AI46" s="14">
        <f>IF('Données projet'!$A$62&gt;35,AI45+AH46-AQ45,IF(A46&lt;'Données projet'!$A$62,$AF$205^A46,IF(A46='Données projet'!$A$62,'Données projet'!$B$62,AI45+AH46-AQ45)))</f>
        <v>181.20000000000002</v>
      </c>
      <c r="AJ46" s="14">
        <f>AI46*VLOOKUP('Données projet'!$B$10,Paramètres!$A$1:$I$89,3,0)*VLOOKUP('Données projet'!$B$10,Paramètres!$A$1:$I$89,5,0)</f>
        <v>163.94976</v>
      </c>
      <c r="AK46" s="14">
        <f t="shared" si="35"/>
        <v>41.732126457893308</v>
      </c>
      <c r="AL46" s="22">
        <f t="shared" si="4"/>
        <v>358.22928558083089</v>
      </c>
      <c r="AM46" s="62">
        <f t="shared" si="5"/>
        <v>651.5626189141642</v>
      </c>
      <c r="AN46" s="62">
        <f ca="1">AVERAGE(OFFSET($AM$3,0,0,'Données projet'!$E$10+1,1))-AVERAGE(OFFSET($H$3,0,0,'Données projet'!$E$10+1,1))</f>
        <v>439.19854273764042</v>
      </c>
      <c r="AO46" s="62">
        <f t="shared" si="36"/>
        <v>278.21741231699929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6.3673121335570864</v>
      </c>
      <c r="AW46" s="23">
        <f>EXP(-LN(2)/2)*AW45+(1-EXP(-LN(2)/2))/(LN(2)/2)*AQ46*AT46*VLOOKUP('Données projet'!$B$10,Paramètres!$A$1:$I$89,3,0)*0.475*44/12</f>
        <v>0.16473129308015563</v>
      </c>
      <c r="AX46" s="23">
        <f t="shared" si="6"/>
        <v>6.5320434266372418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9.8000000000000007</v>
      </c>
      <c r="BD46" s="13">
        <f>IF('Données projet'!$A$88&gt;35,BD45+BC46-BL45,IF(A46&lt;'Données projet'!$A$88,$BA$205^A46,IF(A46='Données projet'!$A$88,'Données projet'!$B$88,BD45+BC46-BL45)))</f>
        <v>222.39999999999998</v>
      </c>
      <c r="BE46" s="14">
        <f>BD46*VLOOKUP('Données projet'!$B$11,Paramètres!$A$1:$I$89,3,0)*VLOOKUP('Données projet'!$B$11,Paramètres!$A$1:$I$89,5,0)</f>
        <v>176.94144</v>
      </c>
      <c r="BF46" s="14">
        <f t="shared" si="37"/>
        <v>44.641035679901449</v>
      </c>
      <c r="BG46" s="22">
        <f t="shared" si="7"/>
        <v>385.92281180916166</v>
      </c>
      <c r="BH46" s="62">
        <f t="shared" si="8"/>
        <v>679.25614514249492</v>
      </c>
      <c r="BI46" s="62">
        <f ca="1">AVERAGE(OFFSET($BH$3,0,0,'Données projet'!$E$11+1,1))-AVERAGE(OFFSET($H$3,0,0,'Données projet'!$E$11+1,1))</f>
        <v>352.88510024787888</v>
      </c>
      <c r="BJ46" s="62">
        <f t="shared" si="38"/>
        <v>343.77208530767069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8.5711792529643027</v>
      </c>
      <c r="BR46" s="23">
        <f>EXP(-LN(2)/2)*BR45+(1-EXP(-LN(2)/2))/(LN(2)/2)*BL46*BO46*VLOOKUP('Données projet'!$B$11,Paramètres!$A$1:$I$89,3,0)*0.475*44/12</f>
        <v>4.3616181747334701E-3</v>
      </c>
      <c r="BS46" s="24">
        <f t="shared" si="9"/>
        <v>8.5755408711390366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9.8000000000000007</v>
      </c>
      <c r="BY46" s="13">
        <f>IF('Données projet'!$A$114&gt;35,BY45+BX46-CG45,IF(A46&lt;'Données projet'!$A$114,$BV$205^A46,IF(A46='Données projet'!$A$114,'Données projet'!$B$114,BY45+BX46-CG45)))</f>
        <v>222.39999999999998</v>
      </c>
      <c r="BZ46" s="14">
        <f>BY46*VLOOKUP('Données projet'!$B$12,Paramètres!$A$1:$I$89,3,0)*VLOOKUP('Données projet'!$B$12,Paramètres!$A$1:$I$89,5,0)</f>
        <v>163.06367999999998</v>
      </c>
      <c r="CA46" s="14">
        <f t="shared" si="39"/>
        <v>41.532772330984628</v>
      </c>
      <c r="CB46" s="22">
        <f t="shared" si="10"/>
        <v>356.33882114313155</v>
      </c>
      <c r="CC46" s="62">
        <f t="shared" si="11"/>
        <v>649.67215447646481</v>
      </c>
      <c r="CD46" s="62">
        <f ca="1">AVERAGE(OFFSET($CC$3,0,0,'Données projet'!$E$12+1,1))-AVERAGE(OFFSET($H$3,0,0,'Données projet'!$E$12+1,1))</f>
        <v>328.10411227536315</v>
      </c>
      <c r="CE46" s="62">
        <f t="shared" si="40"/>
        <v>320.24200483294322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7.01799354878814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7.01799354878814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11.142857142857142</v>
      </c>
      <c r="CT46" s="13">
        <f>IF('Données projet'!$A$140&gt;35,CT45+CS46-DB45,IF(A46&lt;'Données projet'!$A$140,$CQ$205^A46,IF(A46='Données projet'!$A$140,'Données projet'!$B$140,CT45+CS46-DB45)))</f>
        <v>218.85714285714278</v>
      </c>
      <c r="CU46" s="18">
        <f>CT46*VLOOKUP('Données projet'!$B$13,Paramètres!$A$1:$I$89,3,0)*VLOOKUP('Données projet'!$B$13,Paramètres!$A$1:$I$89,5,0)</f>
        <v>170.70857142857136</v>
      </c>
      <c r="CV46" s="14">
        <f t="shared" si="41"/>
        <v>43.248681576985376</v>
      </c>
      <c r="CW46" s="22">
        <f t="shared" si="13"/>
        <v>372.64221565134466</v>
      </c>
      <c r="CX46" s="62">
        <f t="shared" si="14"/>
        <v>665.97554898467797</v>
      </c>
      <c r="CY46" s="62">
        <f ca="1">AVERAGE(OFFSET($CX$3,0,0,'Données projet'!$E$13+1,1))-AVERAGE(OFFSET($H$3,0,0,'Données projet'!$E$13+1,1))</f>
        <v>288.82868507674738</v>
      </c>
      <c r="CZ46" s="62">
        <f t="shared" si="42"/>
        <v>283.48738729114024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7.8911990106432413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7.8911990106432413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11.4</v>
      </c>
      <c r="DO46" s="13">
        <f>IF('Données projet'!$A$166&gt;35,DO45+DN46-DW45,IF(A46&lt;'Données projet'!$A$166,$DL$205^A46,IF(A46='Données projet'!$A$166,'Données projet'!$B$166,DO45+DN46-DW45)))</f>
        <v>181.20000000000002</v>
      </c>
      <c r="DP46" s="18">
        <f>DO46*VLOOKUP('Données projet'!$B$14,Paramètres!$A$1:$I$89,3,0)*VLOOKUP('Données projet'!$B$14,Paramètres!$A$1:$I$89,5,0)</f>
        <v>183.73680000000002</v>
      </c>
      <c r="DQ46" s="14">
        <f t="shared" si="43"/>
        <v>46.152558509293854</v>
      </c>
      <c r="DR46" s="22">
        <f t="shared" si="16"/>
        <v>400.3906327370201</v>
      </c>
      <c r="DS46" s="62">
        <f t="shared" si="17"/>
        <v>693.72396607035341</v>
      </c>
      <c r="DT46" s="62">
        <f ca="1">AVERAGE(OFFSET($DS$3,0,0,'Données projet'!$E$14+1,1))-AVERAGE(OFFSET($H$3,0,0,'Données projet'!$E$14+1,1))</f>
        <v>487.04124684635974</v>
      </c>
      <c r="DU46" s="62">
        <f t="shared" si="44"/>
        <v>306.61893266146666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9.4651395314205722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9.4651395314205722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11.4</v>
      </c>
      <c r="EJ46" s="13">
        <f>IF('Données projet'!$A$192&gt;35,EJ45+EI46-ER45,IF(A46&lt;'Données projet'!$A$192,$EG$205^A46,IF(A46='Données projet'!$A$192,'Données projet'!$B$192,EJ45+EI46-ER45)))</f>
        <v>181.20000000000002</v>
      </c>
      <c r="EK46" s="18">
        <f>EJ46*VLOOKUP('Données projet'!$B$15,Paramètres!$A$1:$I$89,3,0)*VLOOKUP('Données projet'!$B$15,Paramètres!$A$1:$I$89,5,0)</f>
        <v>172.42992000000001</v>
      </c>
      <c r="EL46" s="14">
        <f t="shared" si="45"/>
        <v>43.633794490192969</v>
      </c>
      <c r="EM46" s="22">
        <f t="shared" si="19"/>
        <v>376.31096940375278</v>
      </c>
      <c r="EN46" s="62">
        <f t="shared" si="20"/>
        <v>669.64430273708604</v>
      </c>
      <c r="EO46" s="62">
        <f ca="1">AVERAGE(OFFSET($EN$3,0,0,'Données projet'!$E$15+1,1))-AVERAGE(OFFSET($H$3,0,0,'Données projet'!$E$15+1,1))</f>
        <v>459.64120566196812</v>
      </c>
      <c r="EP46" s="62">
        <f t="shared" si="46"/>
        <v>290.39826583283588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8.8826694064100753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8.8826694064100753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11.4</v>
      </c>
      <c r="FE46" s="13">
        <f>IF('Données projet'!$A$218&gt;35,FE45+FD46-FM45,IF(A46&lt;'Données projet'!$A$218,$FB$205^A46,IF(A46='Données projet'!$A$218,'Données projet'!$B$218,FE45+FD46-FM45)))</f>
        <v>181.20000000000002</v>
      </c>
      <c r="FF46" s="18">
        <f>FE46*VLOOKUP('Données projet'!$B$16,Paramètres!$A$1:$I$89,3,0)*VLOOKUP('Données projet'!$B$16,Paramètres!$A$1:$I$89,5,0)</f>
        <v>121.54896000000002</v>
      </c>
      <c r="FG46" s="14">
        <f t="shared" si="47"/>
        <v>32.035998670049096</v>
      </c>
      <c r="FH46" s="22">
        <f t="shared" si="22"/>
        <v>267.49380301700216</v>
      </c>
      <c r="FI46" s="62">
        <f t="shared" si="23"/>
        <v>560.82713635033542</v>
      </c>
      <c r="FJ46" s="62">
        <f ca="1">AVERAGE(OFFSET($FI$3,0,0,'Données projet'!$E$16+1,1))-AVERAGE(OFFSET($H$3,0,0,'Données projet'!$E$16+1,1))</f>
        <v>335.83558218229564</v>
      </c>
      <c r="FK46" s="62">
        <f t="shared" si="48"/>
        <v>217.08423061559648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0</v>
      </c>
      <c r="FR46" s="23">
        <f>EXP(-LN(2)/25)*FR45+(1-EXP(-LN(2)/25))/(LN(2)/25)*Calculateur!FM46*Calculateur!FO46*VLOOKUP('Données projet'!$B$16,Paramètres!$A$1:$I$89,3,0)*0.475*44/12</f>
        <v>5.818405915146994</v>
      </c>
      <c r="FS46" s="23">
        <f>EXP(-LN(2)/2)*FS45+(1-EXP(-LN(2)/2))/(LN(2)/2)*FM46*FP46*VLOOKUP('Données projet'!$B$16,Paramètres!$A$1:$I$89,3,0)*0.475*44/12</f>
        <v>0.12212837245597744</v>
      </c>
      <c r="FT46" s="24">
        <f t="shared" si="24"/>
        <v>5.9405342876029712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9.8000000000000007</v>
      </c>
      <c r="N47" s="14">
        <f>IF('Données projet'!$A$36&gt;35,N46+M47-V46,IF(A47&lt;'Données projet'!$A$36,$K$205^A47,IF(A47='Données projet'!$A$36,'Données projet'!$B$36,N46+M47-V46)))</f>
        <v>213.20000000000007</v>
      </c>
      <c r="O47" s="14">
        <f>N47*VLOOKUP('Données projet'!$B$9,Paramètres!$A$1:$I$89,3,0)*VLOOKUP('Données projet'!$B$9,Paramètres!$A$1:$I$89,5,0)</f>
        <v>186.25152000000008</v>
      </c>
      <c r="P47" s="14">
        <f t="shared" si="33"/>
        <v>46.71025851515671</v>
      </c>
      <c r="Q47" s="22">
        <f t="shared" si="53"/>
        <v>405.7417642472314</v>
      </c>
      <c r="R47" s="62">
        <f t="shared" si="0"/>
        <v>699.07509758056472</v>
      </c>
      <c r="S47" s="62">
        <f ca="1">AVERAGE(OFFSET($R$3,0,0,'Données projet'!$E$9+1,1))-AVERAGE(OFFSET($H$3,0,0,'Données projet'!$E$9+1,1))</f>
        <v>321.23599968992932</v>
      </c>
      <c r="T47" s="62">
        <f t="shared" si="34"/>
        <v>388.05195847800502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17.352022875722039</v>
      </c>
      <c r="AB47" s="23">
        <f>EXP(-LN(2)/2)*AB46+(1-EXP(-LN(2)/2))/(LN(2)/2)*V47*Y47*VLOOKUP('Données projet'!$B$9,Paramètres!$A$1:$I$89,3,0)*0.475*44/12</f>
        <v>0.14270709439573548</v>
      </c>
      <c r="AC47" s="24">
        <f t="shared" si="3"/>
        <v>17.494729970117774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11.4</v>
      </c>
      <c r="AI47" s="14">
        <f>IF('Données projet'!$A$62&gt;35,AI46+AH47-AQ46,IF(A47&lt;'Données projet'!$A$62,$AF$205^A47,IF(A47='Données projet'!$A$62,'Données projet'!$B$62,AI46+AH47-AQ46)))</f>
        <v>192.60000000000002</v>
      </c>
      <c r="AJ47" s="14">
        <f>AI47*VLOOKUP('Données projet'!$B$10,Paramètres!$A$1:$I$89,3,0)*VLOOKUP('Données projet'!$B$10,Paramètres!$A$1:$I$89,5,0)</f>
        <v>174.26447999999999</v>
      </c>
      <c r="AK47" s="14">
        <f t="shared" si="35"/>
        <v>44.043743683739521</v>
      </c>
      <c r="AL47" s="22">
        <f t="shared" si="4"/>
        <v>380.22015624917964</v>
      </c>
      <c r="AM47" s="62">
        <f t="shared" si="5"/>
        <v>673.55348958251295</v>
      </c>
      <c r="AN47" s="62">
        <f ca="1">AVERAGE(OFFSET($AM$3,0,0,'Données projet'!$E$10+1,1))-AVERAGE(OFFSET($H$3,0,0,'Données projet'!$E$10+1,1))</f>
        <v>439.19854273764042</v>
      </c>
      <c r="AO47" s="62">
        <f t="shared" si="36"/>
        <v>278.21741231699929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6.1931976484225757</v>
      </c>
      <c r="AW47" s="23">
        <f>EXP(-LN(2)/2)*AW46+(1-EXP(-LN(2)/2))/(LN(2)/2)*AQ47*AT47*VLOOKUP('Données projet'!$B$10,Paramètres!$A$1:$I$89,3,0)*0.475*44/12</f>
        <v>0.11648261441060664</v>
      </c>
      <c r="AX47" s="23">
        <f t="shared" si="6"/>
        <v>6.3096802628331821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9.8000000000000007</v>
      </c>
      <c r="BD47" s="13">
        <f>IF('Données projet'!$A$88&gt;35,BD46+BC47-BL46,IF(A47&lt;'Données projet'!$A$88,$BA$205^A47,IF(A47='Données projet'!$A$88,'Données projet'!$B$88,BD46+BC47-BL46)))</f>
        <v>232.2</v>
      </c>
      <c r="BE47" s="14">
        <f>BD47*VLOOKUP('Données projet'!$B$11,Paramètres!$A$1:$I$89,3,0)*VLOOKUP('Données projet'!$B$11,Paramètres!$A$1:$I$89,5,0)</f>
        <v>184.73832000000002</v>
      </c>
      <c r="BF47" s="14">
        <f t="shared" si="37"/>
        <v>46.374775595471988</v>
      </c>
      <c r="BG47" s="22">
        <f t="shared" si="7"/>
        <v>402.5219748287804</v>
      </c>
      <c r="BH47" s="62">
        <f t="shared" si="8"/>
        <v>695.85530816211372</v>
      </c>
      <c r="BI47" s="62">
        <f ca="1">AVERAGE(OFFSET($BH$3,0,0,'Données projet'!$E$11+1,1))-AVERAGE(OFFSET($H$3,0,0,'Données projet'!$E$11+1,1))</f>
        <v>352.88510024787888</v>
      </c>
      <c r="BJ47" s="62">
        <f t="shared" si="38"/>
        <v>343.77208530767069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8.3367999055532671</v>
      </c>
      <c r="BR47" s="23">
        <f>EXP(-LN(2)/2)*BR46+(1-EXP(-LN(2)/2))/(LN(2)/2)*BL47*BO47*VLOOKUP('Données projet'!$B$11,Paramètres!$A$1:$I$89,3,0)*0.475*44/12</f>
        <v>3.0841297883005287E-3</v>
      </c>
      <c r="BS47" s="24">
        <f t="shared" si="9"/>
        <v>8.3398840353415675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9.8000000000000007</v>
      </c>
      <c r="BY47" s="13">
        <f>IF('Données projet'!$A$114&gt;35,BY46+BX47-CG46,IF(A47&lt;'Données projet'!$A$114,$BV$205^A47,IF(A47='Données projet'!$A$114,'Données projet'!$B$114,BY46+BX47-CG46)))</f>
        <v>232.2</v>
      </c>
      <c r="BZ47" s="14">
        <f>BY47*VLOOKUP('Données projet'!$B$12,Paramètres!$A$1:$I$89,3,0)*VLOOKUP('Données projet'!$B$12,Paramètres!$A$1:$I$89,5,0)</f>
        <v>170.24903999999998</v>
      </c>
      <c r="CA47" s="14">
        <f t="shared" si="39"/>
        <v>43.145795507930117</v>
      </c>
      <c r="CB47" s="22">
        <f t="shared" si="10"/>
        <v>371.66267184297823</v>
      </c>
      <c r="CC47" s="62">
        <f t="shared" si="11"/>
        <v>664.99600517631154</v>
      </c>
      <c r="CD47" s="62">
        <f ca="1">AVERAGE(OFFSET($CC$3,0,0,'Données projet'!$E$12+1,1))-AVERAGE(OFFSET($H$3,0,0,'Données projet'!$E$12+1,1))</f>
        <v>328.10411227536315</v>
      </c>
      <c r="CE47" s="62">
        <f t="shared" si="40"/>
        <v>320.24200483294322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6.8803749758497998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6.8803749758497998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>
        <f>VLOOKUP(A47,'Données projet'!$A$139:$I$159,2,0)</f>
        <v>230</v>
      </c>
      <c r="CR47" s="13">
        <f>VLOOKUP(A47,'Données projet'!$A$139:$I$159,9,0)</f>
        <v>11.142857142857142</v>
      </c>
      <c r="CS47" s="13">
        <f t="array" ref="CS47">INDEX(CR:CR,MIN(IF(ISNUMBER(CR47:CR243),ROW(CR47:CR243),"")))</f>
        <v>11.142857142857142</v>
      </c>
      <c r="CT47" s="13">
        <f>IF('Données projet'!$A$140&gt;35,CT46+CS47-DB46,IF(A47&lt;'Données projet'!$A$140,$CQ$205^A47,IF(A47='Données projet'!$A$140,'Données projet'!$B$140,CT46+CS47-DB46)))</f>
        <v>229.99999999999991</v>
      </c>
      <c r="CU47" s="18">
        <f>CT47*VLOOKUP('Données projet'!$B$13,Paramètres!$A$1:$I$89,3,0)*VLOOKUP('Données projet'!$B$13,Paramètres!$A$1:$I$89,5,0)</f>
        <v>179.39999999999995</v>
      </c>
      <c r="CV47" s="14">
        <f t="shared" si="41"/>
        <v>45.188671291872232</v>
      </c>
      <c r="CW47" s="22">
        <f t="shared" si="13"/>
        <v>391.15860250001066</v>
      </c>
      <c r="CX47" s="62">
        <f t="shared" si="14"/>
        <v>684.49193583334397</v>
      </c>
      <c r="CY47" s="62">
        <f ca="1">AVERAGE(OFFSET($CX$3,0,0,'Données projet'!$E$13+1,1))-AVERAGE(OFFSET($H$3,0,0,'Données projet'!$E$13+1,1))</f>
        <v>288.82868507674738</v>
      </c>
      <c r="CZ47" s="62">
        <f t="shared" si="42"/>
        <v>283.48738729114024</v>
      </c>
      <c r="DA47" s="16">
        <f>IF(ISNA(VLOOKUP(A47,'Données projet'!$A$139:$I$159,3,0)),0,VLOOKUP(A47,'Données projet'!$A$139:$I$159,3,0))</f>
        <v>6</v>
      </c>
      <c r="DB47" s="16">
        <f>IF(ISNA(VLOOKUP(A47,'Données projet'!$A$139:$I$159,4,0)),0,VLOOKUP(A47,'Données projet'!$A$139:$I$159,4,0))</f>
        <v>43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7.7364574112006643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7.7364574112006643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11.4</v>
      </c>
      <c r="DO47" s="13">
        <f>IF('Données projet'!$A$166&gt;35,DO46+DN47-DW46,IF(A47&lt;'Données projet'!$A$166,$DL$205^A47,IF(A47='Données projet'!$A$166,'Données projet'!$B$166,DO46+DN47-DW46)))</f>
        <v>192.60000000000002</v>
      </c>
      <c r="DP47" s="18">
        <f>DO47*VLOOKUP('Données projet'!$B$14,Paramètres!$A$1:$I$89,3,0)*VLOOKUP('Données projet'!$B$14,Paramètres!$A$1:$I$89,5,0)</f>
        <v>195.29640000000003</v>
      </c>
      <c r="DQ47" s="14">
        <f t="shared" si="43"/>
        <v>48.709031383366153</v>
      </c>
      <c r="DR47" s="22">
        <f t="shared" si="16"/>
        <v>424.97612632602949</v>
      </c>
      <c r="DS47" s="62">
        <f t="shared" si="17"/>
        <v>718.3094596593628</v>
      </c>
      <c r="DT47" s="62">
        <f ca="1">AVERAGE(OFFSET($DS$3,0,0,'Données projet'!$E$14+1,1))-AVERAGE(OFFSET($H$3,0,0,'Données projet'!$E$14+1,1))</f>
        <v>487.04124684635974</v>
      </c>
      <c r="DU47" s="62">
        <f t="shared" si="44"/>
        <v>306.61893266146666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9.2795339183744758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9.2795339183744758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11.4</v>
      </c>
      <c r="EJ47" s="13">
        <f>IF('Données projet'!$A$192&gt;35,EJ46+EI47-ER46,IF(A47&lt;'Données projet'!$A$192,$EG$205^A47,IF(A47='Données projet'!$A$192,'Données projet'!$B$192,EJ46+EI47-ER46)))</f>
        <v>192.60000000000002</v>
      </c>
      <c r="EK47" s="18">
        <f>EJ47*VLOOKUP('Données projet'!$B$15,Paramètres!$A$1:$I$89,3,0)*VLOOKUP('Données projet'!$B$15,Paramètres!$A$1:$I$89,5,0)</f>
        <v>183.27816000000001</v>
      </c>
      <c r="EL47" s="14">
        <f t="shared" si="45"/>
        <v>46.050748514194922</v>
      </c>
      <c r="EM47" s="22">
        <f t="shared" si="19"/>
        <v>399.41451566222281</v>
      </c>
      <c r="EN47" s="62">
        <f t="shared" si="20"/>
        <v>692.74784899555607</v>
      </c>
      <c r="EO47" s="62">
        <f ca="1">AVERAGE(OFFSET($EN$3,0,0,'Données projet'!$E$15+1,1))-AVERAGE(OFFSET($H$3,0,0,'Données projet'!$E$15+1,1))</f>
        <v>459.64120566196812</v>
      </c>
      <c r="EP47" s="62">
        <f t="shared" si="46"/>
        <v>290.39826583283588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8.7084856772437398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8.7084856772437398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11.4</v>
      </c>
      <c r="FE47" s="13">
        <f>IF('Données projet'!$A$218&gt;35,FE46+FD47-FM46,IF(A47&lt;'Données projet'!$A$218,$FB$205^A47,IF(A47='Données projet'!$A$218,'Données projet'!$B$218,FE46+FD47-FM46)))</f>
        <v>192.60000000000002</v>
      </c>
      <c r="FF47" s="18">
        <f>FE47*VLOOKUP('Données projet'!$B$16,Paramètres!$A$1:$I$89,3,0)*VLOOKUP('Données projet'!$B$16,Paramètres!$A$1:$I$89,5,0)</f>
        <v>129.19608000000002</v>
      </c>
      <c r="FG47" s="14">
        <f t="shared" si="47"/>
        <v>33.810530012169728</v>
      </c>
      <c r="FH47" s="22">
        <f t="shared" si="22"/>
        <v>283.90317910452893</v>
      </c>
      <c r="FI47" s="62">
        <f t="shared" si="23"/>
        <v>577.2365124378623</v>
      </c>
      <c r="FJ47" s="62">
        <f ca="1">AVERAGE(OFFSET($FI$3,0,0,'Données projet'!$E$16+1,1))-AVERAGE(OFFSET($H$3,0,0,'Données projet'!$E$16+1,1))</f>
        <v>335.83558218229564</v>
      </c>
      <c r="FK47" s="62">
        <f t="shared" si="48"/>
        <v>217.08423061559648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0</v>
      </c>
      <c r="FR47" s="23">
        <f>EXP(-LN(2)/25)*FR46+(1-EXP(-LN(2)/25))/(LN(2)/25)*Calculateur!FM47*Calculateur!FO47*VLOOKUP('Données projet'!$B$16,Paramètres!$A$1:$I$89,3,0)*0.475*44/12</f>
        <v>5.6593012994206306</v>
      </c>
      <c r="FS47" s="23">
        <f>EXP(-LN(2)/2)*FS46+(1-EXP(-LN(2)/2))/(LN(2)/2)*FM47*FP47*VLOOKUP('Données projet'!$B$16,Paramètres!$A$1:$I$89,3,0)*0.475*44/12</f>
        <v>8.6357800338898019E-2</v>
      </c>
      <c r="FT47" s="24">
        <f t="shared" si="24"/>
        <v>5.7456590997595285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223</v>
      </c>
      <c r="L48" s="13">
        <f>VLOOKUP(A48,'Données projet'!$A$35:$I$55,9,0)</f>
        <v>9.8000000000000007</v>
      </c>
      <c r="M48" s="13">
        <f t="array" ref="M48">INDEX(L:L,MIN(IF(ISNUMBER(L48:L244),ROW(L48:L244),"")))</f>
        <v>9.8000000000000007</v>
      </c>
      <c r="N48" s="14">
        <f>IF('Données projet'!$A$36&gt;35,N47+M48-V47,IF(A48&lt;'Données projet'!$A$36,$K$205^A48,IF(A48='Données projet'!$A$36,'Données projet'!$B$36,N47+M48-V47)))</f>
        <v>223.00000000000009</v>
      </c>
      <c r="O48" s="14">
        <f>N48*VLOOKUP('Données projet'!$B$9,Paramètres!$A$1:$I$89,3,0)*VLOOKUP('Données projet'!$B$9,Paramètres!$A$1:$I$89,5,0)</f>
        <v>194.81280000000012</v>
      </c>
      <c r="P48" s="14">
        <f t="shared" si="33"/>
        <v>48.602440540253902</v>
      </c>
      <c r="Q48" s="22">
        <f t="shared" si="53"/>
        <v>423.9482106076091</v>
      </c>
      <c r="R48" s="62">
        <f t="shared" si="0"/>
        <v>717.28154394094236</v>
      </c>
      <c r="S48" s="62">
        <f ca="1">AVERAGE(OFFSET($R$3,0,0,'Données projet'!$E$9+1,1))-AVERAGE(OFFSET($H$3,0,0,'Données projet'!$E$9+1,1))</f>
        <v>321.23599968992932</v>
      </c>
      <c r="T48" s="62">
        <f t="shared" si="34"/>
        <v>388.05195847800502</v>
      </c>
      <c r="U48" s="16">
        <f>IF(ISNA(VLOOKUP(A48,'Données projet'!$A$35:$I$55,3,0)),0,VLOOKUP(A48,'Données projet'!$A$35:$I$55,3,0))</f>
        <v>7</v>
      </c>
      <c r="V48" s="16">
        <f>IF(ISNA(VLOOKUP(A48,'Données projet'!$A$35:$I$55,4,0)),0,VLOOKUP(A48,'Données projet'!$A$35:$I$55,4,0))</f>
        <v>36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16.877530897682195</v>
      </c>
      <c r="AB48" s="23">
        <f>EXP(-LN(2)/2)*AB47+(1-EXP(-LN(2)/2))/(LN(2)/2)*V48*Y48*VLOOKUP('Données projet'!$B$9,Paramètres!$A$1:$I$89,3,0)*0.475*44/12</f>
        <v>0.10090915417065331</v>
      </c>
      <c r="AC48" s="24">
        <f t="shared" si="3"/>
        <v>16.97844005185285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204</v>
      </c>
      <c r="AG48" s="13">
        <f>VLOOKUP(A48,'Données projet'!$A$61:$I$81,9,0)</f>
        <v>11.4</v>
      </c>
      <c r="AH48" s="13">
        <f t="array" ref="AH48">INDEX(AG:AG,MIN(IF(ISNUMBER(AG48:AG244),ROW(AG48:AG244),"")))</f>
        <v>11.4</v>
      </c>
      <c r="AI48" s="14">
        <f>IF('Données projet'!$A$62&gt;35,AI47+AH48-AQ47,IF(A48&lt;'Données projet'!$A$62,$AF$205^A48,IF(A48='Données projet'!$A$62,'Données projet'!$B$62,AI47+AH48-AQ47)))</f>
        <v>204.00000000000003</v>
      </c>
      <c r="AJ48" s="14">
        <f>AI48*VLOOKUP('Données projet'!$B$10,Paramètres!$A$1:$I$89,3,0)*VLOOKUP('Données projet'!$B$10,Paramètres!$A$1:$I$89,5,0)</f>
        <v>184.57920000000001</v>
      </c>
      <c r="AK48" s="14">
        <f t="shared" si="35"/>
        <v>46.339479465836661</v>
      </c>
      <c r="AL48" s="22">
        <f t="shared" si="4"/>
        <v>402.18336673633218</v>
      </c>
      <c r="AM48" s="62">
        <f t="shared" si="5"/>
        <v>695.51670006966549</v>
      </c>
      <c r="AN48" s="62">
        <f ca="1">AVERAGE(OFFSET($AM$3,0,0,'Données projet'!$E$10+1,1))-AVERAGE(OFFSET($H$3,0,0,'Données projet'!$E$10+1,1))</f>
        <v>439.19854273764042</v>
      </c>
      <c r="AO48" s="62">
        <f t="shared" si="36"/>
        <v>278.21741231699929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28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6.0238443330403504</v>
      </c>
      <c r="AW48" s="23">
        <f>EXP(-LN(2)/2)*AW47+(1-EXP(-LN(2)/2))/(LN(2)/2)*AQ48*AT48*VLOOKUP('Données projet'!$B$10,Paramètres!$A$1:$I$89,3,0)*0.475*44/12</f>
        <v>8.236564654007783E-2</v>
      </c>
      <c r="AX48" s="23">
        <f t="shared" si="6"/>
        <v>6.1062099795804281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242</v>
      </c>
      <c r="BB48" s="13">
        <f>VLOOKUP(A48,'Données projet'!$A$87:$I$107,9,0)</f>
        <v>9.8000000000000007</v>
      </c>
      <c r="BC48" s="13">
        <f t="array" ref="BC48">INDEX(BB:BB,MIN(IF(ISNUMBER(BB48:BB244),ROW(BB48:BB244),"")))</f>
        <v>9.8000000000000007</v>
      </c>
      <c r="BD48" s="13">
        <f>IF('Données projet'!$A$88&gt;35,BD47+BC48-BL47,IF(A48&lt;'Données projet'!$A$88,$BA$205^A48,IF(A48='Données projet'!$A$88,'Données projet'!$B$88,BD47+BC48-BL47)))</f>
        <v>242</v>
      </c>
      <c r="BE48" s="14">
        <f>BD48*VLOOKUP('Données projet'!$B$11,Paramètres!$A$1:$I$89,3,0)*VLOOKUP('Données projet'!$B$11,Paramètres!$A$1:$I$89,5,0)</f>
        <v>192.5352</v>
      </c>
      <c r="BF48" s="14">
        <f t="shared" si="37"/>
        <v>48.100016456123079</v>
      </c>
      <c r="BG48" s="22">
        <f t="shared" si="7"/>
        <v>419.10633532774767</v>
      </c>
      <c r="BH48" s="62">
        <f t="shared" si="8"/>
        <v>712.43966866108099</v>
      </c>
      <c r="BI48" s="62">
        <f ca="1">AVERAGE(OFFSET($BH$3,0,0,'Données projet'!$E$11+1,1))-AVERAGE(OFFSET($H$3,0,0,'Données projet'!$E$11+1,1))</f>
        <v>352.88510024787888</v>
      </c>
      <c r="BJ48" s="62">
        <f t="shared" si="38"/>
        <v>343.77208530767069</v>
      </c>
      <c r="BK48" s="16">
        <f>IF(ISNA(VLOOKUP(A48,'Données projet'!$A$87:$I$107,3,0)),0,VLOOKUP(A48,'Données projet'!$A$87:$I$107,3,0))</f>
        <v>8</v>
      </c>
      <c r="BL48" s="16">
        <f>IF(ISNA(VLOOKUP(A48,'Données projet'!$A$87:$I$107,4,0)),0,VLOOKUP(A48,'Données projet'!$A$87:$I$107,4,0))</f>
        <v>24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8.1088296737226599</v>
      </c>
      <c r="BR48" s="23">
        <f>EXP(-LN(2)/2)*BR47+(1-EXP(-LN(2)/2))/(LN(2)/2)*BL48*BO48*VLOOKUP('Données projet'!$B$11,Paramètres!$A$1:$I$89,3,0)*0.475*44/12</f>
        <v>2.1808090873667351E-3</v>
      </c>
      <c r="BS48" s="24">
        <f t="shared" si="9"/>
        <v>8.1110104828100269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242</v>
      </c>
      <c r="BW48" s="13">
        <f>VLOOKUP(A48,'Données projet'!$A$113:$I$133,9,0)</f>
        <v>9.8000000000000007</v>
      </c>
      <c r="BX48" s="13">
        <f t="array" ref="BX48">INDEX(BW:BW,MIN(IF(ISNUMBER(BW48:BW244),ROW(BW48:BW244),"")))</f>
        <v>9.8000000000000007</v>
      </c>
      <c r="BY48" s="13">
        <f>IF('Données projet'!$A$114&gt;35,BY47+BX48-CG47,IF(A48&lt;'Données projet'!$A$114,$BV$205^A48,IF(A48='Données projet'!$A$114,'Données projet'!$B$114,BY47+BX48-CG47)))</f>
        <v>242</v>
      </c>
      <c r="BZ48" s="14">
        <f>BY48*VLOOKUP('Données projet'!$B$12,Paramètres!$A$1:$I$89,3,0)*VLOOKUP('Données projet'!$B$12,Paramètres!$A$1:$I$89,5,0)</f>
        <v>177.43440000000001</v>
      </c>
      <c r="CA48" s="14">
        <f t="shared" si="39"/>
        <v>44.750911401641211</v>
      </c>
      <c r="CB48" s="22">
        <f t="shared" si="10"/>
        <v>386.97275069119178</v>
      </c>
      <c r="CC48" s="62">
        <f t="shared" si="11"/>
        <v>680.30608402452503</v>
      </c>
      <c r="CD48" s="62">
        <f ca="1">AVERAGE(OFFSET($CC$3,0,0,'Données projet'!$E$12+1,1))-AVERAGE(OFFSET($H$3,0,0,'Données projet'!$E$12+1,1))</f>
        <v>328.10411227536315</v>
      </c>
      <c r="CE48" s="62">
        <f t="shared" si="40"/>
        <v>320.24200483294322</v>
      </c>
      <c r="CF48" s="16">
        <f>IF(ISNA(VLOOKUP(A48,'Données projet'!$A$113:$I$133,3,0)),0,VLOOKUP(A48,'Données projet'!$A$113:$I$133,3,0))</f>
        <v>8</v>
      </c>
      <c r="CG48" s="16">
        <f>IF(ISNA(VLOOKUP(A48,'Données projet'!$A$113:$I$133,4,0)),0,VLOOKUP(A48,'Données projet'!$A$113:$I$133,4,0))</f>
        <v>24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6.7454550191877392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6.7454550191877392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10.375</v>
      </c>
      <c r="CT48" s="13">
        <f>IF('Données projet'!$A$140&gt;35,CT47+CS48-DB47,IF(A48&lt;'Données projet'!$A$140,$CQ$205^A48,IF(A48='Données projet'!$A$140,'Données projet'!$B$140,CT47+CS48-DB47)))</f>
        <v>197.37499999999991</v>
      </c>
      <c r="CU48" s="18">
        <f>CT48*VLOOKUP('Données projet'!$B$13,Paramètres!$A$1:$I$89,3,0)*VLOOKUP('Données projet'!$B$13,Paramètres!$A$1:$I$89,5,0)</f>
        <v>153.95249999999993</v>
      </c>
      <c r="CV48" s="14">
        <f t="shared" si="41"/>
        <v>39.475441267837361</v>
      </c>
      <c r="CW48" s="22">
        <f t="shared" si="13"/>
        <v>336.88699770814992</v>
      </c>
      <c r="CX48" s="62">
        <f t="shared" si="14"/>
        <v>630.22033104148318</v>
      </c>
      <c r="CY48" s="62">
        <f ca="1">AVERAGE(OFFSET($CX$3,0,0,'Données projet'!$E$13+1,1))-AVERAGE(OFFSET($H$3,0,0,'Données projet'!$E$13+1,1))</f>
        <v>288.82868507674738</v>
      </c>
      <c r="CZ48" s="62">
        <f t="shared" si="42"/>
        <v>283.48738729114024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7.5847502001400997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7.5847502001400997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204</v>
      </c>
      <c r="DM48" s="13">
        <f>VLOOKUP(A48,'Données projet'!$A$165:$I$185,9,0)</f>
        <v>11.4</v>
      </c>
      <c r="DN48" s="13">
        <f t="array" ref="DN48">INDEX(DM:DM,MIN(IF(ISNUMBER(DM48:DM244),ROW(DM48:DM244),"")))</f>
        <v>11.4</v>
      </c>
      <c r="DO48" s="13">
        <f>IF('Données projet'!$A$166&gt;35,DO47+DN48-DW47,IF(A48&lt;'Données projet'!$A$166,$DL$205^A48,IF(A48='Données projet'!$A$166,'Données projet'!$B$166,DO47+DN48-DW47)))</f>
        <v>204.00000000000003</v>
      </c>
      <c r="DP48" s="18">
        <f>DO48*VLOOKUP('Données projet'!$B$14,Paramètres!$A$1:$I$89,3,0)*VLOOKUP('Données projet'!$B$14,Paramètres!$A$1:$I$89,5,0)</f>
        <v>206.85600000000005</v>
      </c>
      <c r="DQ48" s="14">
        <f t="shared" si="43"/>
        <v>51.247940588293027</v>
      </c>
      <c r="DR48" s="22">
        <f t="shared" si="16"/>
        <v>449.53102985794379</v>
      </c>
      <c r="DS48" s="62">
        <f t="shared" si="17"/>
        <v>742.86436319127711</v>
      </c>
      <c r="DT48" s="62">
        <f ca="1">AVERAGE(OFFSET($DS$3,0,0,'Données projet'!$E$14+1,1))-AVERAGE(OFFSET($H$3,0,0,'Données projet'!$E$14+1,1))</f>
        <v>487.04124684635974</v>
      </c>
      <c r="DU48" s="62">
        <f t="shared" si="44"/>
        <v>306.61893266146666</v>
      </c>
      <c r="DV48" s="16">
        <f>IF(ISNA(VLOOKUP(A48,'Données projet'!$A$165:$I$185,3,0)),0,VLOOKUP(A48,'Données projet'!$A$165:$I$185,3,0))</f>
        <v>6</v>
      </c>
      <c r="DW48" s="16">
        <f>IF(ISNA(VLOOKUP(A48,'Données projet'!$A$165:$I$185,4,0)),0,VLOOKUP(A48,'Données projet'!$A$165:$I$185,4,0))</f>
        <v>28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9.0975679181919684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9.0975679181919684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204</v>
      </c>
      <c r="EH48" s="13">
        <f>VLOOKUP(A48,'Données projet'!$A$191:$I$211,9,0)</f>
        <v>11.4</v>
      </c>
      <c r="EI48" s="13">
        <f t="array" ref="EI48">INDEX(EH:EH,MIN(IF(ISNUMBER(EH48:EH244),ROW(EH48:EH244),"")))</f>
        <v>11.4</v>
      </c>
      <c r="EJ48" s="13">
        <f>IF('Données projet'!$A$192&gt;35,EJ47+EI48-ER47,IF(A48&lt;'Données projet'!$A$192,$EG$205^A48,IF(A48='Données projet'!$A$192,'Données projet'!$B$192,EJ47+EI48-ER47)))</f>
        <v>204.00000000000003</v>
      </c>
      <c r="EK48" s="18">
        <f>EJ48*VLOOKUP('Données projet'!$B$15,Paramètres!$A$1:$I$89,3,0)*VLOOKUP('Données projet'!$B$15,Paramètres!$A$1:$I$89,5,0)</f>
        <v>194.12640000000002</v>
      </c>
      <c r="EL48" s="14">
        <f t="shared" si="45"/>
        <v>48.451097401781084</v>
      </c>
      <c r="EM48" s="22">
        <f t="shared" si="19"/>
        <v>422.48914130810203</v>
      </c>
      <c r="EN48" s="62">
        <f t="shared" si="20"/>
        <v>715.82247464143529</v>
      </c>
      <c r="EO48" s="62">
        <f ca="1">AVERAGE(OFFSET($EN$3,0,0,'Données projet'!$E$15+1,1))-AVERAGE(OFFSET($H$3,0,0,'Données projet'!$E$15+1,1))</f>
        <v>459.64120566196812</v>
      </c>
      <c r="EP48" s="62">
        <f t="shared" si="46"/>
        <v>290.39826583283588</v>
      </c>
      <c r="EQ48" s="16">
        <f>IF(ISNA(VLOOKUP(A48,'Données projet'!$A$191:$I$211,3,0)),0,VLOOKUP(A48,'Données projet'!$A$191:$I$211,3,0))</f>
        <v>6</v>
      </c>
      <c r="ER48" s="16">
        <f>IF(ISNA(VLOOKUP(A48,'Données projet'!$A$191:$I$211,4,0)),0,VLOOKUP(A48,'Données projet'!$A$191:$I$211,4,0))</f>
        <v>28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8.5377175847647706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8.5377175847647706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>
        <f>VLOOKUP(A48,'Données projet'!$A$217:$I$237,2,0)</f>
        <v>204</v>
      </c>
      <c r="FC48" s="13">
        <f>VLOOKUP(A48,'Données projet'!$A$217:$I$237,9,0)</f>
        <v>11.4</v>
      </c>
      <c r="FD48" s="13">
        <f t="array" ref="FD48">INDEX(FC:FC,MIN(IF(ISNUMBER(FC48:FC244),ROW(FC48:FC244),"")))</f>
        <v>11.4</v>
      </c>
      <c r="FE48" s="13">
        <f>IF('Données projet'!$A$218&gt;35,FE47+FD48-FM47,IF(A48&lt;'Données projet'!$A$218,$FB$205^A48,IF(A48='Données projet'!$A$218,'Données projet'!$B$218,FE47+FD48-FM47)))</f>
        <v>204.00000000000003</v>
      </c>
      <c r="FF48" s="18">
        <f>FE48*VLOOKUP('Données projet'!$B$16,Paramètres!$A$1:$I$89,3,0)*VLOOKUP('Données projet'!$B$16,Paramètres!$A$1:$I$89,5,0)</f>
        <v>136.84320000000002</v>
      </c>
      <c r="FG48" s="14">
        <f t="shared" si="47"/>
        <v>35.572869837729648</v>
      </c>
      <c r="FH48" s="22">
        <f t="shared" si="22"/>
        <v>300.2913216340458</v>
      </c>
      <c r="FI48" s="62">
        <f t="shared" si="23"/>
        <v>593.62465496737912</v>
      </c>
      <c r="FJ48" s="62">
        <f ca="1">AVERAGE(OFFSET($FI$3,0,0,'Données projet'!$E$16+1,1))-AVERAGE(OFFSET($H$3,0,0,'Données projet'!$E$16+1,1))</f>
        <v>335.83558218229564</v>
      </c>
      <c r="FK48" s="62">
        <f t="shared" si="48"/>
        <v>217.08423061559648</v>
      </c>
      <c r="FL48" s="16">
        <f>IF(ISNA(VLOOKUP(A48,'Données projet'!$A$217:$I$237,3,0)),0,VLOOKUP(A48,'Données projet'!$A$217:$I$237,3,0))</f>
        <v>6</v>
      </c>
      <c r="FM48" s="16">
        <f>IF(ISNA(VLOOKUP(A48,'Données projet'!$A$217:$I$237,4,0)),0,VLOOKUP(A48,'Données projet'!$A$217:$I$237,4,0))</f>
        <v>28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0</v>
      </c>
      <c r="FR48" s="23">
        <f>EXP(-LN(2)/25)*FR47+(1-EXP(-LN(2)/25))/(LN(2)/25)*Calculateur!FM48*Calculateur!FO48*VLOOKUP('Données projet'!$B$16,Paramètres!$A$1:$I$89,3,0)*0.475*44/12</f>
        <v>5.5045474077782526</v>
      </c>
      <c r="FS48" s="23">
        <f>EXP(-LN(2)/2)*FS47+(1-EXP(-LN(2)/2))/(LN(2)/2)*FM48*FP48*VLOOKUP('Données projet'!$B$16,Paramètres!$A$1:$I$89,3,0)*0.475*44/12</f>
        <v>6.1064186227988725E-2</v>
      </c>
      <c r="FT48" s="24">
        <f t="shared" si="24"/>
        <v>5.5656115940062412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8.8000000000000007</v>
      </c>
      <c r="N49" s="14">
        <f>IF('Données projet'!$A$36&gt;35,N48+M49-V48,IF(A49&lt;'Données projet'!$A$36,$K$205^A49,IF(A49='Données projet'!$A$36,'Données projet'!$B$36,N48+M49-V48)))</f>
        <v>195.8000000000001</v>
      </c>
      <c r="O49" s="14">
        <f>N49*VLOOKUP('Données projet'!$B$9,Paramètres!$A$1:$I$89,3,0)*VLOOKUP('Données projet'!$B$9,Paramètres!$A$1:$I$89,5,0)</f>
        <v>171.05088000000012</v>
      </c>
      <c r="P49" s="14">
        <f t="shared" si="33"/>
        <v>43.325301264581704</v>
      </c>
      <c r="Q49" s="22">
        <f t="shared" si="53"/>
        <v>373.37184903581334</v>
      </c>
      <c r="R49" s="62">
        <f t="shared" si="0"/>
        <v>666.70518236914666</v>
      </c>
      <c r="S49" s="62">
        <f ca="1">AVERAGE(OFFSET($R$3,0,0,'Données projet'!$E$9+1,1))-AVERAGE(OFFSET($H$3,0,0,'Données projet'!$E$9+1,1))</f>
        <v>321.23599968992932</v>
      </c>
      <c r="T49" s="62">
        <f t="shared" si="34"/>
        <v>388.05195847800502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16.416013927734301</v>
      </c>
      <c r="AB49" s="23">
        <f>EXP(-LN(2)/2)*AB48+(1-EXP(-LN(2)/2))/(LN(2)/2)*V49*Y49*VLOOKUP('Données projet'!$B$9,Paramètres!$A$1:$I$89,3,0)*0.475*44/12</f>
        <v>7.1353547197867739E-2</v>
      </c>
      <c r="AC49" s="24">
        <f t="shared" si="3"/>
        <v>16.487367474932171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11</v>
      </c>
      <c r="AI49" s="14">
        <f>IF('Données projet'!$A$62&gt;35,AI48+AH49-AQ48,IF(A49&lt;'Données projet'!$A$62,$AF$205^A49,IF(A49='Données projet'!$A$62,'Données projet'!$B$62,AI48+AH49-AQ48)))</f>
        <v>187.00000000000003</v>
      </c>
      <c r="AJ49" s="14">
        <f>AI49*VLOOKUP('Données projet'!$B$10,Paramètres!$A$1:$I$89,3,0)*VLOOKUP('Données projet'!$B$10,Paramètres!$A$1:$I$89,5,0)</f>
        <v>169.19760000000002</v>
      </c>
      <c r="AK49" s="14">
        <f t="shared" si="35"/>
        <v>42.910263223432885</v>
      </c>
      <c r="AL49" s="22">
        <f t="shared" si="4"/>
        <v>369.42119511414558</v>
      </c>
      <c r="AM49" s="62">
        <f t="shared" si="5"/>
        <v>662.75452844747883</v>
      </c>
      <c r="AN49" s="62">
        <f ca="1">AVERAGE(OFFSET($AM$3,0,0,'Données projet'!$E$10+1,1))-AVERAGE(OFFSET($H$3,0,0,'Données projet'!$E$10+1,1))</f>
        <v>439.19854273764042</v>
      </c>
      <c r="AO49" s="62">
        <f t="shared" si="36"/>
        <v>278.21741231699929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5.8591219929731562</v>
      </c>
      <c r="AW49" s="23">
        <f>EXP(-LN(2)/2)*AW48+(1-EXP(-LN(2)/2))/(LN(2)/2)*AQ49*AT49*VLOOKUP('Données projet'!$B$10,Paramètres!$A$1:$I$89,3,0)*0.475*44/12</f>
        <v>5.8241307205303336E-2</v>
      </c>
      <c r="AX49" s="23">
        <f t="shared" si="6"/>
        <v>5.9173633001784598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8.4</v>
      </c>
      <c r="BD49" s="13">
        <f>IF('Données projet'!$A$88&gt;35,BD48+BC49-BL48,IF(A49&lt;'Données projet'!$A$88,$BA$205^A49,IF(A49='Données projet'!$A$88,'Données projet'!$B$88,BD48+BC49-BL48)))</f>
        <v>226.4</v>
      </c>
      <c r="BE49" s="14">
        <f>BD49*VLOOKUP('Données projet'!$B$11,Paramètres!$A$1:$I$89,3,0)*VLOOKUP('Données projet'!$B$11,Paramètres!$A$1:$I$89,5,0)</f>
        <v>180.12384</v>
      </c>
      <c r="BF49" s="14">
        <f t="shared" si="37"/>
        <v>45.349737181998847</v>
      </c>
      <c r="BG49" s="22">
        <f t="shared" si="7"/>
        <v>392.69981359198135</v>
      </c>
      <c r="BH49" s="62">
        <f t="shared" si="8"/>
        <v>686.03314692531467</v>
      </c>
      <c r="BI49" s="62">
        <f ca="1">AVERAGE(OFFSET($BH$3,0,0,'Données projet'!$E$11+1,1))-AVERAGE(OFFSET($H$3,0,0,'Données projet'!$E$11+1,1))</f>
        <v>352.88510024787888</v>
      </c>
      <c r="BJ49" s="62">
        <f t="shared" si="38"/>
        <v>343.77208530767069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7.8870932998698944</v>
      </c>
      <c r="BR49" s="23">
        <f>EXP(-LN(2)/2)*BR48+(1-EXP(-LN(2)/2))/(LN(2)/2)*BL49*BO49*VLOOKUP('Données projet'!$B$11,Paramètres!$A$1:$I$89,3,0)*0.475*44/12</f>
        <v>1.5420648941502644E-3</v>
      </c>
      <c r="BS49" s="24">
        <f t="shared" si="9"/>
        <v>7.8886353647640446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8.4</v>
      </c>
      <c r="BY49" s="13">
        <f>IF('Données projet'!$A$114&gt;35,BY48+BX49-CG48,IF(A49&lt;'Données projet'!$A$114,$BV$205^A49,IF(A49='Données projet'!$A$114,'Données projet'!$B$114,BY48+BX49-CG48)))</f>
        <v>226.4</v>
      </c>
      <c r="BZ49" s="14">
        <f>BY49*VLOOKUP('Données projet'!$B$12,Paramètres!$A$1:$I$89,3,0)*VLOOKUP('Données projet'!$B$12,Paramètres!$A$1:$I$89,5,0)</f>
        <v>165.99648000000002</v>
      </c>
      <c r="CA49" s="14">
        <f t="shared" si="39"/>
        <v>42.192128407494515</v>
      </c>
      <c r="CB49" s="22">
        <f t="shared" si="10"/>
        <v>362.59515964305297</v>
      </c>
      <c r="CC49" s="62">
        <f t="shared" si="11"/>
        <v>655.92849297638622</v>
      </c>
      <c r="CD49" s="62">
        <f ca="1">AVERAGE(OFFSET($CC$3,0,0,'Données projet'!$E$12+1,1))-AVERAGE(OFFSET($H$3,0,0,'Données projet'!$E$12+1,1))</f>
        <v>328.10411227536315</v>
      </c>
      <c r="CE49" s="62">
        <f t="shared" si="40"/>
        <v>320.24200483294322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6.6131807605827735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6.6131807605827735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10.375</v>
      </c>
      <c r="CT49" s="13">
        <f>IF('Données projet'!$A$140&gt;35,CT48+CS49-DB48,IF(A49&lt;'Données projet'!$A$140,$CQ$205^A49,IF(A49='Données projet'!$A$140,'Données projet'!$B$140,CT48+CS49-DB48)))</f>
        <v>207.74999999999991</v>
      </c>
      <c r="CU49" s="18">
        <f>CT49*VLOOKUP('Données projet'!$B$13,Paramètres!$A$1:$I$89,3,0)*VLOOKUP('Données projet'!$B$13,Paramètres!$A$1:$I$89,5,0)</f>
        <v>162.04499999999993</v>
      </c>
      <c r="CV49" s="14">
        <f t="shared" si="41"/>
        <v>41.303429372463391</v>
      </c>
      <c r="CW49" s="22">
        <f t="shared" si="13"/>
        <v>354.16518115704025</v>
      </c>
      <c r="CX49" s="62">
        <f t="shared" si="14"/>
        <v>647.49851449037351</v>
      </c>
      <c r="CY49" s="62">
        <f ca="1">AVERAGE(OFFSET($CX$3,0,0,'Données projet'!$E$13+1,1))-AVERAGE(OFFSET($H$3,0,0,'Données projet'!$E$13+1,1))</f>
        <v>288.82868507674738</v>
      </c>
      <c r="CZ49" s="62">
        <f t="shared" si="42"/>
        <v>283.48738729114024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7.4360178749561712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7.4360178749561712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11</v>
      </c>
      <c r="DO49" s="13">
        <f>IF('Données projet'!$A$166&gt;35,DO48+DN49-DW48,IF(A49&lt;'Données projet'!$A$166,$DL$205^A49,IF(A49='Données projet'!$A$166,'Données projet'!$B$166,DO48+DN49-DW48)))</f>
        <v>187.00000000000003</v>
      </c>
      <c r="DP49" s="18">
        <f>DO49*VLOOKUP('Données projet'!$B$14,Paramètres!$A$1:$I$89,3,0)*VLOOKUP('Données projet'!$B$14,Paramètres!$A$1:$I$89,5,0)</f>
        <v>189.61800000000005</v>
      </c>
      <c r="DQ49" s="14">
        <f t="shared" si="43"/>
        <v>47.4554881852685</v>
      </c>
      <c r="DR49" s="22">
        <f t="shared" si="16"/>
        <v>412.90299192267599</v>
      </c>
      <c r="DS49" s="62">
        <f t="shared" si="17"/>
        <v>706.23632525600931</v>
      </c>
      <c r="DT49" s="62">
        <f ca="1">AVERAGE(OFFSET($DS$3,0,0,'Données projet'!$E$14+1,1))-AVERAGE(OFFSET($H$3,0,0,'Données projet'!$E$14+1,1))</f>
        <v>487.04124684635974</v>
      </c>
      <c r="DU49" s="62">
        <f t="shared" si="44"/>
        <v>306.61893266146666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8.9191701602847395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8.9191701602847395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11</v>
      </c>
      <c r="EJ49" s="13">
        <f>IF('Données projet'!$A$192&gt;35,EJ48+EI49-ER48,IF(A49&lt;'Données projet'!$A$192,$EG$205^A49,IF(A49='Données projet'!$A$192,'Données projet'!$B$192,EJ48+EI49-ER48)))</f>
        <v>187.00000000000003</v>
      </c>
      <c r="EK49" s="18">
        <f>EJ49*VLOOKUP('Données projet'!$B$15,Paramètres!$A$1:$I$89,3,0)*VLOOKUP('Données projet'!$B$15,Paramètres!$A$1:$I$89,5,0)</f>
        <v>177.94920000000005</v>
      </c>
      <c r="EL49" s="14">
        <f t="shared" si="45"/>
        <v>44.865617113963758</v>
      </c>
      <c r="EM49" s="22">
        <f t="shared" si="19"/>
        <v>388.06913980682026</v>
      </c>
      <c r="EN49" s="62">
        <f t="shared" si="20"/>
        <v>681.40247314015357</v>
      </c>
      <c r="EO49" s="62">
        <f ca="1">AVERAGE(OFFSET($EN$3,0,0,'Données projet'!$E$15+1,1))-AVERAGE(OFFSET($H$3,0,0,'Données projet'!$E$15+1,1))</f>
        <v>459.64120566196812</v>
      </c>
      <c r="EP49" s="62">
        <f t="shared" si="46"/>
        <v>290.39826583283588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8.3702981504210623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8.3702981504210623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11</v>
      </c>
      <c r="FE49" s="13">
        <f>IF('Données projet'!$A$218&gt;35,FE48+FD49-FM48,IF(A49&lt;'Données projet'!$A$218,$FB$205^A49,IF(A49='Données projet'!$A$218,'Données projet'!$B$218,FE48+FD49-FM48)))</f>
        <v>187.00000000000003</v>
      </c>
      <c r="FF49" s="18">
        <f>FE49*VLOOKUP('Données projet'!$B$16,Paramètres!$A$1:$I$89,3,0)*VLOOKUP('Données projet'!$B$16,Paramètres!$A$1:$I$89,5,0)</f>
        <v>125.43960000000003</v>
      </c>
      <c r="FG49" s="14">
        <f t="shared" si="47"/>
        <v>32.940404724987246</v>
      </c>
      <c r="FH49" s="22">
        <f t="shared" si="22"/>
        <v>275.8451748960195</v>
      </c>
      <c r="FI49" s="62">
        <f t="shared" si="23"/>
        <v>569.17850822935281</v>
      </c>
      <c r="FJ49" s="62">
        <f ca="1">AVERAGE(OFFSET($FI$3,0,0,'Données projet'!$E$16+1,1))-AVERAGE(OFFSET($H$3,0,0,'Données projet'!$E$16+1,1))</f>
        <v>335.83558218229564</v>
      </c>
      <c r="FK49" s="62">
        <f t="shared" si="48"/>
        <v>217.08423061559648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0</v>
      </c>
      <c r="FR49" s="23">
        <f>EXP(-LN(2)/25)*FR48+(1-EXP(-LN(2)/25))/(LN(2)/25)*Calculateur!FM49*Calculateur!FO49*VLOOKUP('Données projet'!$B$16,Paramètres!$A$1:$I$89,3,0)*0.475*44/12</f>
        <v>5.3540252694409887</v>
      </c>
      <c r="FS49" s="23">
        <f>EXP(-LN(2)/2)*FS48+(1-EXP(-LN(2)/2))/(LN(2)/2)*FM49*FP49*VLOOKUP('Données projet'!$B$16,Paramètres!$A$1:$I$89,3,0)*0.475*44/12</f>
        <v>4.3178900169449017E-2</v>
      </c>
      <c r="FT49" s="24">
        <f t="shared" si="24"/>
        <v>5.397204169610438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8.8000000000000007</v>
      </c>
      <c r="N50" s="14">
        <f>IF('Données projet'!$A$36&gt;35,N49+M50-V49,IF(A50&lt;'Données projet'!$A$36,$K$205^A50,IF(A50='Données projet'!$A$36,'Données projet'!$B$36,N49+M50-V49)))</f>
        <v>204.60000000000011</v>
      </c>
      <c r="O50" s="14">
        <f>N50*VLOOKUP('Données projet'!$B$9,Paramètres!$A$1:$I$89,3,0)*VLOOKUP('Données projet'!$B$9,Paramètres!$A$1:$I$89,5,0)</f>
        <v>178.73856000000012</v>
      </c>
      <c r="P50" s="14">
        <f t="shared" si="33"/>
        <v>45.041424241265368</v>
      </c>
      <c r="Q50" s="22">
        <f t="shared" si="53"/>
        <v>389.75013922020406</v>
      </c>
      <c r="R50" s="62">
        <f t="shared" si="0"/>
        <v>683.08347255353738</v>
      </c>
      <c r="S50" s="62">
        <f ca="1">AVERAGE(OFFSET($R$3,0,0,'Données projet'!$E$9+1,1))-AVERAGE(OFFSET($H$3,0,0,'Données projet'!$E$9+1,1))</f>
        <v>321.23599968992932</v>
      </c>
      <c r="T50" s="62">
        <f t="shared" si="34"/>
        <v>388.05195847800502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15.967117163599754</v>
      </c>
      <c r="AB50" s="23">
        <f>EXP(-LN(2)/2)*AB49+(1-EXP(-LN(2)/2))/(LN(2)/2)*V50*Y50*VLOOKUP('Données projet'!$B$9,Paramètres!$A$1:$I$89,3,0)*0.475*44/12</f>
        <v>5.0454577085326656E-2</v>
      </c>
      <c r="AC50" s="24">
        <f t="shared" si="3"/>
        <v>16.017571740685081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11</v>
      </c>
      <c r="AI50" s="14">
        <f>IF('Données projet'!$A$62&gt;35,AI49+AH50-AQ49,IF(A50&lt;'Données projet'!$A$62,$AF$205^A50,IF(A50='Données projet'!$A$62,'Données projet'!$B$62,AI49+AH50-AQ49)))</f>
        <v>198.00000000000003</v>
      </c>
      <c r="AJ50" s="14">
        <f>AI50*VLOOKUP('Données projet'!$B$10,Paramètres!$A$1:$I$89,3,0)*VLOOKUP('Données projet'!$B$10,Paramètres!$A$1:$I$89,5,0)</f>
        <v>179.15040000000002</v>
      </c>
      <c r="AK50" s="14">
        <f t="shared" si="35"/>
        <v>45.133113803437304</v>
      </c>
      <c r="AL50" s="22">
        <f t="shared" si="4"/>
        <v>390.62711987431999</v>
      </c>
      <c r="AM50" s="62">
        <f t="shared" si="5"/>
        <v>683.96045320765325</v>
      </c>
      <c r="AN50" s="62">
        <f ca="1">AVERAGE(OFFSET($AM$3,0,0,'Données projet'!$E$10+1,1))-AVERAGE(OFFSET($H$3,0,0,'Données projet'!$E$10+1,1))</f>
        <v>439.19854273764042</v>
      </c>
      <c r="AO50" s="62">
        <f t="shared" si="36"/>
        <v>278.21741231699929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5.6989039939574706</v>
      </c>
      <c r="AW50" s="23">
        <f>EXP(-LN(2)/2)*AW49+(1-EXP(-LN(2)/2))/(LN(2)/2)*AQ50*AT50*VLOOKUP('Données projet'!$B$10,Paramètres!$A$1:$I$89,3,0)*0.475*44/12</f>
        <v>4.1182823270038922E-2</v>
      </c>
      <c r="AX50" s="23">
        <f t="shared" si="6"/>
        <v>5.7400868172275095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8.4</v>
      </c>
      <c r="BD50" s="13">
        <f>IF('Données projet'!$A$88&gt;35,BD49+BC50-BL49,IF(A50&lt;'Données projet'!$A$88,$BA$205^A50,IF(A50='Données projet'!$A$88,'Données projet'!$B$88,BD49+BC50-BL49)))</f>
        <v>234.8</v>
      </c>
      <c r="BE50" s="14">
        <f>BD50*VLOOKUP('Données projet'!$B$11,Paramètres!$A$1:$I$89,3,0)*VLOOKUP('Données projet'!$B$11,Paramètres!$A$1:$I$89,5,0)</f>
        <v>186.80688000000001</v>
      </c>
      <c r="BF50" s="14">
        <f t="shared" si="37"/>
        <v>46.833304503358612</v>
      </c>
      <c r="BG50" s="22">
        <f t="shared" si="7"/>
        <v>406.92332134334953</v>
      </c>
      <c r="BH50" s="62">
        <f t="shared" si="8"/>
        <v>700.25665467668284</v>
      </c>
      <c r="BI50" s="62">
        <f ca="1">AVERAGE(OFFSET($BH$3,0,0,'Données projet'!$E$11+1,1))-AVERAGE(OFFSET($H$3,0,0,'Données projet'!$E$11+1,1))</f>
        <v>352.88510024787888</v>
      </c>
      <c r="BJ50" s="62">
        <f t="shared" si="38"/>
        <v>343.77208530767069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7.6714203188207417</v>
      </c>
      <c r="BR50" s="23">
        <f>EXP(-LN(2)/2)*BR49+(1-EXP(-LN(2)/2))/(LN(2)/2)*BL50*BO50*VLOOKUP('Données projet'!$B$11,Paramètres!$A$1:$I$89,3,0)*0.475*44/12</f>
        <v>1.0904045436833675E-3</v>
      </c>
      <c r="BS50" s="24">
        <f t="shared" si="9"/>
        <v>7.6725107233644252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8.4</v>
      </c>
      <c r="BY50" s="13">
        <f>IF('Données projet'!$A$114&gt;35,BY49+BX50-CG49,IF(A50&lt;'Données projet'!$A$114,$BV$205^A50,IF(A50='Données projet'!$A$114,'Données projet'!$B$114,BY49+BX50-CG49)))</f>
        <v>234.8</v>
      </c>
      <c r="BZ50" s="14">
        <f>BY50*VLOOKUP('Données projet'!$B$12,Paramètres!$A$1:$I$89,3,0)*VLOOKUP('Données projet'!$B$12,Paramètres!$A$1:$I$89,5,0)</f>
        <v>172.15536</v>
      </c>
      <c r="CA50" s="14">
        <f t="shared" si="39"/>
        <v>43.572397992580903</v>
      </c>
      <c r="CB50" s="22">
        <f t="shared" si="10"/>
        <v>375.72584517041173</v>
      </c>
      <c r="CC50" s="62">
        <f t="shared" si="11"/>
        <v>669.05917850374499</v>
      </c>
      <c r="CD50" s="62">
        <f ca="1">AVERAGE(OFFSET($CC$3,0,0,'Données projet'!$E$12+1,1))-AVERAGE(OFFSET($H$3,0,0,'Données projet'!$E$12+1,1))</f>
        <v>328.10411227536315</v>
      </c>
      <c r="CE50" s="62">
        <f t="shared" si="40"/>
        <v>320.24200483294322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6.4835003195097203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6.4835003195097203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10.375</v>
      </c>
      <c r="CT50" s="13">
        <f>IF('Données projet'!$A$140&gt;35,CT49+CS50-DB49,IF(A50&lt;'Données projet'!$A$140,$CQ$205^A50,IF(A50='Données projet'!$A$140,'Données projet'!$B$140,CT49+CS50-DB49)))</f>
        <v>218.12499999999991</v>
      </c>
      <c r="CU50" s="18">
        <f>CT50*VLOOKUP('Données projet'!$B$13,Paramètres!$A$1:$I$89,3,0)*VLOOKUP('Données projet'!$B$13,Paramètres!$A$1:$I$89,5,0)</f>
        <v>170.13749999999993</v>
      </c>
      <c r="CV50" s="14">
        <f t="shared" si="41"/>
        <v>43.120817562072375</v>
      </c>
      <c r="CW50" s="22">
        <f t="shared" si="13"/>
        <v>371.42490308727588</v>
      </c>
      <c r="CX50" s="62">
        <f t="shared" si="14"/>
        <v>664.75823642060914</v>
      </c>
      <c r="CY50" s="62">
        <f ca="1">AVERAGE(OFFSET($CX$3,0,0,'Données projet'!$E$13+1,1))-AVERAGE(OFFSET($H$3,0,0,'Données projet'!$E$13+1,1))</f>
        <v>288.82868507674738</v>
      </c>
      <c r="CZ50" s="62">
        <f t="shared" si="42"/>
        <v>283.48738729114024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7.2902020999513386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7.2902020999513386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11</v>
      </c>
      <c r="DO50" s="13">
        <f>IF('Données projet'!$A$166&gt;35,DO49+DN50-DW49,IF(A50&lt;'Données projet'!$A$166,$DL$205^A50,IF(A50='Données projet'!$A$166,'Données projet'!$B$166,DO49+DN50-DW49)))</f>
        <v>198.00000000000003</v>
      </c>
      <c r="DP50" s="18">
        <f>DO50*VLOOKUP('Données projet'!$B$14,Paramètres!$A$1:$I$89,3,0)*VLOOKUP('Données projet'!$B$14,Paramètres!$A$1:$I$89,5,0)</f>
        <v>200.77200000000002</v>
      </c>
      <c r="DQ50" s="14">
        <f t="shared" si="43"/>
        <v>49.913791898945412</v>
      </c>
      <c r="DR50" s="22">
        <f t="shared" si="16"/>
        <v>436.61108755732994</v>
      </c>
      <c r="DS50" s="62">
        <f t="shared" si="17"/>
        <v>729.9444208906632</v>
      </c>
      <c r="DT50" s="62">
        <f ca="1">AVERAGE(OFFSET($DS$3,0,0,'Données projet'!$E$14+1,1))-AVERAGE(OFFSET($H$3,0,0,'Données projet'!$E$14+1,1))</f>
        <v>487.04124684635974</v>
      </c>
      <c r="DU50" s="62">
        <f t="shared" si="44"/>
        <v>306.61893266146666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8.7442706735981819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8.7442706735981819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11</v>
      </c>
      <c r="EJ50" s="13">
        <f>IF('Données projet'!$A$192&gt;35,EJ49+EI50-ER49,IF(A50&lt;'Données projet'!$A$192,$EG$205^A50,IF(A50='Données projet'!$A$192,'Données projet'!$B$192,EJ49+EI50-ER49)))</f>
        <v>198.00000000000003</v>
      </c>
      <c r="EK50" s="18">
        <f>EJ50*VLOOKUP('Données projet'!$B$15,Paramètres!$A$1:$I$89,3,0)*VLOOKUP('Données projet'!$B$15,Paramètres!$A$1:$I$89,5,0)</f>
        <v>188.41680000000002</v>
      </c>
      <c r="EL50" s="14">
        <f t="shared" si="45"/>
        <v>47.189759534268674</v>
      </c>
      <c r="EM50" s="22">
        <f t="shared" si="19"/>
        <v>410.34809118885124</v>
      </c>
      <c r="EN50" s="62">
        <f t="shared" si="20"/>
        <v>703.68142452218456</v>
      </c>
      <c r="EO50" s="62">
        <f ca="1">AVERAGE(OFFSET($EN$3,0,0,'Données projet'!$E$15+1,1))-AVERAGE(OFFSET($H$3,0,0,'Données projet'!$E$15+1,1))</f>
        <v>459.64120566196812</v>
      </c>
      <c r="EP50" s="62">
        <f t="shared" si="46"/>
        <v>290.39826583283588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8.2061617090690628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8.2061617090690628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11</v>
      </c>
      <c r="FE50" s="13">
        <f>IF('Données projet'!$A$218&gt;35,FE49+FD50-FM49,IF(A50&lt;'Données projet'!$A$218,$FB$205^A50,IF(A50='Données projet'!$A$218,'Données projet'!$B$218,FE49+FD50-FM49)))</f>
        <v>198.00000000000003</v>
      </c>
      <c r="FF50" s="18">
        <f>FE50*VLOOKUP('Données projet'!$B$16,Paramètres!$A$1:$I$89,3,0)*VLOOKUP('Données projet'!$B$16,Paramètres!$A$1:$I$89,5,0)</f>
        <v>132.81840000000003</v>
      </c>
      <c r="FG50" s="14">
        <f t="shared" si="47"/>
        <v>34.646793645681022</v>
      </c>
      <c r="FH50" s="22">
        <f t="shared" si="22"/>
        <v>291.66854559956113</v>
      </c>
      <c r="FI50" s="62">
        <f t="shared" si="23"/>
        <v>585.00187893289444</v>
      </c>
      <c r="FJ50" s="62">
        <f ca="1">AVERAGE(OFFSET($FI$3,0,0,'Données projet'!$E$16+1,1))-AVERAGE(OFFSET($H$3,0,0,'Données projet'!$E$16+1,1))</f>
        <v>335.83558218229564</v>
      </c>
      <c r="FK50" s="62">
        <f t="shared" si="48"/>
        <v>217.08423061559648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0</v>
      </c>
      <c r="FR50" s="23">
        <f>EXP(-LN(2)/25)*FR49+(1-EXP(-LN(2)/25))/(LN(2)/25)*Calculateur!FM50*Calculateur!FO50*VLOOKUP('Données projet'!$B$16,Paramètres!$A$1:$I$89,3,0)*0.475*44/12</f>
        <v>5.2076191668921723</v>
      </c>
      <c r="FS50" s="23">
        <f>EXP(-LN(2)/2)*FS49+(1-EXP(-LN(2)/2))/(LN(2)/2)*FM50*FP50*VLOOKUP('Données projet'!$B$16,Paramètres!$A$1:$I$89,3,0)*0.475*44/12</f>
        <v>3.0532093113994369E-2</v>
      </c>
      <c r="FT50" s="24">
        <f t="shared" si="24"/>
        <v>5.238151260006167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8.8000000000000007</v>
      </c>
      <c r="N51" s="14">
        <f>IF('Données projet'!$A$36&gt;35,N50+M51-V50,IF(A51&lt;'Données projet'!$A$36,$K$205^A51,IF(A51='Données projet'!$A$36,'Données projet'!$B$36,N50+M51-V50)))</f>
        <v>213.40000000000012</v>
      </c>
      <c r="O51" s="14">
        <f>N51*VLOOKUP('Données projet'!$B$9,Paramètres!$A$1:$I$89,3,0)*VLOOKUP('Données projet'!$B$9,Paramètres!$A$1:$I$89,5,0)</f>
        <v>186.42624000000012</v>
      </c>
      <c r="P51" s="14">
        <f t="shared" si="33"/>
        <v>46.748974211060826</v>
      </c>
      <c r="Q51" s="22">
        <f t="shared" si="53"/>
        <v>406.11349808426445</v>
      </c>
      <c r="R51" s="62">
        <f t="shared" si="0"/>
        <v>699.44683141759776</v>
      </c>
      <c r="S51" s="62">
        <f ca="1">AVERAGE(OFFSET($R$3,0,0,'Données projet'!$E$9+1,1))-AVERAGE(OFFSET($H$3,0,0,'Données projet'!$E$9+1,1))</f>
        <v>321.23599968992932</v>
      </c>
      <c r="T51" s="62">
        <f t="shared" si="34"/>
        <v>388.05195847800502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15.53049550508692</v>
      </c>
      <c r="AB51" s="23">
        <f>EXP(-LN(2)/2)*AB50+(1-EXP(-LN(2)/2))/(LN(2)/2)*V51*Y51*VLOOKUP('Données projet'!$B$9,Paramètres!$A$1:$I$89,3,0)*0.475*44/12</f>
        <v>3.567677359893387E-2</v>
      </c>
      <c r="AC51" s="24">
        <f t="shared" si="3"/>
        <v>15.566172278685855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11</v>
      </c>
      <c r="AI51" s="14">
        <f>IF('Données projet'!$A$62&gt;35,AI50+AH51-AQ50,IF(A51&lt;'Données projet'!$A$62,$AF$205^A51,IF(A51='Données projet'!$A$62,'Données projet'!$B$62,AI50+AH51-AQ50)))</f>
        <v>209.00000000000003</v>
      </c>
      <c r="AJ51" s="14">
        <f>AI51*VLOOKUP('Données projet'!$B$10,Paramètres!$A$1:$I$89,3,0)*VLOOKUP('Données projet'!$B$10,Paramètres!$A$1:$I$89,5,0)</f>
        <v>189.10320000000002</v>
      </c>
      <c r="AK51" s="14">
        <f t="shared" si="35"/>
        <v>47.34162854278712</v>
      </c>
      <c r="AL51" s="22">
        <f t="shared" si="4"/>
        <v>411.80807637868764</v>
      </c>
      <c r="AM51" s="62">
        <f t="shared" si="5"/>
        <v>705.14140971202096</v>
      </c>
      <c r="AN51" s="62">
        <f ca="1">AVERAGE(OFFSET($AM$3,0,0,'Données projet'!$E$10+1,1))-AVERAGE(OFFSET($H$3,0,0,'Données projet'!$E$10+1,1))</f>
        <v>439.19854273764042</v>
      </c>
      <c r="AO51" s="62">
        <f t="shared" si="36"/>
        <v>278.21741231699929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5.5430671645503677</v>
      </c>
      <c r="AW51" s="23">
        <f>EXP(-LN(2)/2)*AW50+(1-EXP(-LN(2)/2))/(LN(2)/2)*AQ51*AT51*VLOOKUP('Données projet'!$B$10,Paramètres!$A$1:$I$89,3,0)*0.475*44/12</f>
        <v>2.9120653602651671E-2</v>
      </c>
      <c r="AX51" s="23">
        <f t="shared" si="6"/>
        <v>5.5721878181530196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8.4</v>
      </c>
      <c r="BD51" s="13">
        <f>IF('Données projet'!$A$88&gt;35,BD50+BC51-BL50,IF(A51&lt;'Données projet'!$A$88,$BA$205^A51,IF(A51='Données projet'!$A$88,'Données projet'!$B$88,BD50+BC51-BL50)))</f>
        <v>243.20000000000002</v>
      </c>
      <c r="BE51" s="14">
        <f>BD51*VLOOKUP('Données projet'!$B$11,Paramètres!$A$1:$I$89,3,0)*VLOOKUP('Données projet'!$B$11,Paramètres!$A$1:$I$89,5,0)</f>
        <v>193.48992000000001</v>
      </c>
      <c r="BF51" s="14">
        <f t="shared" si="37"/>
        <v>48.310705372586774</v>
      </c>
      <c r="BG51" s="22">
        <f t="shared" si="7"/>
        <v>421.13608919058862</v>
      </c>
      <c r="BH51" s="62">
        <f t="shared" si="8"/>
        <v>714.46942252392193</v>
      </c>
      <c r="BI51" s="62">
        <f ca="1">AVERAGE(OFFSET($BH$3,0,0,'Données projet'!$E$11+1,1))-AVERAGE(OFFSET($H$3,0,0,'Données projet'!$E$11+1,1))</f>
        <v>352.88510024787888</v>
      </c>
      <c r="BJ51" s="62">
        <f t="shared" si="38"/>
        <v>343.77208530767069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7.461644926780127</v>
      </c>
      <c r="BR51" s="23">
        <f>EXP(-LN(2)/2)*BR50+(1-EXP(-LN(2)/2))/(LN(2)/2)*BL51*BO51*VLOOKUP('Données projet'!$B$11,Paramètres!$A$1:$I$89,3,0)*0.475*44/12</f>
        <v>7.7103244707513218E-4</v>
      </c>
      <c r="BS51" s="24">
        <f t="shared" si="9"/>
        <v>7.4624159592272026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8.4</v>
      </c>
      <c r="BY51" s="13">
        <f>IF('Données projet'!$A$114&gt;35,BY50+BX51-CG50,IF(A51&lt;'Données projet'!$A$114,$BV$205^A51,IF(A51='Données projet'!$A$114,'Données projet'!$B$114,BY50+BX51-CG50)))</f>
        <v>243.20000000000002</v>
      </c>
      <c r="BZ51" s="14">
        <f>BY51*VLOOKUP('Données projet'!$B$12,Paramètres!$A$1:$I$89,3,0)*VLOOKUP('Données projet'!$B$12,Paramètres!$A$1:$I$89,5,0)</f>
        <v>178.31424000000001</v>
      </c>
      <c r="CA51" s="14">
        <f t="shared" si="39"/>
        <v>44.946930482894025</v>
      </c>
      <c r="CB51" s="22">
        <f t="shared" si="10"/>
        <v>388.84653859104043</v>
      </c>
      <c r="CC51" s="62">
        <f t="shared" si="11"/>
        <v>682.17987192437374</v>
      </c>
      <c r="CD51" s="62">
        <f ca="1">AVERAGE(OFFSET($CC$3,0,0,'Données projet'!$E$12+1,1))-AVERAGE(OFFSET($H$3,0,0,'Données projet'!$E$12+1,1))</f>
        <v>328.10411227536315</v>
      </c>
      <c r="CE51" s="62">
        <f t="shared" si="40"/>
        <v>320.24200483294322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6.3563628327888511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6.3563628327888511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10.375</v>
      </c>
      <c r="CT51" s="13">
        <f>IF('Données projet'!$A$140&gt;35,CT50+CS51-DB50,IF(A51&lt;'Données projet'!$A$140,$CQ$205^A51,IF(A51='Données projet'!$A$140,'Données projet'!$B$140,CT50+CS51-DB50)))</f>
        <v>228.49999999999991</v>
      </c>
      <c r="CU51" s="18">
        <f>CT51*VLOOKUP('Données projet'!$B$13,Paramètres!$A$1:$I$89,3,0)*VLOOKUP('Données projet'!$B$13,Paramètres!$A$1:$I$89,5,0)</f>
        <v>178.22999999999993</v>
      </c>
      <c r="CV51" s="14">
        <f t="shared" si="41"/>
        <v>44.928167580487852</v>
      </c>
      <c r="CW51" s="22">
        <f t="shared" si="13"/>
        <v>388.66714186934951</v>
      </c>
      <c r="CX51" s="62">
        <f t="shared" si="14"/>
        <v>682.00047520268276</v>
      </c>
      <c r="CY51" s="62">
        <f ca="1">AVERAGE(OFFSET($CX$3,0,0,'Données projet'!$E$13+1,1))-AVERAGE(OFFSET($H$3,0,0,'Données projet'!$E$13+1,1))</f>
        <v>288.82868507674738</v>
      </c>
      <c r="CZ51" s="62">
        <f t="shared" si="42"/>
        <v>283.48738729114024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7.1472456833555098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7.1472456833555098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11</v>
      </c>
      <c r="DO51" s="13">
        <f>IF('Données projet'!$A$166&gt;35,DO50+DN51-DW50,IF(A51&lt;'Données projet'!$A$166,$DL$205^A51,IF(A51='Données projet'!$A$166,'Données projet'!$B$166,DO50+DN51-DW50)))</f>
        <v>209.00000000000003</v>
      </c>
      <c r="DP51" s="18">
        <f>DO51*VLOOKUP('Données projet'!$B$14,Paramètres!$A$1:$I$89,3,0)*VLOOKUP('Données projet'!$B$14,Paramètres!$A$1:$I$89,5,0)</f>
        <v>211.92600000000004</v>
      </c>
      <c r="DQ51" s="14">
        <f t="shared" si="43"/>
        <v>52.356241262970165</v>
      </c>
      <c r="DR51" s="22">
        <f t="shared" si="16"/>
        <v>460.29157019967312</v>
      </c>
      <c r="DS51" s="62">
        <f t="shared" si="17"/>
        <v>753.62490353300643</v>
      </c>
      <c r="DT51" s="62">
        <f ca="1">AVERAGE(OFFSET($DS$3,0,0,'Données projet'!$E$14+1,1))-AVERAGE(OFFSET($H$3,0,0,'Données projet'!$E$14+1,1))</f>
        <v>487.04124684635974</v>
      </c>
      <c r="DU51" s="62">
        <f t="shared" si="44"/>
        <v>306.61893266146666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8.5728008591673959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8.5728008591673959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11</v>
      </c>
      <c r="EJ51" s="13">
        <f>IF('Données projet'!$A$192&gt;35,EJ50+EI51-ER50,IF(A51&lt;'Données projet'!$A$192,$EG$205^A51,IF(A51='Données projet'!$A$192,'Données projet'!$B$192,EJ50+EI51-ER50)))</f>
        <v>209.00000000000003</v>
      </c>
      <c r="EK51" s="18">
        <f>EJ51*VLOOKUP('Données projet'!$B$15,Paramètres!$A$1:$I$89,3,0)*VLOOKUP('Données projet'!$B$15,Paramètres!$A$1:$I$89,5,0)</f>
        <v>198.88440000000003</v>
      </c>
      <c r="EL51" s="14">
        <f t="shared" si="45"/>
        <v>49.498912851979021</v>
      </c>
      <c r="EM51" s="22">
        <f t="shared" si="19"/>
        <v>432.60093655053015</v>
      </c>
      <c r="EN51" s="62">
        <f t="shared" si="20"/>
        <v>725.93426988386341</v>
      </c>
      <c r="EO51" s="62">
        <f ca="1">AVERAGE(OFFSET($EN$3,0,0,'Données projet'!$E$15+1,1))-AVERAGE(OFFSET($H$3,0,0,'Données projet'!$E$15+1,1))</f>
        <v>459.64120566196812</v>
      </c>
      <c r="EP51" s="62">
        <f t="shared" si="46"/>
        <v>290.39826583283588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8.0452438832186317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8.0452438832186317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11</v>
      </c>
      <c r="FE51" s="13">
        <f>IF('Données projet'!$A$218&gt;35,FE50+FD51-FM50,IF(A51&lt;'Données projet'!$A$218,$FB$205^A51,IF(A51='Données projet'!$A$218,'Données projet'!$B$218,FE50+FD51-FM50)))</f>
        <v>209.00000000000003</v>
      </c>
      <c r="FF51" s="18">
        <f>FE51*VLOOKUP('Données projet'!$B$16,Paramètres!$A$1:$I$89,3,0)*VLOOKUP('Données projet'!$B$16,Paramètres!$A$1:$I$89,5,0)</f>
        <v>140.19720000000001</v>
      </c>
      <c r="FG51" s="14">
        <f t="shared" si="47"/>
        <v>36.342177544317998</v>
      </c>
      <c r="FH51" s="22">
        <f t="shared" si="22"/>
        <v>307.47274922302051</v>
      </c>
      <c r="FI51" s="62">
        <f t="shared" si="23"/>
        <v>600.80608255635389</v>
      </c>
      <c r="FJ51" s="62">
        <f ca="1">AVERAGE(OFFSET($FI$3,0,0,'Données projet'!$E$16+1,1))-AVERAGE(OFFSET($H$3,0,0,'Données projet'!$E$16+1,1))</f>
        <v>335.83558218229564</v>
      </c>
      <c r="FK51" s="62">
        <f t="shared" si="48"/>
        <v>217.08423061559648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0</v>
      </c>
      <c r="FR51" s="23">
        <f>EXP(-LN(2)/25)*FR50+(1-EXP(-LN(2)/25))/(LN(2)/25)*Calculateur!FM51*Calculateur!FO51*VLOOKUP('Données projet'!$B$16,Paramètres!$A$1:$I$89,3,0)*0.475*44/12</f>
        <v>5.0652165469167159</v>
      </c>
      <c r="FS51" s="23">
        <f>EXP(-LN(2)/2)*FS50+(1-EXP(-LN(2)/2))/(LN(2)/2)*FM51*FP51*VLOOKUP('Données projet'!$B$16,Paramètres!$A$1:$I$89,3,0)*0.475*44/12</f>
        <v>2.1589450084724512E-2</v>
      </c>
      <c r="FT51" s="24">
        <f t="shared" si="24"/>
        <v>5.0868059970014405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8.8000000000000007</v>
      </c>
      <c r="N52" s="14">
        <f>IF('Données projet'!$A$36&gt;35,N51+M52-V51,IF(A52&lt;'Données projet'!$A$36,$K$205^A52,IF(A52='Données projet'!$A$36,'Données projet'!$B$36,N51+M52-V51)))</f>
        <v>222.20000000000013</v>
      </c>
      <c r="O52" s="14">
        <f>N52*VLOOKUP('Données projet'!$B$9,Paramètres!$A$1:$I$89,3,0)*VLOOKUP('Données projet'!$B$9,Paramètres!$A$1:$I$89,5,0)</f>
        <v>194.11392000000015</v>
      </c>
      <c r="P52" s="14">
        <f t="shared" si="33"/>
        <v>48.448345132424009</v>
      </c>
      <c r="Q52" s="22">
        <f t="shared" si="53"/>
        <v>422.46261177230537</v>
      </c>
      <c r="R52" s="62">
        <f t="shared" si="0"/>
        <v>715.79594510563868</v>
      </c>
      <c r="S52" s="62">
        <f ca="1">AVERAGE(OFFSET($R$3,0,0,'Données projet'!$E$9+1,1))-AVERAGE(OFFSET($H$3,0,0,'Données projet'!$E$9+1,1))</f>
        <v>321.23599968992932</v>
      </c>
      <c r="T52" s="62">
        <f t="shared" si="34"/>
        <v>388.05195847800502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15.105813288787054</v>
      </c>
      <c r="AB52" s="23">
        <f>EXP(-LN(2)/2)*AB51+(1-EXP(-LN(2)/2))/(LN(2)/2)*V52*Y52*VLOOKUP('Données projet'!$B$9,Paramètres!$A$1:$I$89,3,0)*0.475*44/12</f>
        <v>2.5227288542663328E-2</v>
      </c>
      <c r="AC52" s="24">
        <f t="shared" si="3"/>
        <v>15.131040577329717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11</v>
      </c>
      <c r="AI52" s="14">
        <f>IF('Données projet'!$A$62&gt;35,AI51+AH52-AQ51,IF(A52&lt;'Données projet'!$A$62,$AF$205^A52,IF(A52='Données projet'!$A$62,'Données projet'!$B$62,AI51+AH52-AQ51)))</f>
        <v>220.00000000000003</v>
      </c>
      <c r="AJ52" s="14">
        <f>AI52*VLOOKUP('Données projet'!$B$10,Paramètres!$A$1:$I$89,3,0)*VLOOKUP('Données projet'!$B$10,Paramètres!$A$1:$I$89,5,0)</f>
        <v>199.05600000000001</v>
      </c>
      <c r="AK52" s="14">
        <f t="shared" si="35"/>
        <v>49.536648006253934</v>
      </c>
      <c r="AL52" s="22">
        <f t="shared" si="4"/>
        <v>432.96552861089231</v>
      </c>
      <c r="AM52" s="62">
        <f t="shared" si="5"/>
        <v>726.29886194422556</v>
      </c>
      <c r="AN52" s="62">
        <f ca="1">AVERAGE(OFFSET($AM$3,0,0,'Données projet'!$E$10+1,1))-AVERAGE(OFFSET($H$3,0,0,'Données projet'!$E$10+1,1))</f>
        <v>439.19854273764042</v>
      </c>
      <c r="AO52" s="62">
        <f t="shared" si="36"/>
        <v>278.21741231699929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5.3914917014385049</v>
      </c>
      <c r="AW52" s="23">
        <f>EXP(-LN(2)/2)*AW51+(1-EXP(-LN(2)/2))/(LN(2)/2)*AQ52*AT52*VLOOKUP('Données projet'!$B$10,Paramètres!$A$1:$I$89,3,0)*0.475*44/12</f>
        <v>2.0591411635019465E-2</v>
      </c>
      <c r="AX52" s="23">
        <f t="shared" si="6"/>
        <v>5.4120831130735247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8.4</v>
      </c>
      <c r="BD52" s="13">
        <f>IF('Données projet'!$A$88&gt;35,BD51+BC52-BL51,IF(A52&lt;'Données projet'!$A$88,$BA$205^A52,IF(A52='Données projet'!$A$88,'Données projet'!$B$88,BD51+BC52-BL51)))</f>
        <v>251.60000000000002</v>
      </c>
      <c r="BE52" s="14">
        <f>BD52*VLOOKUP('Données projet'!$B$11,Paramètres!$A$1:$I$89,3,0)*VLOOKUP('Données projet'!$B$11,Paramètres!$A$1:$I$89,5,0)</f>
        <v>200.17296000000002</v>
      </c>
      <c r="BF52" s="14">
        <f t="shared" si="37"/>
        <v>49.782177185856028</v>
      </c>
      <c r="BG52" s="22">
        <f t="shared" si="7"/>
        <v>435.33853059869926</v>
      </c>
      <c r="BH52" s="62">
        <f t="shared" si="8"/>
        <v>728.67186393203258</v>
      </c>
      <c r="BI52" s="62">
        <f ca="1">AVERAGE(OFFSET($BH$3,0,0,'Données projet'!$E$11+1,1))-AVERAGE(OFFSET($H$3,0,0,'Données projet'!$E$11+1,1))</f>
        <v>352.88510024787888</v>
      </c>
      <c r="BJ52" s="62">
        <f t="shared" si="38"/>
        <v>343.77208530767069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7.2576058538664716</v>
      </c>
      <c r="BR52" s="23">
        <f>EXP(-LN(2)/2)*BR51+(1-EXP(-LN(2)/2))/(LN(2)/2)*BL52*BO52*VLOOKUP('Données projet'!$B$11,Paramètres!$A$1:$I$89,3,0)*0.475*44/12</f>
        <v>5.4520227184168377E-4</v>
      </c>
      <c r="BS52" s="24">
        <f t="shared" si="9"/>
        <v>7.2581510561383134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8.4</v>
      </c>
      <c r="BY52" s="13">
        <f>IF('Données projet'!$A$114&gt;35,BY51+BX52-CG51,IF(A52&lt;'Données projet'!$A$114,$BV$205^A52,IF(A52='Données projet'!$A$114,'Données projet'!$B$114,BY51+BX52-CG51)))</f>
        <v>251.60000000000002</v>
      </c>
      <c r="BZ52" s="14">
        <f>BY52*VLOOKUP('Données projet'!$B$12,Paramètres!$A$1:$I$89,3,0)*VLOOKUP('Données projet'!$B$12,Paramètres!$A$1:$I$89,5,0)</f>
        <v>184.47312000000002</v>
      </c>
      <c r="CA52" s="14">
        <f t="shared" si="39"/>
        <v>46.315946745200151</v>
      </c>
      <c r="CB52" s="22">
        <f t="shared" si="10"/>
        <v>401.95762458122357</v>
      </c>
      <c r="CC52" s="62">
        <f t="shared" si="11"/>
        <v>695.29095791455688</v>
      </c>
      <c r="CD52" s="62">
        <f ca="1">AVERAGE(OFFSET($CC$3,0,0,'Données projet'!$E$12+1,1))-AVERAGE(OFFSET($H$3,0,0,'Données projet'!$E$12+1,1))</f>
        <v>328.10411227536315</v>
      </c>
      <c r="CE52" s="62">
        <f t="shared" si="40"/>
        <v>320.24200483294322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6.2317184346363677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6.2317184346363677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10.375</v>
      </c>
      <c r="CT52" s="13">
        <f>IF('Données projet'!$A$140&gt;35,CT51+CS52-DB51,IF(A52&lt;'Données projet'!$A$140,$CQ$205^A52,IF(A52='Données projet'!$A$140,'Données projet'!$B$140,CT51+CS52-DB51)))</f>
        <v>238.87499999999991</v>
      </c>
      <c r="CU52" s="18">
        <f>CT52*VLOOKUP('Données projet'!$B$13,Paramètres!$A$1:$I$89,3,0)*VLOOKUP('Données projet'!$B$13,Paramètres!$A$1:$I$89,5,0)</f>
        <v>186.32249999999993</v>
      </c>
      <c r="CV52" s="14">
        <f t="shared" si="41"/>
        <v>46.725987276254116</v>
      </c>
      <c r="CW52" s="22">
        <f t="shared" si="13"/>
        <v>405.8927820061424</v>
      </c>
      <c r="CX52" s="62">
        <f t="shared" si="14"/>
        <v>699.22611533947565</v>
      </c>
      <c r="CY52" s="62">
        <f ca="1">AVERAGE(OFFSET($CX$3,0,0,'Données projet'!$E$13+1,1))-AVERAGE(OFFSET($H$3,0,0,'Données projet'!$E$13+1,1))</f>
        <v>288.82868507674738</v>
      </c>
      <c r="CZ52" s="62">
        <f t="shared" si="42"/>
        <v>283.48738729114024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7.0070925548943208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7.0070925548943208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11</v>
      </c>
      <c r="DO52" s="13">
        <f>IF('Données projet'!$A$166&gt;35,DO51+DN52-DW51,IF(A52&lt;'Données projet'!$A$166,$DL$205^A52,IF(A52='Données projet'!$A$166,'Données projet'!$B$166,DO51+DN52-DW51)))</f>
        <v>220.00000000000003</v>
      </c>
      <c r="DP52" s="18">
        <f>DO52*VLOOKUP('Données projet'!$B$14,Paramètres!$A$1:$I$89,3,0)*VLOOKUP('Données projet'!$B$14,Paramètres!$A$1:$I$89,5,0)</f>
        <v>223.08000000000004</v>
      </c>
      <c r="DQ52" s="14">
        <f t="shared" si="43"/>
        <v>54.783765878062667</v>
      </c>
      <c r="DR52" s="22">
        <f t="shared" si="16"/>
        <v>483.94605890429256</v>
      </c>
      <c r="DS52" s="62">
        <f t="shared" si="17"/>
        <v>777.27939223762587</v>
      </c>
      <c r="DT52" s="62">
        <f ca="1">AVERAGE(OFFSET($DS$3,0,0,'Données projet'!$E$14+1,1))-AVERAGE(OFFSET($H$3,0,0,'Données projet'!$E$14+1,1))</f>
        <v>487.04124684635974</v>
      </c>
      <c r="DU52" s="62">
        <f t="shared" si="44"/>
        <v>306.61893266146666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8.4046934632113377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8.4046934632113377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11</v>
      </c>
      <c r="EJ52" s="13">
        <f>IF('Données projet'!$A$192&gt;35,EJ51+EI52-ER51,IF(A52&lt;'Données projet'!$A$192,$EG$205^A52,IF(A52='Données projet'!$A$192,'Données projet'!$B$192,EJ51+EI52-ER51)))</f>
        <v>220.00000000000003</v>
      </c>
      <c r="EK52" s="18">
        <f>EJ52*VLOOKUP('Données projet'!$B$15,Paramètres!$A$1:$I$89,3,0)*VLOOKUP('Données projet'!$B$15,Paramètres!$A$1:$I$89,5,0)</f>
        <v>209.35200000000003</v>
      </c>
      <c r="EL52" s="14">
        <f t="shared" si="45"/>
        <v>51.79395593509436</v>
      </c>
      <c r="EM52" s="22">
        <f t="shared" si="19"/>
        <v>454.82920658695599</v>
      </c>
      <c r="EN52" s="62">
        <f t="shared" si="20"/>
        <v>748.1625399202893</v>
      </c>
      <c r="EO52" s="62">
        <f ca="1">AVERAGE(OFFSET($EN$3,0,0,'Données projet'!$E$15+1,1))-AVERAGE(OFFSET($H$3,0,0,'Données projet'!$E$15+1,1))</f>
        <v>459.64120566196812</v>
      </c>
      <c r="EP52" s="62">
        <f t="shared" si="46"/>
        <v>290.39826583283588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7.8874815577829462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7.8874815577829462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11</v>
      </c>
      <c r="FE52" s="13">
        <f>IF('Données projet'!$A$218&gt;35,FE51+FD52-FM51,IF(A52&lt;'Données projet'!$A$218,$FB$205^A52,IF(A52='Données projet'!$A$218,'Données projet'!$B$218,FE51+FD52-FM51)))</f>
        <v>220.00000000000003</v>
      </c>
      <c r="FF52" s="18">
        <f>FE52*VLOOKUP('Données projet'!$B$16,Paramètres!$A$1:$I$89,3,0)*VLOOKUP('Données projet'!$B$16,Paramètres!$A$1:$I$89,5,0)</f>
        <v>147.57600000000002</v>
      </c>
      <c r="FG52" s="14">
        <f t="shared" si="47"/>
        <v>38.027201687128077</v>
      </c>
      <c r="FH52" s="22">
        <f t="shared" si="22"/>
        <v>323.25890960508139</v>
      </c>
      <c r="FI52" s="62">
        <f t="shared" si="23"/>
        <v>616.59224293841476</v>
      </c>
      <c r="FJ52" s="62">
        <f ca="1">AVERAGE(OFFSET($FI$3,0,0,'Données projet'!$E$16+1,1))-AVERAGE(OFFSET($H$3,0,0,'Données projet'!$E$16+1,1))</f>
        <v>335.83558218229564</v>
      </c>
      <c r="FK52" s="62">
        <f t="shared" si="48"/>
        <v>217.08423061559648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0</v>
      </c>
      <c r="FR52" s="23">
        <f>EXP(-LN(2)/25)*FR51+(1-EXP(-LN(2)/25))/(LN(2)/25)*Calculateur!FM52*Calculateur!FO52*VLOOKUP('Données projet'!$B$16,Paramètres!$A$1:$I$89,3,0)*0.475*44/12</f>
        <v>4.926707934073117</v>
      </c>
      <c r="FS52" s="23">
        <f>EXP(-LN(2)/2)*FS51+(1-EXP(-LN(2)/2))/(LN(2)/2)*FM52*FP52*VLOOKUP('Données projet'!$B$16,Paramètres!$A$1:$I$89,3,0)*0.475*44/12</f>
        <v>1.5266046556997186E-2</v>
      </c>
      <c r="FT52" s="24">
        <f t="shared" si="24"/>
        <v>4.9419739806301139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231</v>
      </c>
      <c r="L53" s="13">
        <f>VLOOKUP(A53,'Données projet'!$A$35:$I$55,9,0)</f>
        <v>8.8000000000000007</v>
      </c>
      <c r="M53" s="13">
        <f t="array" ref="M53">INDEX(L:L,MIN(IF(ISNUMBER(L53:L249),ROW(L53:L249),"")))</f>
        <v>8.8000000000000007</v>
      </c>
      <c r="N53" s="14">
        <f>IF('Données projet'!$A$36&gt;35,N52+M53-V52,IF(A53&lt;'Données projet'!$A$36,$K$205^A53,IF(A53='Données projet'!$A$36,'Données projet'!$B$36,N52+M53-V52)))</f>
        <v>231.00000000000014</v>
      </c>
      <c r="O53" s="14">
        <f>N53*VLOOKUP('Données projet'!$B$9,Paramètres!$A$1:$I$89,3,0)*VLOOKUP('Données projet'!$B$9,Paramètres!$A$1:$I$89,5,0)</f>
        <v>201.80160000000015</v>
      </c>
      <c r="P53" s="14">
        <f t="shared" si="33"/>
        <v>50.139897992681711</v>
      </c>
      <c r="Q53" s="22">
        <f t="shared" si="53"/>
        <v>438.7981090039209</v>
      </c>
      <c r="R53" s="62">
        <f t="shared" si="0"/>
        <v>732.13144233725416</v>
      </c>
      <c r="S53" s="62">
        <f ca="1">AVERAGE(OFFSET($R$3,0,0,'Données projet'!$E$9+1,1))-AVERAGE(OFFSET($H$3,0,0,'Données projet'!$E$9+1,1))</f>
        <v>321.23599968992932</v>
      </c>
      <c r="T53" s="62">
        <f t="shared" si="34"/>
        <v>388.05195847800502</v>
      </c>
      <c r="U53" s="16">
        <f>IF(ISNA(VLOOKUP(A53,'Données projet'!$A$35:$I$55,3,0)),0,VLOOKUP(A53,'Données projet'!$A$35:$I$55,3,0))</f>
        <v>8</v>
      </c>
      <c r="V53" s="16">
        <f>IF(ISNA(VLOOKUP(A53,'Données projet'!$A$35:$I$55,4,0)),0,VLOOKUP(A53,'Données projet'!$A$35:$I$55,4,0))</f>
        <v>33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14.692744030024976</v>
      </c>
      <c r="AB53" s="23">
        <f>EXP(-LN(2)/2)*AB52+(1-EXP(-LN(2)/2))/(LN(2)/2)*V53*Y53*VLOOKUP('Données projet'!$B$9,Paramètres!$A$1:$I$89,3,0)*0.475*44/12</f>
        <v>1.7838386799466935E-2</v>
      </c>
      <c r="AC53" s="24">
        <f t="shared" si="3"/>
        <v>14.710582416824442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231</v>
      </c>
      <c r="AG53" s="13">
        <f>VLOOKUP(A53,'Données projet'!$A$61:$I$81,9,0)</f>
        <v>11</v>
      </c>
      <c r="AH53" s="13">
        <f t="array" ref="AH53">INDEX(AG:AG,MIN(IF(ISNUMBER(AG53:AG249),ROW(AG53:AG249),"")))</f>
        <v>11</v>
      </c>
      <c r="AI53" s="14">
        <f>IF('Données projet'!$A$62&gt;35,AI52+AH53-AQ52,IF(A53&lt;'Données projet'!$A$62,$AF$205^A53,IF(A53='Données projet'!$A$62,'Données projet'!$B$62,AI52+AH53-AQ52)))</f>
        <v>231.00000000000003</v>
      </c>
      <c r="AJ53" s="14">
        <f>AI53*VLOOKUP('Données projet'!$B$10,Paramètres!$A$1:$I$89,3,0)*VLOOKUP('Données projet'!$B$10,Paramètres!$A$1:$I$89,5,0)</f>
        <v>209.00880000000004</v>
      </c>
      <c r="AK53" s="14">
        <f t="shared" si="35"/>
        <v>51.718923953824252</v>
      </c>
      <c r="AL53" s="22">
        <f t="shared" si="4"/>
        <v>454.10078588624395</v>
      </c>
      <c r="AM53" s="62">
        <f t="shared" si="5"/>
        <v>747.43411921957727</v>
      </c>
      <c r="AN53" s="62">
        <f ca="1">AVERAGE(OFFSET($AM$3,0,0,'Données projet'!$E$10+1,1))-AVERAGE(OFFSET($H$3,0,0,'Données projet'!$E$10+1,1))</f>
        <v>439.19854273764042</v>
      </c>
      <c r="AO53" s="62">
        <f t="shared" si="36"/>
        <v>278.21741231699929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28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5.2440610773364424</v>
      </c>
      <c r="AW53" s="23">
        <f>EXP(-LN(2)/2)*AW52+(1-EXP(-LN(2)/2))/(LN(2)/2)*AQ53*AT53*VLOOKUP('Données projet'!$B$10,Paramètres!$A$1:$I$89,3,0)*0.475*44/12</f>
        <v>1.4560326801325837E-2</v>
      </c>
      <c r="AX53" s="23">
        <f t="shared" si="6"/>
        <v>5.2586214041377684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260</v>
      </c>
      <c r="BB53" s="13">
        <f>VLOOKUP(A53,'Données projet'!$A$87:$I$107,9,0)</f>
        <v>8.4</v>
      </c>
      <c r="BC53" s="13">
        <f t="array" ref="BC53">INDEX(BB:BB,MIN(IF(ISNUMBER(BB53:BB249),ROW(BB53:BB249),"")))</f>
        <v>8.4</v>
      </c>
      <c r="BD53" s="13">
        <f>IF('Données projet'!$A$88&gt;35,BD52+BC53-BL52,IF(A53&lt;'Données projet'!$A$88,$BA$205^A53,IF(A53='Données projet'!$A$88,'Données projet'!$B$88,BD52+BC53-BL52)))</f>
        <v>260</v>
      </c>
      <c r="BE53" s="14">
        <f>BD53*VLOOKUP('Données projet'!$B$11,Paramètres!$A$1:$I$89,3,0)*VLOOKUP('Données projet'!$B$11,Paramètres!$A$1:$I$89,5,0)</f>
        <v>206.85599999999999</v>
      </c>
      <c r="BF53" s="14">
        <f t="shared" si="37"/>
        <v>51.247940588293027</v>
      </c>
      <c r="BG53" s="22">
        <f t="shared" si="7"/>
        <v>449.53102985794368</v>
      </c>
      <c r="BH53" s="62">
        <f t="shared" si="8"/>
        <v>742.86436319127699</v>
      </c>
      <c r="BI53" s="62">
        <f ca="1">AVERAGE(OFFSET($BH$3,0,0,'Données projet'!$E$11+1,1))-AVERAGE(OFFSET($H$3,0,0,'Données projet'!$E$11+1,1))</f>
        <v>352.88510024787888</v>
      </c>
      <c r="BJ53" s="62">
        <f t="shared" si="38"/>
        <v>343.77208530767069</v>
      </c>
      <c r="BK53" s="16">
        <f>IF(ISNA(VLOOKUP(A53,'Données projet'!$A$87:$I$107,3,0)),0,VLOOKUP(A53,'Données projet'!$A$87:$I$107,3,0))</f>
        <v>9</v>
      </c>
      <c r="BL53" s="16">
        <f>IF(ISNA(VLOOKUP(A53,'Données projet'!$A$87:$I$107,4,0)),0,VLOOKUP(A53,'Données projet'!$A$87:$I$107,4,0))</f>
        <v>19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7.0591462401315885</v>
      </c>
      <c r="BR53" s="23">
        <f>EXP(-LN(2)/2)*BR52+(1-EXP(-LN(2)/2))/(LN(2)/2)*BL53*BO53*VLOOKUP('Données projet'!$B$11,Paramètres!$A$1:$I$89,3,0)*0.475*44/12</f>
        <v>3.8551622353756609E-4</v>
      </c>
      <c r="BS53" s="24">
        <f t="shared" si="9"/>
        <v>7.0595317563551259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260</v>
      </c>
      <c r="BW53" s="13">
        <f>VLOOKUP(A53,'Données projet'!$A$113:$I$133,9,0)</f>
        <v>8.4</v>
      </c>
      <c r="BX53" s="13">
        <f t="array" ref="BX53">INDEX(BW:BW,MIN(IF(ISNUMBER(BW53:BW249),ROW(BW53:BW249),"")))</f>
        <v>8.4</v>
      </c>
      <c r="BY53" s="13">
        <f>IF('Données projet'!$A$114&gt;35,BY52+BX53-CG52,IF(A53&lt;'Données projet'!$A$114,$BV$205^A53,IF(A53='Données projet'!$A$114,'Données projet'!$B$114,BY52+BX53-CG52)))</f>
        <v>260</v>
      </c>
      <c r="BZ53" s="14">
        <f>BY53*VLOOKUP('Données projet'!$B$12,Paramètres!$A$1:$I$89,3,0)*VLOOKUP('Données projet'!$B$12,Paramètres!$A$1:$I$89,5,0)</f>
        <v>190.63199999999998</v>
      </c>
      <c r="CA53" s="14">
        <f t="shared" si="39"/>
        <v>47.679652061560311</v>
      </c>
      <c r="CB53" s="22">
        <f t="shared" si="10"/>
        <v>415.05946067388413</v>
      </c>
      <c r="CC53" s="62">
        <f t="shared" si="11"/>
        <v>708.39279400721739</v>
      </c>
      <c r="CD53" s="62">
        <f ca="1">AVERAGE(OFFSET($CC$3,0,0,'Données projet'!$E$12+1,1))-AVERAGE(OFFSET($H$3,0,0,'Données projet'!$E$12+1,1))</f>
        <v>328.10411227536315</v>
      </c>
      <c r="CE53" s="62">
        <f t="shared" si="40"/>
        <v>320.24200483294322</v>
      </c>
      <c r="CF53" s="16">
        <f>IF(ISNA(VLOOKUP(A53,'Données projet'!$A$113:$I$133,3,0)),0,VLOOKUP(A53,'Données projet'!$A$113:$I$133,3,0))</f>
        <v>9</v>
      </c>
      <c r="CG53" s="16">
        <f>IF(ISNA(VLOOKUP(A53,'Données projet'!$A$113:$I$133,4,0)),0,VLOOKUP(A53,'Données projet'!$A$113:$I$133,4,0))</f>
        <v>19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6.1095182371060783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6.1095182371060783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10.375</v>
      </c>
      <c r="CT53" s="13">
        <f>IF('Données projet'!$A$140&gt;35,CT52+CS53-DB52,IF(A53&lt;'Données projet'!$A$140,$CQ$205^A53,IF(A53='Données projet'!$A$140,'Données projet'!$B$140,CT52+CS53-DB52)))</f>
        <v>249.24999999999991</v>
      </c>
      <c r="CU53" s="18">
        <f>CT53*VLOOKUP('Données projet'!$B$13,Paramètres!$A$1:$I$89,3,0)*VLOOKUP('Données projet'!$B$13,Paramètres!$A$1:$I$89,5,0)</f>
        <v>194.41499999999994</v>
      </c>
      <c r="CV53" s="14">
        <f t="shared" si="41"/>
        <v>48.514737888684927</v>
      </c>
      <c r="CW53" s="22">
        <f t="shared" si="13"/>
        <v>423.10262682279273</v>
      </c>
      <c r="CX53" s="62">
        <f t="shared" si="14"/>
        <v>716.43596015612604</v>
      </c>
      <c r="CY53" s="62">
        <f ca="1">AVERAGE(OFFSET($CX$3,0,0,'Données projet'!$E$13+1,1))-AVERAGE(OFFSET($H$3,0,0,'Données projet'!$E$13+1,1))</f>
        <v>288.82868507674738</v>
      </c>
      <c r="CZ53" s="62">
        <f t="shared" si="42"/>
        <v>283.48738729114024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6.8696877437972885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6.8696877437972885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231</v>
      </c>
      <c r="DM53" s="13">
        <f>VLOOKUP(A53,'Données projet'!$A$165:$I$185,9,0)</f>
        <v>11</v>
      </c>
      <c r="DN53" s="13">
        <f t="array" ref="DN53">INDEX(DM:DM,MIN(IF(ISNUMBER(DM53:DM249),ROW(DM53:DM249),"")))</f>
        <v>11</v>
      </c>
      <c r="DO53" s="13">
        <f>IF('Données projet'!$A$166&gt;35,DO52+DN53-DW52,IF(A53&lt;'Données projet'!$A$166,$DL$205^A53,IF(A53='Données projet'!$A$166,'Données projet'!$B$166,DO52+DN53-DW52)))</f>
        <v>231.00000000000003</v>
      </c>
      <c r="DP53" s="18">
        <f>DO53*VLOOKUP('Données projet'!$B$14,Paramètres!$A$1:$I$89,3,0)*VLOOKUP('Données projet'!$B$14,Paramètres!$A$1:$I$89,5,0)</f>
        <v>234.23400000000007</v>
      </c>
      <c r="DQ53" s="14">
        <f t="shared" si="43"/>
        <v>57.197197133603488</v>
      </c>
      <c r="DR53" s="22">
        <f t="shared" si="16"/>
        <v>507.57600167435953</v>
      </c>
      <c r="DS53" s="62">
        <f t="shared" si="17"/>
        <v>800.90933500769279</v>
      </c>
      <c r="DT53" s="62">
        <f ca="1">AVERAGE(OFFSET($DS$3,0,0,'Données projet'!$E$14+1,1))-AVERAGE(OFFSET($H$3,0,0,'Données projet'!$E$14+1,1))</f>
        <v>487.04124684635974</v>
      </c>
      <c r="DU53" s="62">
        <f t="shared" si="44"/>
        <v>306.61893266146666</v>
      </c>
      <c r="DV53" s="16">
        <f>IF(ISNA(VLOOKUP(A53,'Données projet'!$A$165:$I$185,3,0)),0,VLOOKUP(A53,'Données projet'!$A$165:$I$185,3,0))</f>
        <v>7</v>
      </c>
      <c r="DW53" s="16">
        <f>IF(ISNA(VLOOKUP(A53,'Données projet'!$A$165:$I$185,4,0)),0,VLOOKUP(A53,'Données projet'!$A$165:$I$185,4,0))</f>
        <v>28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8.2398825507545901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8.2398825507545901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231</v>
      </c>
      <c r="EH53" s="13">
        <f>VLOOKUP(A53,'Données projet'!$A$191:$I$211,9,0)</f>
        <v>11</v>
      </c>
      <c r="EI53" s="13">
        <f t="array" ref="EI53">INDEX(EH:EH,MIN(IF(ISNUMBER(EH53:EH249),ROW(EH53:EH249),"")))</f>
        <v>11</v>
      </c>
      <c r="EJ53" s="13">
        <f>IF('Données projet'!$A$192&gt;35,EJ52+EI53-ER52,IF(A53&lt;'Données projet'!$A$192,$EG$205^A53,IF(A53='Données projet'!$A$192,'Données projet'!$B$192,EJ52+EI53-ER52)))</f>
        <v>231.00000000000003</v>
      </c>
      <c r="EK53" s="18">
        <f>EJ53*VLOOKUP('Données projet'!$B$15,Paramètres!$A$1:$I$89,3,0)*VLOOKUP('Données projet'!$B$15,Paramètres!$A$1:$I$89,5,0)</f>
        <v>219.81960000000004</v>
      </c>
      <c r="EL53" s="14">
        <f t="shared" si="45"/>
        <v>54.075674800133456</v>
      </c>
      <c r="EM53" s="22">
        <f t="shared" si="19"/>
        <v>477.03427027689918</v>
      </c>
      <c r="EN53" s="62">
        <f t="shared" si="20"/>
        <v>770.36760361023244</v>
      </c>
      <c r="EO53" s="62">
        <f ca="1">AVERAGE(OFFSET($EN$3,0,0,'Données projet'!$E$15+1,1))-AVERAGE(OFFSET($H$3,0,0,'Données projet'!$E$15+1,1))</f>
        <v>459.64120566196812</v>
      </c>
      <c r="EP53" s="62">
        <f t="shared" si="46"/>
        <v>290.39826583283588</v>
      </c>
      <c r="EQ53" s="16">
        <f>IF(ISNA(VLOOKUP(A53,'Données projet'!$A$191:$I$211,3,0)),0,VLOOKUP(A53,'Données projet'!$A$191:$I$211,3,0))</f>
        <v>7</v>
      </c>
      <c r="ER53" s="16">
        <f>IF(ISNA(VLOOKUP(A53,'Données projet'!$A$191:$I$211,4,0)),0,VLOOKUP(A53,'Données projet'!$A$191:$I$211,4,0))</f>
        <v>28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7.7328128553235373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7.7328128553235373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>
        <f>VLOOKUP(A53,'Données projet'!$A$217:$I$237,2,0)</f>
        <v>231</v>
      </c>
      <c r="FC53" s="13">
        <f>VLOOKUP(A53,'Données projet'!$A$217:$I$237,9,0)</f>
        <v>11</v>
      </c>
      <c r="FD53" s="13">
        <f t="array" ref="FD53">INDEX(FC:FC,MIN(IF(ISNUMBER(FC53:FC249),ROW(FC53:FC249),"")))</f>
        <v>11</v>
      </c>
      <c r="FE53" s="13">
        <f>IF('Données projet'!$A$218&gt;35,FE52+FD53-FM52,IF(A53&lt;'Données projet'!$A$218,$FB$205^A53,IF(A53='Données projet'!$A$218,'Données projet'!$B$218,FE52+FD53-FM52)))</f>
        <v>231.00000000000003</v>
      </c>
      <c r="FF53" s="18">
        <f>FE53*VLOOKUP('Données projet'!$B$16,Paramètres!$A$1:$I$89,3,0)*VLOOKUP('Données projet'!$B$16,Paramètres!$A$1:$I$89,5,0)</f>
        <v>154.95480000000003</v>
      </c>
      <c r="FG53" s="14">
        <f t="shared" si="47"/>
        <v>39.702443168641857</v>
      </c>
      <c r="FH53" s="22">
        <f t="shared" si="22"/>
        <v>339.02803185205124</v>
      </c>
      <c r="FI53" s="62">
        <f t="shared" si="23"/>
        <v>632.36136518538456</v>
      </c>
      <c r="FJ53" s="62">
        <f ca="1">AVERAGE(OFFSET($FI$3,0,0,'Données projet'!$E$16+1,1))-AVERAGE(OFFSET($H$3,0,0,'Données projet'!$E$16+1,1))</f>
        <v>335.83558218229564</v>
      </c>
      <c r="FK53" s="62">
        <f t="shared" si="48"/>
        <v>217.08423061559648</v>
      </c>
      <c r="FL53" s="16">
        <f>IF(ISNA(VLOOKUP(A53,'Données projet'!$A$217:$I$237,3,0)),0,VLOOKUP(A53,'Données projet'!$A$217:$I$237,3,0))</f>
        <v>7</v>
      </c>
      <c r="FM53" s="16">
        <f>IF(ISNA(VLOOKUP(A53,'Données projet'!$A$217:$I$237,4,0)),0,VLOOKUP(A53,'Données projet'!$A$217:$I$237,4,0))</f>
        <v>28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0</v>
      </c>
      <c r="FR53" s="23">
        <f>EXP(-LN(2)/25)*FR52+(1-EXP(-LN(2)/25))/(LN(2)/25)*Calculateur!FM53*Calculateur!FO53*VLOOKUP('Données projet'!$B$16,Paramètres!$A$1:$I$89,3,0)*0.475*44/12</f>
        <v>4.7919868465315778</v>
      </c>
      <c r="FS53" s="23">
        <f>EXP(-LN(2)/2)*FS52+(1-EXP(-LN(2)/2))/(LN(2)/2)*FM53*FP53*VLOOKUP('Données projet'!$B$16,Paramètres!$A$1:$I$89,3,0)*0.475*44/12</f>
        <v>1.0794725042362258E-2</v>
      </c>
      <c r="FT53" s="24">
        <f t="shared" si="24"/>
        <v>4.8027815715739397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7.8</v>
      </c>
      <c r="N54" s="14">
        <f>IF('Données projet'!$A$36&gt;35,N53+M54-V53,IF(A54&lt;'Données projet'!$A$36,$K$205^A54,IF(A54='Données projet'!$A$36,'Données projet'!$B$36,N53+M54-V53)))</f>
        <v>205.80000000000015</v>
      </c>
      <c r="O54" s="14">
        <f>N54*VLOOKUP('Données projet'!$B$9,Paramètres!$A$1:$I$89,3,0)*VLOOKUP('Données projet'!$B$9,Paramètres!$A$1:$I$89,5,0)</f>
        <v>179.78688000000014</v>
      </c>
      <c r="P54" s="14">
        <f t="shared" si="33"/>
        <v>45.274767624296977</v>
      </c>
      <c r="Q54" s="22">
        <f t="shared" si="53"/>
        <v>391.98236961231743</v>
      </c>
      <c r="R54" s="62">
        <f t="shared" si="0"/>
        <v>685.31570294565074</v>
      </c>
      <c r="S54" s="62">
        <f ca="1">AVERAGE(OFFSET($R$3,0,0,'Données projet'!$E$9+1,1))-AVERAGE(OFFSET($H$3,0,0,'Données projet'!$E$9+1,1))</f>
        <v>321.23599968992932</v>
      </c>
      <c r="T54" s="62">
        <f t="shared" si="34"/>
        <v>388.05195847800502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14.290970171866116</v>
      </c>
      <c r="AB54" s="23">
        <f>EXP(-LN(2)/2)*AB53+(1-EXP(-LN(2)/2))/(LN(2)/2)*V54*Y54*VLOOKUP('Données projet'!$B$9,Paramètres!$A$1:$I$89,3,0)*0.475*44/12</f>
        <v>1.2613644271331664E-2</v>
      </c>
      <c r="AC54" s="24">
        <f t="shared" si="3"/>
        <v>14.303583816137447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10.199999999999999</v>
      </c>
      <c r="AI54" s="14">
        <f>IF('Données projet'!$A$62&gt;35,AI53+AH54-AQ53,IF(A54&lt;'Données projet'!$A$62,$AF$205^A54,IF(A54='Données projet'!$A$62,'Données projet'!$B$62,AI53+AH54-AQ53)))</f>
        <v>213.20000000000002</v>
      </c>
      <c r="AJ54" s="14">
        <f>AI54*VLOOKUP('Données projet'!$B$10,Paramètres!$A$1:$I$89,3,0)*VLOOKUP('Données projet'!$B$10,Paramètres!$A$1:$I$89,5,0)</f>
        <v>192.90336000000002</v>
      </c>
      <c r="AK54" s="14">
        <f t="shared" si="35"/>
        <v>48.181276881765257</v>
      </c>
      <c r="AL54" s="22">
        <f t="shared" si="4"/>
        <v>419.88907590240791</v>
      </c>
      <c r="AM54" s="62">
        <f t="shared" si="5"/>
        <v>713.22240923574122</v>
      </c>
      <c r="AN54" s="62">
        <f ca="1">AVERAGE(OFFSET($AM$3,0,0,'Données projet'!$E$10+1,1))-AVERAGE(OFFSET($H$3,0,0,'Données projet'!$E$10+1,1))</f>
        <v>439.19854273764042</v>
      </c>
      <c r="AO54" s="62">
        <f t="shared" si="36"/>
        <v>278.21741231699929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5.1006619514034908</v>
      </c>
      <c r="AW54" s="23">
        <f>EXP(-LN(2)/2)*AW53+(1-EXP(-LN(2)/2))/(LN(2)/2)*AQ54*AT54*VLOOKUP('Données projet'!$B$10,Paramètres!$A$1:$I$89,3,0)*0.475*44/12</f>
        <v>1.0295705817509732E-2</v>
      </c>
      <c r="AX54" s="23">
        <f t="shared" si="6"/>
        <v>5.1109576572210003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7.4</v>
      </c>
      <c r="BD54" s="13">
        <f>IF('Données projet'!$A$88&gt;35,BD53+BC54-BL53,IF(A54&lt;'Données projet'!$A$88,$BA$205^A54,IF(A54='Données projet'!$A$88,'Données projet'!$B$88,BD53+BC54-BL53)))</f>
        <v>248.39999999999998</v>
      </c>
      <c r="BE54" s="14">
        <f>BD54*VLOOKUP('Données projet'!$B$11,Paramètres!$A$1:$I$89,3,0)*VLOOKUP('Données projet'!$B$11,Paramètres!$A$1:$I$89,5,0)</f>
        <v>197.62703999999999</v>
      </c>
      <c r="BF54" s="14">
        <f t="shared" si="37"/>
        <v>49.222301224260015</v>
      </c>
      <c r="BG54" s="22">
        <f t="shared" si="7"/>
        <v>429.92926929891951</v>
      </c>
      <c r="BH54" s="62">
        <f t="shared" si="8"/>
        <v>723.26260263225277</v>
      </c>
      <c r="BI54" s="62">
        <f ca="1">AVERAGE(OFFSET($BH$3,0,0,'Données projet'!$E$11+1,1))-AVERAGE(OFFSET($H$3,0,0,'Données projet'!$E$11+1,1))</f>
        <v>352.88510024787888</v>
      </c>
      <c r="BJ54" s="62">
        <f t="shared" si="38"/>
        <v>343.77208530767069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6.8661135149708237</v>
      </c>
      <c r="BR54" s="23">
        <f>EXP(-LN(2)/2)*BR53+(1-EXP(-LN(2)/2))/(LN(2)/2)*BL54*BO54*VLOOKUP('Données projet'!$B$11,Paramètres!$A$1:$I$89,3,0)*0.475*44/12</f>
        <v>2.7260113592084188E-4</v>
      </c>
      <c r="BS54" s="24">
        <f t="shared" si="9"/>
        <v>6.8663861161067441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7.4</v>
      </c>
      <c r="BY54" s="13">
        <f>IF('Données projet'!$A$114&gt;35,BY53+BX54-CG53,IF(A54&lt;'Données projet'!$A$114,$BV$205^A54,IF(A54='Données projet'!$A$114,'Données projet'!$B$114,BY53+BX54-CG53)))</f>
        <v>248.39999999999998</v>
      </c>
      <c r="BZ54" s="14">
        <f>BY54*VLOOKUP('Données projet'!$B$12,Paramètres!$A$1:$I$89,3,0)*VLOOKUP('Données projet'!$B$12,Paramètres!$A$1:$I$89,5,0)</f>
        <v>182.12687999999997</v>
      </c>
      <c r="CA54" s="14">
        <f t="shared" si="39"/>
        <v>45.795053793403618</v>
      </c>
      <c r="CB54" s="22">
        <f t="shared" si="10"/>
        <v>396.96403469017787</v>
      </c>
      <c r="CC54" s="62">
        <f t="shared" si="11"/>
        <v>690.29736802351113</v>
      </c>
      <c r="CD54" s="62">
        <f ca="1">AVERAGE(OFFSET($CC$3,0,0,'Données projet'!$E$12+1,1))-AVERAGE(OFFSET($H$3,0,0,'Données projet'!$E$12+1,1))</f>
        <v>328.10411227536315</v>
      </c>
      <c r="CE54" s="62">
        <f t="shared" si="40"/>
        <v>320.24200483294322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5.9897143109145974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5.9897143109145974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10.375</v>
      </c>
      <c r="CT54" s="13">
        <f>IF('Données projet'!$A$140&gt;35,CT53+CS54-DB53,IF(A54&lt;'Données projet'!$A$140,$CQ$205^A54,IF(A54='Données projet'!$A$140,'Données projet'!$B$140,CT53+CS54-DB53)))</f>
        <v>259.62499999999989</v>
      </c>
      <c r="CU54" s="18">
        <f>CT54*VLOOKUP('Données projet'!$B$13,Paramètres!$A$1:$I$89,3,0)*VLOOKUP('Données projet'!$B$13,Paramètres!$A$1:$I$89,5,0)</f>
        <v>202.50749999999991</v>
      </c>
      <c r="CV54" s="14">
        <f t="shared" si="41"/>
        <v>50.294840086606349</v>
      </c>
      <c r="CW54" s="22">
        <f t="shared" si="13"/>
        <v>440.29740898417253</v>
      </c>
      <c r="CX54" s="62">
        <f t="shared" si="14"/>
        <v>733.63074231750579</v>
      </c>
      <c r="CY54" s="62">
        <f ca="1">AVERAGE(OFFSET($CX$3,0,0,'Données projet'!$E$13+1,1))-AVERAGE(OFFSET($H$3,0,0,'Données projet'!$E$13+1,1))</f>
        <v>288.82868507674738</v>
      </c>
      <c r="CZ54" s="62">
        <f t="shared" si="42"/>
        <v>283.48738729114024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6.7349773572372102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6.7349773572372102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10.199999999999999</v>
      </c>
      <c r="DO54" s="13">
        <f>IF('Données projet'!$A$166&gt;35,DO53+DN54-DW53,IF(A54&lt;'Données projet'!$A$166,$DL$205^A54,IF(A54='Données projet'!$A$166,'Données projet'!$B$166,DO53+DN54-DW53)))</f>
        <v>213.20000000000002</v>
      </c>
      <c r="DP54" s="18">
        <f>DO54*VLOOKUP('Données projet'!$B$14,Paramètres!$A$1:$I$89,3,0)*VLOOKUP('Données projet'!$B$14,Paramètres!$A$1:$I$89,5,0)</f>
        <v>216.18480000000002</v>
      </c>
      <c r="DQ54" s="14">
        <f t="shared" si="43"/>
        <v>53.284828478170375</v>
      </c>
      <c r="DR54" s="22">
        <f t="shared" si="16"/>
        <v>469.3262695994801</v>
      </c>
      <c r="DS54" s="62">
        <f t="shared" si="17"/>
        <v>762.65960293281341</v>
      </c>
      <c r="DT54" s="62">
        <f ca="1">AVERAGE(OFFSET($DS$3,0,0,'Données projet'!$E$14+1,1))-AVERAGE(OFFSET($H$3,0,0,'Données projet'!$E$14+1,1))</f>
        <v>487.04124684635974</v>
      </c>
      <c r="DU54" s="62">
        <f t="shared" si="44"/>
        <v>306.61893266146666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8.0783034797663884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8.0783034797663884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10.199999999999999</v>
      </c>
      <c r="EJ54" s="13">
        <f>IF('Données projet'!$A$192&gt;35,EJ53+EI54-ER53,IF(A54&lt;'Données projet'!$A$192,$EG$205^A54,IF(A54='Données projet'!$A$192,'Données projet'!$B$192,EJ53+EI54-ER53)))</f>
        <v>213.20000000000002</v>
      </c>
      <c r="EK54" s="18">
        <f>EJ54*VLOOKUP('Données projet'!$B$15,Paramètres!$A$1:$I$89,3,0)*VLOOKUP('Données projet'!$B$15,Paramètres!$A$1:$I$89,5,0)</f>
        <v>202.88112000000004</v>
      </c>
      <c r="EL54" s="14">
        <f t="shared" si="45"/>
        <v>50.376822658563356</v>
      </c>
      <c r="EM54" s="22">
        <f t="shared" si="19"/>
        <v>441.09091679699787</v>
      </c>
      <c r="EN54" s="62">
        <f t="shared" si="20"/>
        <v>734.42425013033119</v>
      </c>
      <c r="EO54" s="62">
        <f ca="1">AVERAGE(OFFSET($EN$3,0,0,'Données projet'!$E$15+1,1))-AVERAGE(OFFSET($H$3,0,0,'Données projet'!$E$15+1,1))</f>
        <v>459.64120566196812</v>
      </c>
      <c r="EP54" s="62">
        <f t="shared" si="46"/>
        <v>290.39826583283588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7.5811771117807636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7.5811771117807636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10.199999999999999</v>
      </c>
      <c r="FE54" s="13">
        <f>IF('Données projet'!$A$218&gt;35,FE53+FD54-FM53,IF(A54&lt;'Données projet'!$A$218,$FB$205^A54,IF(A54='Données projet'!$A$218,'Données projet'!$B$218,FE53+FD54-FM53)))</f>
        <v>213.20000000000002</v>
      </c>
      <c r="FF54" s="18">
        <f>FE54*VLOOKUP('Données projet'!$B$16,Paramètres!$A$1:$I$89,3,0)*VLOOKUP('Données projet'!$B$16,Paramètres!$A$1:$I$89,5,0)</f>
        <v>143.01456000000002</v>
      </c>
      <c r="FG54" s="14">
        <f t="shared" si="47"/>
        <v>36.986740267426583</v>
      </c>
      <c r="FH54" s="22">
        <f t="shared" si="22"/>
        <v>313.50226463243462</v>
      </c>
      <c r="FI54" s="62">
        <f t="shared" si="23"/>
        <v>606.83559796576787</v>
      </c>
      <c r="FJ54" s="62">
        <f ca="1">AVERAGE(OFFSET($FI$3,0,0,'Données projet'!$E$16+1,1))-AVERAGE(OFFSET($H$3,0,0,'Données projet'!$E$16+1,1))</f>
        <v>335.83558218229564</v>
      </c>
      <c r="FK54" s="62">
        <f t="shared" si="48"/>
        <v>217.08423061559648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0</v>
      </c>
      <c r="FR54" s="23">
        <f>EXP(-LN(2)/25)*FR53+(1-EXP(-LN(2)/25))/(LN(2)/25)*Calculateur!FM54*Calculateur!FO54*VLOOKUP('Données projet'!$B$16,Paramètres!$A$1:$I$89,3,0)*0.475*44/12</f>
        <v>4.6609497142135359</v>
      </c>
      <c r="FS54" s="23">
        <f>EXP(-LN(2)/2)*FS53+(1-EXP(-LN(2)/2))/(LN(2)/2)*FM54*FP54*VLOOKUP('Données projet'!$B$16,Paramètres!$A$1:$I$89,3,0)*0.475*44/12</f>
        <v>7.633023278498594E-3</v>
      </c>
      <c r="FT54" s="24">
        <f t="shared" si="24"/>
        <v>4.6685827374920343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7.8</v>
      </c>
      <c r="N55" s="14">
        <f>IF('Données projet'!$A$36&gt;35,N54+M55-V54,IF(A55&lt;'Données projet'!$A$36,$K$205^A55,IF(A55='Données projet'!$A$36,'Données projet'!$B$36,N54+M55-V54)))</f>
        <v>213.60000000000016</v>
      </c>
      <c r="O55" s="14">
        <f>N55*VLOOKUP('Données projet'!$B$9,Paramètres!$A$1:$I$89,3,0)*VLOOKUP('Données projet'!$B$9,Paramètres!$A$1:$I$89,5,0)</f>
        <v>186.60096000000016</v>
      </c>
      <c r="P55" s="14">
        <f t="shared" si="33"/>
        <v>46.787685683664144</v>
      </c>
      <c r="Q55" s="22">
        <f t="shared" si="53"/>
        <v>406.48522456571527</v>
      </c>
      <c r="R55" s="62">
        <f t="shared" si="0"/>
        <v>699.81855789904853</v>
      </c>
      <c r="S55" s="62">
        <f ca="1">AVERAGE(OFFSET($R$3,0,0,'Données projet'!$E$9+1,1))-AVERAGE(OFFSET($H$3,0,0,'Données projet'!$E$9+1,1))</f>
        <v>321.23599968992932</v>
      </c>
      <c r="T55" s="62">
        <f t="shared" si="34"/>
        <v>388.05195847800502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13.900182840986979</v>
      </c>
      <c r="AB55" s="23">
        <f>EXP(-LN(2)/2)*AB54+(1-EXP(-LN(2)/2))/(LN(2)/2)*V55*Y55*VLOOKUP('Données projet'!$B$9,Paramètres!$A$1:$I$89,3,0)*0.475*44/12</f>
        <v>8.9191933997334674E-3</v>
      </c>
      <c r="AC55" s="24">
        <f t="shared" si="3"/>
        <v>13.909102034386713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10.199999999999999</v>
      </c>
      <c r="AI55" s="14">
        <f>IF('Données projet'!$A$62&gt;35,AI54+AH55-AQ54,IF(A55&lt;'Données projet'!$A$62,$AF$205^A55,IF(A55='Données projet'!$A$62,'Données projet'!$B$62,AI54+AH55-AQ54)))</f>
        <v>223.4</v>
      </c>
      <c r="AJ55" s="14">
        <f>AI55*VLOOKUP('Données projet'!$B$10,Paramètres!$A$1:$I$89,3,0)*VLOOKUP('Données projet'!$B$10,Paramètres!$A$1:$I$89,5,0)</f>
        <v>202.13232000000002</v>
      </c>
      <c r="AK55" s="14">
        <f t="shared" si="35"/>
        <v>50.212497488959627</v>
      </c>
      <c r="AL55" s="22">
        <f t="shared" si="4"/>
        <v>439.50055712660469</v>
      </c>
      <c r="AM55" s="62">
        <f t="shared" si="5"/>
        <v>732.83389045993795</v>
      </c>
      <c r="AN55" s="62">
        <f ca="1">AVERAGE(OFFSET($AM$3,0,0,'Données projet'!$E$10+1,1))-AVERAGE(OFFSET($H$3,0,0,'Données projet'!$E$10+1,1))</f>
        <v>439.19854273764042</v>
      </c>
      <c r="AO55" s="62">
        <f t="shared" si="36"/>
        <v>278.21741231699929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4.9611840821102078</v>
      </c>
      <c r="AW55" s="23">
        <f>EXP(-LN(2)/2)*AW54+(1-EXP(-LN(2)/2))/(LN(2)/2)*AQ55*AT55*VLOOKUP('Données projet'!$B$10,Paramètres!$A$1:$I$89,3,0)*0.475*44/12</f>
        <v>7.2801634006629187E-3</v>
      </c>
      <c r="AX55" s="23">
        <f t="shared" si="6"/>
        <v>4.9684642455108703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7.4</v>
      </c>
      <c r="BD55" s="13">
        <f>IF('Données projet'!$A$88&gt;35,BD54+BC55-BL54,IF(A55&lt;'Données projet'!$A$88,$BA$205^A55,IF(A55='Données projet'!$A$88,'Données projet'!$B$88,BD54+BC55-BL54)))</f>
        <v>255.79999999999998</v>
      </c>
      <c r="BE55" s="14">
        <f>BD55*VLOOKUP('Données projet'!$B$11,Paramètres!$A$1:$I$89,3,0)*VLOOKUP('Données projet'!$B$11,Paramètres!$A$1:$I$89,5,0)</f>
        <v>203.51447999999999</v>
      </c>
      <c r="BF55" s="14">
        <f t="shared" si="37"/>
        <v>50.515759254811513</v>
      </c>
      <c r="BG55" s="22">
        <f t="shared" si="7"/>
        <v>442.43600003546334</v>
      </c>
      <c r="BH55" s="62">
        <f t="shared" si="8"/>
        <v>735.76933336879665</v>
      </c>
      <c r="BI55" s="62">
        <f ca="1">AVERAGE(OFFSET($BH$3,0,0,'Données projet'!$E$11+1,1))-AVERAGE(OFFSET($H$3,0,0,'Données projet'!$E$11+1,1))</f>
        <v>352.88510024787888</v>
      </c>
      <c r="BJ55" s="62">
        <f t="shared" si="38"/>
        <v>343.77208530767069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6.6783592798307296</v>
      </c>
      <c r="BR55" s="23">
        <f>EXP(-LN(2)/2)*BR54+(1-EXP(-LN(2)/2))/(LN(2)/2)*BL55*BO55*VLOOKUP('Données projet'!$B$11,Paramètres!$A$1:$I$89,3,0)*0.475*44/12</f>
        <v>1.9275811176878304E-4</v>
      </c>
      <c r="BS55" s="24">
        <f t="shared" si="9"/>
        <v>6.6785520379424987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7.4</v>
      </c>
      <c r="BY55" s="13">
        <f>IF('Données projet'!$A$114&gt;35,BY54+BX55-CG54,IF(A55&lt;'Données projet'!$A$114,$BV$205^A55,IF(A55='Données projet'!$A$114,'Données projet'!$B$114,BY54+BX55-CG54)))</f>
        <v>255.79999999999998</v>
      </c>
      <c r="BZ55" s="14">
        <f>BY55*VLOOKUP('Données projet'!$B$12,Paramètres!$A$1:$I$89,3,0)*VLOOKUP('Données projet'!$B$12,Paramètres!$A$1:$I$89,5,0)</f>
        <v>187.55255999999997</v>
      </c>
      <c r="CA55" s="14">
        <f t="shared" si="39"/>
        <v>46.998451005954564</v>
      </c>
      <c r="CB55" s="22">
        <f t="shared" si="10"/>
        <v>408.50967750203745</v>
      </c>
      <c r="CC55" s="62">
        <f t="shared" si="11"/>
        <v>701.84301083537071</v>
      </c>
      <c r="CD55" s="62">
        <f ca="1">AVERAGE(OFFSET($CC$3,0,0,'Données projet'!$E$12+1,1))-AVERAGE(OFFSET($H$3,0,0,'Données projet'!$E$12+1,1))</f>
        <v>328.10411227536315</v>
      </c>
      <c r="CE55" s="62">
        <f t="shared" si="40"/>
        <v>320.24200483294322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5.8722596666425524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5.8722596666425524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>
        <f>VLOOKUP(A55,'Données projet'!$A$139:$I$159,2,0)</f>
        <v>270</v>
      </c>
      <c r="CR55" s="13">
        <f>VLOOKUP(A55,'Données projet'!$A$139:$I$159,9,0)</f>
        <v>10.375</v>
      </c>
      <c r="CS55" s="13">
        <f t="array" ref="CS55">INDEX(CR:CR,MIN(IF(ISNUMBER(CR55:CR251),ROW(CR55:CR251),"")))</f>
        <v>10.375</v>
      </c>
      <c r="CT55" s="13">
        <f>IF('Données projet'!$A$140&gt;35,CT54+CS55-DB54,IF(A55&lt;'Données projet'!$A$140,$CQ$205^A55,IF(A55='Données projet'!$A$140,'Données projet'!$B$140,CT54+CS55-DB54)))</f>
        <v>269.99999999999989</v>
      </c>
      <c r="CU55" s="18">
        <f>CT55*VLOOKUP('Données projet'!$B$13,Paramètres!$A$1:$I$89,3,0)*VLOOKUP('Données projet'!$B$13,Paramètres!$A$1:$I$89,5,0)</f>
        <v>210.59999999999991</v>
      </c>
      <c r="CV55" s="14">
        <f t="shared" si="41"/>
        <v>52.066679014659961</v>
      </c>
      <c r="CW55" s="22">
        <f t="shared" si="13"/>
        <v>457.47779928386586</v>
      </c>
      <c r="CX55" s="62">
        <f t="shared" si="14"/>
        <v>750.81113261719918</v>
      </c>
      <c r="CY55" s="62">
        <f ca="1">AVERAGE(OFFSET($CX$3,0,0,'Données projet'!$E$13+1,1))-AVERAGE(OFFSET($H$3,0,0,'Données projet'!$E$13+1,1))</f>
        <v>288.82868507674738</v>
      </c>
      <c r="CZ55" s="62">
        <f t="shared" si="42"/>
        <v>283.48738729114024</v>
      </c>
      <c r="DA55" s="16">
        <f>IF(ISNA(VLOOKUP(A55,'Données projet'!$A$139:$I$159,3,0)),0,VLOOKUP(A55,'Données projet'!$A$139:$I$159,3,0))</f>
        <v>7</v>
      </c>
      <c r="DB55" s="16">
        <f>IF(ISNA(VLOOKUP(A55,'Données projet'!$A$139:$I$159,4,0)),0,VLOOKUP(A55,'Données projet'!$A$139:$I$159,4,0))</f>
        <v>48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6.6029085591923522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6.6029085591923522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10.199999999999999</v>
      </c>
      <c r="DO55" s="13">
        <f>IF('Données projet'!$A$166&gt;35,DO54+DN55-DW54,IF(A55&lt;'Données projet'!$A$166,$DL$205^A55,IF(A55='Données projet'!$A$166,'Données projet'!$B$166,DO54+DN55-DW54)))</f>
        <v>223.4</v>
      </c>
      <c r="DP55" s="18">
        <f>DO55*VLOOKUP('Données projet'!$B$14,Paramètres!$A$1:$I$89,3,0)*VLOOKUP('Données projet'!$B$14,Paramètres!$A$1:$I$89,5,0)</f>
        <v>226.52760000000001</v>
      </c>
      <c r="DQ55" s="14">
        <f t="shared" si="43"/>
        <v>55.531204013656371</v>
      </c>
      <c r="DR55" s="22">
        <f t="shared" si="16"/>
        <v>491.25241699045142</v>
      </c>
      <c r="DS55" s="62">
        <f t="shared" si="17"/>
        <v>784.58575032378474</v>
      </c>
      <c r="DT55" s="62">
        <f ca="1">AVERAGE(OFFSET($DS$3,0,0,'Données projet'!$E$14+1,1))-AVERAGE(OFFSET($H$3,0,0,'Données projet'!$E$14+1,1))</f>
        <v>487.04124684635974</v>
      </c>
      <c r="DU55" s="62">
        <f t="shared" si="44"/>
        <v>306.61893266146666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7.9198928758067639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7.9198928758067639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10.199999999999999</v>
      </c>
      <c r="EJ55" s="13">
        <f>IF('Données projet'!$A$192&gt;35,EJ54+EI55-ER54,IF(A55&lt;'Données projet'!$A$192,$EG$205^A55,IF(A55='Données projet'!$A$192,'Données projet'!$B$192,EJ54+EI55-ER54)))</f>
        <v>223.4</v>
      </c>
      <c r="EK55" s="18">
        <f>EJ55*VLOOKUP('Données projet'!$B$15,Paramètres!$A$1:$I$89,3,0)*VLOOKUP('Données projet'!$B$15,Paramètres!$A$1:$I$89,5,0)</f>
        <v>212.58744000000002</v>
      </c>
      <c r="EL55" s="14">
        <f t="shared" si="45"/>
        <v>52.500602826535129</v>
      </c>
      <c r="EM55" s="22">
        <f t="shared" si="19"/>
        <v>461.69500792288198</v>
      </c>
      <c r="EN55" s="62">
        <f t="shared" si="20"/>
        <v>755.0283412562153</v>
      </c>
      <c r="EO55" s="62">
        <f ca="1">AVERAGE(OFFSET($EN$3,0,0,'Données projet'!$E$15+1,1))-AVERAGE(OFFSET($H$3,0,0,'Données projet'!$E$15+1,1))</f>
        <v>459.64120566196812</v>
      </c>
      <c r="EP55" s="62">
        <f t="shared" si="46"/>
        <v>290.39826583283588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7.4325148526801925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7.4325148526801925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10.199999999999999</v>
      </c>
      <c r="FE55" s="13">
        <f>IF('Données projet'!$A$218&gt;35,FE54+FD55-FM54,IF(A55&lt;'Données projet'!$A$218,$FB$205^A55,IF(A55='Données projet'!$A$218,'Données projet'!$B$218,FE54+FD55-FM54)))</f>
        <v>223.4</v>
      </c>
      <c r="FF55" s="18">
        <f>FE55*VLOOKUP('Données projet'!$B$16,Paramètres!$A$1:$I$89,3,0)*VLOOKUP('Données projet'!$B$16,Paramètres!$A$1:$I$89,5,0)</f>
        <v>149.85672</v>
      </c>
      <c r="FG55" s="14">
        <f t="shared" si="47"/>
        <v>38.546022915923054</v>
      </c>
      <c r="FH55" s="22">
        <f t="shared" si="22"/>
        <v>328.13477724523267</v>
      </c>
      <c r="FI55" s="62">
        <f t="shared" si="23"/>
        <v>621.46811057856598</v>
      </c>
      <c r="FJ55" s="62">
        <f ca="1">AVERAGE(OFFSET($FI$3,0,0,'Données projet'!$E$16+1,1))-AVERAGE(OFFSET($H$3,0,0,'Données projet'!$E$16+1,1))</f>
        <v>335.83558218229564</v>
      </c>
      <c r="FK55" s="62">
        <f t="shared" si="48"/>
        <v>217.08423061559648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0</v>
      </c>
      <c r="FR55" s="23">
        <f>EXP(-LN(2)/25)*FR54+(1-EXP(-LN(2)/25))/(LN(2)/25)*Calculateur!FM55*Calculateur!FO55*VLOOKUP('Données projet'!$B$16,Paramètres!$A$1:$I$89,3,0)*0.475*44/12</f>
        <v>4.5334957991696738</v>
      </c>
      <c r="FS55" s="23">
        <f>EXP(-LN(2)/2)*FS54+(1-EXP(-LN(2)/2))/(LN(2)/2)*FM55*FP55*VLOOKUP('Données projet'!$B$16,Paramètres!$A$1:$I$89,3,0)*0.475*44/12</f>
        <v>5.3973625211811297E-3</v>
      </c>
      <c r="FT55" s="24">
        <f t="shared" si="24"/>
        <v>4.5388931616908552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7.8</v>
      </c>
      <c r="N56" s="14">
        <f>IF('Données projet'!$A$36&gt;35,N55+M56-V55,IF(A56&lt;'Données projet'!$A$36,$K$205^A56,IF(A56='Données projet'!$A$36,'Données projet'!$B$36,N55+M56-V55)))</f>
        <v>221.40000000000018</v>
      </c>
      <c r="O56" s="14">
        <f>N56*VLOOKUP('Données projet'!$B$9,Paramètres!$A$1:$I$89,3,0)*VLOOKUP('Données projet'!$B$9,Paramètres!$A$1:$I$89,5,0)</f>
        <v>193.41504000000018</v>
      </c>
      <c r="P56" s="14">
        <f t="shared" si="33"/>
        <v>48.294185132315114</v>
      </c>
      <c r="Q56" s="22">
        <f t="shared" si="53"/>
        <v>420.97690043878242</v>
      </c>
      <c r="R56" s="62">
        <f t="shared" si="0"/>
        <v>714.31023377211568</v>
      </c>
      <c r="S56" s="62">
        <f ca="1">AVERAGE(OFFSET($R$3,0,0,'Données projet'!$E$9+1,1))-AVERAGE(OFFSET($H$3,0,0,'Données projet'!$E$9+1,1))</f>
        <v>321.23599968992932</v>
      </c>
      <c r="T56" s="62">
        <f t="shared" si="34"/>
        <v>388.05195847800502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13.520081610221343</v>
      </c>
      <c r="AB56" s="23">
        <f>EXP(-LN(2)/2)*AB55+(1-EXP(-LN(2)/2))/(LN(2)/2)*V56*Y56*VLOOKUP('Données projet'!$B$9,Paramètres!$A$1:$I$89,3,0)*0.475*44/12</f>
        <v>6.306822135665832E-3</v>
      </c>
      <c r="AC56" s="24">
        <f t="shared" si="3"/>
        <v>13.52638843235701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10.199999999999999</v>
      </c>
      <c r="AI56" s="14">
        <f>IF('Données projet'!$A$62&gt;35,AI55+AH56-AQ55,IF(A56&lt;'Données projet'!$A$62,$AF$205^A56,IF(A56='Données projet'!$A$62,'Données projet'!$B$62,AI55+AH56-AQ55)))</f>
        <v>233.6</v>
      </c>
      <c r="AJ56" s="14">
        <f>AI56*VLOOKUP('Données projet'!$B$10,Paramètres!$A$1:$I$89,3,0)*VLOOKUP('Données projet'!$B$10,Paramètres!$A$1:$I$89,5,0)</f>
        <v>211.36127999999999</v>
      </c>
      <c r="AK56" s="14">
        <f t="shared" si="35"/>
        <v>52.232947669705631</v>
      </c>
      <c r="AL56" s="22">
        <f t="shared" si="4"/>
        <v>459.09327985807062</v>
      </c>
      <c r="AM56" s="62">
        <f t="shared" si="5"/>
        <v>752.42661319140393</v>
      </c>
      <c r="AN56" s="62">
        <f ca="1">AVERAGE(OFFSET($AM$3,0,0,'Données projet'!$E$10+1,1))-AVERAGE(OFFSET($H$3,0,0,'Données projet'!$E$10+1,1))</f>
        <v>439.19854273764042</v>
      </c>
      <c r="AO56" s="62">
        <f t="shared" si="36"/>
        <v>278.21741231699929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4.8255202424875723</v>
      </c>
      <c r="AW56" s="23">
        <f>EXP(-LN(2)/2)*AW55+(1-EXP(-LN(2)/2))/(LN(2)/2)*AQ56*AT56*VLOOKUP('Données projet'!$B$10,Paramètres!$A$1:$I$89,3,0)*0.475*44/12</f>
        <v>5.1478529087548661E-3</v>
      </c>
      <c r="AX56" s="23">
        <f t="shared" si="6"/>
        <v>4.8306680953963275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7.4</v>
      </c>
      <c r="BD56" s="13">
        <f>IF('Données projet'!$A$88&gt;35,BD55+BC56-BL55,IF(A56&lt;'Données projet'!$A$88,$BA$205^A56,IF(A56='Données projet'!$A$88,'Données projet'!$B$88,BD55+BC56-BL55)))</f>
        <v>263.2</v>
      </c>
      <c r="BE56" s="14">
        <f>BD56*VLOOKUP('Données projet'!$B$11,Paramètres!$A$1:$I$89,3,0)*VLOOKUP('Données projet'!$B$11,Paramètres!$A$1:$I$89,5,0)</f>
        <v>209.40192000000002</v>
      </c>
      <c r="BF56" s="14">
        <f t="shared" si="37"/>
        <v>51.804868484579089</v>
      </c>
      <c r="BG56" s="22">
        <f t="shared" si="7"/>
        <v>454.93515661064185</v>
      </c>
      <c r="BH56" s="62">
        <f t="shared" si="8"/>
        <v>748.26848994397517</v>
      </c>
      <c r="BI56" s="62">
        <f ca="1">AVERAGE(OFFSET($BH$3,0,0,'Données projet'!$E$11+1,1))-AVERAGE(OFFSET($H$3,0,0,'Données projet'!$E$11+1,1))</f>
        <v>352.88510024787888</v>
      </c>
      <c r="BJ56" s="62">
        <f t="shared" si="38"/>
        <v>343.77208530767069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6.4957391941241074</v>
      </c>
      <c r="BR56" s="23">
        <f>EXP(-LN(2)/2)*BR55+(1-EXP(-LN(2)/2))/(LN(2)/2)*BL56*BO56*VLOOKUP('Données projet'!$B$11,Paramètres!$A$1:$I$89,3,0)*0.475*44/12</f>
        <v>1.3630056796042094E-4</v>
      </c>
      <c r="BS56" s="24">
        <f t="shared" si="9"/>
        <v>6.4958754946920676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7.4</v>
      </c>
      <c r="BY56" s="13">
        <f>IF('Données projet'!$A$114&gt;35,BY55+BX56-CG55,IF(A56&lt;'Données projet'!$A$114,$BV$205^A56,IF(A56='Données projet'!$A$114,'Données projet'!$B$114,BY55+BX56-CG55)))</f>
        <v>263.2</v>
      </c>
      <c r="BZ56" s="14">
        <f>BY56*VLOOKUP('Données projet'!$B$12,Paramètres!$A$1:$I$89,3,0)*VLOOKUP('Données projet'!$B$12,Paramètres!$A$1:$I$89,5,0)</f>
        <v>192.97824</v>
      </c>
      <c r="CA56" s="14">
        <f t="shared" si="39"/>
        <v>48.197802215761044</v>
      </c>
      <c r="CB56" s="22">
        <f t="shared" si="10"/>
        <v>420.04827352578377</v>
      </c>
      <c r="CC56" s="62">
        <f t="shared" si="11"/>
        <v>713.38160685911703</v>
      </c>
      <c r="CD56" s="62">
        <f ca="1">AVERAGE(OFFSET($CC$3,0,0,'Données projet'!$E$12+1,1))-AVERAGE(OFFSET($H$3,0,0,'Données projet'!$E$12+1,1))</f>
        <v>328.10411227536315</v>
      </c>
      <c r="CE56" s="62">
        <f t="shared" si="40"/>
        <v>320.24200483294322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5.7571082363044228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5.7571082363044228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9.375</v>
      </c>
      <c r="CT56" s="13">
        <f>IF('Données projet'!$A$140&gt;35,CT55+CS56-DB55,IF(A56&lt;'Données projet'!$A$140,$CQ$205^A56,IF(A56='Données projet'!$A$140,'Données projet'!$B$140,CT55+CS56-DB55)))</f>
        <v>231.37499999999989</v>
      </c>
      <c r="CU56" s="18">
        <f>CT56*VLOOKUP('Données projet'!$B$13,Paramètres!$A$1:$I$89,3,0)*VLOOKUP('Données projet'!$B$13,Paramètres!$A$1:$I$89,5,0)</f>
        <v>180.47249999999991</v>
      </c>
      <c r="CV56" s="14">
        <f t="shared" si="41"/>
        <v>45.427292666837829</v>
      </c>
      <c r="CW56" s="22">
        <f t="shared" si="13"/>
        <v>393.44213889474241</v>
      </c>
      <c r="CX56" s="62">
        <f t="shared" si="14"/>
        <v>686.77547222807573</v>
      </c>
      <c r="CY56" s="62">
        <f ca="1">AVERAGE(OFFSET($CX$3,0,0,'Données projet'!$E$13+1,1))-AVERAGE(OFFSET($H$3,0,0,'Données projet'!$E$13+1,1))</f>
        <v>288.82868507674738</v>
      </c>
      <c r="CZ56" s="62">
        <f t="shared" si="42"/>
        <v>283.48738729114024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6.4734295497231411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6.4734295497231411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10.199999999999999</v>
      </c>
      <c r="DO56" s="13">
        <f>IF('Données projet'!$A$166&gt;35,DO55+DN56-DW55,IF(A56&lt;'Données projet'!$A$166,$DL$205^A56,IF(A56='Données projet'!$A$166,'Données projet'!$B$166,DO55+DN56-DW55)))</f>
        <v>233.6</v>
      </c>
      <c r="DP56" s="18">
        <f>DO56*VLOOKUP('Données projet'!$B$14,Paramètres!$A$1:$I$89,3,0)*VLOOKUP('Données projet'!$B$14,Paramètres!$A$1:$I$89,5,0)</f>
        <v>236.87040000000002</v>
      </c>
      <c r="DQ56" s="14">
        <f t="shared" si="43"/>
        <v>57.765668276484661</v>
      </c>
      <c r="DR56" s="22">
        <f t="shared" si="16"/>
        <v>513.15781891487757</v>
      </c>
      <c r="DS56" s="62">
        <f t="shared" si="17"/>
        <v>806.49115224821094</v>
      </c>
      <c r="DT56" s="62">
        <f ca="1">AVERAGE(OFFSET($DS$3,0,0,'Données projet'!$E$14+1,1))-AVERAGE(OFFSET($H$3,0,0,'Données projet'!$E$14+1,1))</f>
        <v>487.04124684635974</v>
      </c>
      <c r="DU56" s="62">
        <f t="shared" si="44"/>
        <v>306.61893266146666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7.76458860716986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7.76458860716986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10.199999999999999</v>
      </c>
      <c r="EJ56" s="13">
        <f>IF('Données projet'!$A$192&gt;35,EJ55+EI56-ER55,IF(A56&lt;'Données projet'!$A$192,$EG$205^A56,IF(A56='Données projet'!$A$192,'Données projet'!$B$192,EJ55+EI56-ER55)))</f>
        <v>233.6</v>
      </c>
      <c r="EK56" s="18">
        <f>EJ56*VLOOKUP('Données projet'!$B$15,Paramètres!$A$1:$I$89,3,0)*VLOOKUP('Données projet'!$B$15,Paramètres!$A$1:$I$89,5,0)</f>
        <v>222.29375999999999</v>
      </c>
      <c r="EL56" s="14">
        <f t="shared" si="45"/>
        <v>54.613121776493159</v>
      </c>
      <c r="EM56" s="22">
        <f t="shared" si="19"/>
        <v>482.27948576072555</v>
      </c>
      <c r="EN56" s="62">
        <f t="shared" si="20"/>
        <v>775.61281909405886</v>
      </c>
      <c r="EO56" s="62">
        <f ca="1">AVERAGE(OFFSET($EN$3,0,0,'Données projet'!$E$15+1,1))-AVERAGE(OFFSET($H$3,0,0,'Données projet'!$E$15+1,1))</f>
        <v>459.64120566196812</v>
      </c>
      <c r="EP56" s="62">
        <f t="shared" si="46"/>
        <v>290.39826583283588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7.2867677698055591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7.2867677698055591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10.199999999999999</v>
      </c>
      <c r="FE56" s="13">
        <f>IF('Données projet'!$A$218&gt;35,FE55+FD56-FM55,IF(A56&lt;'Données projet'!$A$218,$FB$205^A56,IF(A56='Données projet'!$A$218,'Données projet'!$B$218,FE55+FD56-FM55)))</f>
        <v>233.6</v>
      </c>
      <c r="FF56" s="18">
        <f>FE56*VLOOKUP('Données projet'!$B$16,Paramètres!$A$1:$I$89,3,0)*VLOOKUP('Données projet'!$B$16,Paramètres!$A$1:$I$89,5,0)</f>
        <v>156.69888</v>
      </c>
      <c r="FG56" s="14">
        <f t="shared" si="47"/>
        <v>40.097037560925337</v>
      </c>
      <c r="FH56" s="22">
        <f t="shared" si="22"/>
        <v>342.75288975194491</v>
      </c>
      <c r="FI56" s="62">
        <f t="shared" si="23"/>
        <v>636.08622308527822</v>
      </c>
      <c r="FJ56" s="62">
        <f ca="1">AVERAGE(OFFSET($FI$3,0,0,'Données projet'!$E$16+1,1))-AVERAGE(OFFSET($H$3,0,0,'Données projet'!$E$16+1,1))</f>
        <v>335.83558218229564</v>
      </c>
      <c r="FK56" s="62">
        <f t="shared" si="48"/>
        <v>217.08423061559648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0</v>
      </c>
      <c r="FR56" s="23">
        <f>EXP(-LN(2)/25)*FR55+(1-EXP(-LN(2)/25))/(LN(2)/25)*Calculateur!FM56*Calculateur!FO56*VLOOKUP('Données projet'!$B$16,Paramètres!$A$1:$I$89,3,0)*0.475*44/12</f>
        <v>4.4095271181351965</v>
      </c>
      <c r="FS56" s="23">
        <f>EXP(-LN(2)/2)*FS55+(1-EXP(-LN(2)/2))/(LN(2)/2)*FM56*FP56*VLOOKUP('Données projet'!$B$16,Paramètres!$A$1:$I$89,3,0)*0.475*44/12</f>
        <v>3.8165116392492979E-3</v>
      </c>
      <c r="FT56" s="24">
        <f t="shared" si="24"/>
        <v>4.4133436297744462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7.8</v>
      </c>
      <c r="N57" s="14">
        <f>IF('Données projet'!$A$36&gt;35,N56+M57-V56,IF(A57&lt;'Données projet'!$A$36,$K$205^A57,IF(A57='Données projet'!$A$36,'Données projet'!$B$36,N56+M57-V56)))</f>
        <v>229.20000000000019</v>
      </c>
      <c r="O57" s="14">
        <f>N57*VLOOKUP('Données projet'!$B$9,Paramètres!$A$1:$I$89,3,0)*VLOOKUP('Données projet'!$B$9,Paramètres!$A$1:$I$89,5,0)</f>
        <v>200.22912000000019</v>
      </c>
      <c r="P57" s="14">
        <f t="shared" si="33"/>
        <v>49.794518010766396</v>
      </c>
      <c r="Q57" s="22">
        <f t="shared" si="53"/>
        <v>435.45783620208516</v>
      </c>
      <c r="R57" s="62">
        <f t="shared" si="0"/>
        <v>728.79116953541848</v>
      </c>
      <c r="S57" s="62">
        <f ca="1">AVERAGE(OFFSET($R$3,0,0,'Données projet'!$E$9+1,1))-AVERAGE(OFFSET($H$3,0,0,'Données projet'!$E$9+1,1))</f>
        <v>321.23599968992932</v>
      </c>
      <c r="T57" s="62">
        <f t="shared" si="34"/>
        <v>388.05195847800502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13.150374267599648</v>
      </c>
      <c r="AB57" s="23">
        <f>EXP(-LN(2)/2)*AB56+(1-EXP(-LN(2)/2))/(LN(2)/2)*V57*Y57*VLOOKUP('Données projet'!$B$9,Paramètres!$A$1:$I$89,3,0)*0.475*44/12</f>
        <v>4.4595966998667337E-3</v>
      </c>
      <c r="AC57" s="24">
        <f t="shared" si="3"/>
        <v>13.154833864299516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10.199999999999999</v>
      </c>
      <c r="AI57" s="14">
        <f>IF('Données projet'!$A$62&gt;35,AI56+AH57-AQ56,IF(A57&lt;'Données projet'!$A$62,$AF$205^A57,IF(A57='Données projet'!$A$62,'Données projet'!$B$62,AI56+AH57-AQ56)))</f>
        <v>243.79999999999998</v>
      </c>
      <c r="AJ57" s="14">
        <f>AI57*VLOOKUP('Données projet'!$B$10,Paramètres!$A$1:$I$89,3,0)*VLOOKUP('Données projet'!$B$10,Paramètres!$A$1:$I$89,5,0)</f>
        <v>220.59023999999997</v>
      </c>
      <c r="AK57" s="14">
        <f t="shared" si="35"/>
        <v>54.24315145708789</v>
      </c>
      <c r="AL57" s="22">
        <f t="shared" si="4"/>
        <v>478.66815678776129</v>
      </c>
      <c r="AM57" s="62">
        <f t="shared" si="5"/>
        <v>772.00149012109455</v>
      </c>
      <c r="AN57" s="62">
        <f ca="1">AVERAGE(OFFSET($AM$3,0,0,'Données projet'!$E$10+1,1))-AVERAGE(OFFSET($H$3,0,0,'Données projet'!$E$10+1,1))</f>
        <v>439.19854273764042</v>
      </c>
      <c r="AO57" s="62">
        <f t="shared" si="36"/>
        <v>278.21741231699929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4.6935661376936686</v>
      </c>
      <c r="AW57" s="23">
        <f>EXP(-LN(2)/2)*AW56+(1-EXP(-LN(2)/2))/(LN(2)/2)*AQ57*AT57*VLOOKUP('Données projet'!$B$10,Paramètres!$A$1:$I$89,3,0)*0.475*44/12</f>
        <v>3.6400817003314594E-3</v>
      </c>
      <c r="AX57" s="23">
        <f t="shared" si="6"/>
        <v>4.6972062193940003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7.4</v>
      </c>
      <c r="BD57" s="13">
        <f>IF('Données projet'!$A$88&gt;35,BD56+BC57-BL56,IF(A57&lt;'Données projet'!$A$88,$BA$205^A57,IF(A57='Données projet'!$A$88,'Données projet'!$B$88,BD56+BC57-BL56)))</f>
        <v>270.59999999999997</v>
      </c>
      <c r="BE57" s="14">
        <f>BD57*VLOOKUP('Données projet'!$B$11,Paramètres!$A$1:$I$89,3,0)*VLOOKUP('Données projet'!$B$11,Paramètres!$A$1:$I$89,5,0)</f>
        <v>215.28935999999996</v>
      </c>
      <c r="BF57" s="14">
        <f t="shared" si="37"/>
        <v>53.089765227625676</v>
      </c>
      <c r="BG57" s="22">
        <f t="shared" si="7"/>
        <v>467.42697643811471</v>
      </c>
      <c r="BH57" s="62">
        <f t="shared" si="8"/>
        <v>760.76030977144796</v>
      </c>
      <c r="BI57" s="62">
        <f ca="1">AVERAGE(OFFSET($BH$3,0,0,'Données projet'!$E$11+1,1))-AVERAGE(OFFSET($H$3,0,0,'Données projet'!$E$11+1,1))</f>
        <v>352.88510024787888</v>
      </c>
      <c r="BJ57" s="62">
        <f t="shared" si="38"/>
        <v>343.77208530767069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6.3181128642647053</v>
      </c>
      <c r="BR57" s="23">
        <f>EXP(-LN(2)/2)*BR56+(1-EXP(-LN(2)/2))/(LN(2)/2)*BL57*BO57*VLOOKUP('Données projet'!$B$11,Paramètres!$A$1:$I$89,3,0)*0.475*44/12</f>
        <v>9.6379055884391522E-5</v>
      </c>
      <c r="BS57" s="24">
        <f t="shared" si="9"/>
        <v>6.3182092433205899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7.4</v>
      </c>
      <c r="BY57" s="13">
        <f>IF('Données projet'!$A$114&gt;35,BY56+BX57-CG56,IF(A57&lt;'Données projet'!$A$114,$BV$205^A57,IF(A57='Données projet'!$A$114,'Données projet'!$B$114,BY56+BX57-CG56)))</f>
        <v>270.59999999999997</v>
      </c>
      <c r="BZ57" s="14">
        <f>BY57*VLOOKUP('Données projet'!$B$12,Paramètres!$A$1:$I$89,3,0)*VLOOKUP('Données projet'!$B$12,Paramètres!$A$1:$I$89,5,0)</f>
        <v>198.40391999999997</v>
      </c>
      <c r="CA57" s="14">
        <f t="shared" si="39"/>
        <v>49.393234245618814</v>
      </c>
      <c r="CB57" s="22">
        <f t="shared" si="10"/>
        <v>431.5800436444527</v>
      </c>
      <c r="CC57" s="62">
        <f t="shared" si="11"/>
        <v>724.91337697778602</v>
      </c>
      <c r="CD57" s="62">
        <f ca="1">AVERAGE(OFFSET($CC$3,0,0,'Données projet'!$E$12+1,1))-AVERAGE(OFFSET($H$3,0,0,'Données projet'!$E$12+1,1))</f>
        <v>328.10411227536315</v>
      </c>
      <c r="CE57" s="62">
        <f t="shared" si="40"/>
        <v>320.24200483294322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5.6442148552797864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5.6442148552797864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9.375</v>
      </c>
      <c r="CT57" s="13">
        <f>IF('Données projet'!$A$140&gt;35,CT56+CS57-DB56,IF(A57&lt;'Données projet'!$A$140,$CQ$205^A57,IF(A57='Données projet'!$A$140,'Données projet'!$B$140,CT56+CS57-DB56)))</f>
        <v>240.74999999999989</v>
      </c>
      <c r="CU57" s="18">
        <f>CT57*VLOOKUP('Données projet'!$B$13,Paramètres!$A$1:$I$89,3,0)*VLOOKUP('Données projet'!$B$13,Paramètres!$A$1:$I$89,5,0)</f>
        <v>187.78499999999991</v>
      </c>
      <c r="CV57" s="14">
        <f t="shared" si="41"/>
        <v>47.049914090154054</v>
      </c>
      <c r="CW57" s="22">
        <f t="shared" si="13"/>
        <v>409.0041420403515</v>
      </c>
      <c r="CX57" s="62">
        <f t="shared" si="14"/>
        <v>702.33747537368481</v>
      </c>
      <c r="CY57" s="62">
        <f ca="1">AVERAGE(OFFSET($CX$3,0,0,'Données projet'!$E$13+1,1))-AVERAGE(OFFSET($H$3,0,0,'Données projet'!$E$13+1,1))</f>
        <v>288.82868507674738</v>
      </c>
      <c r="CZ57" s="62">
        <f t="shared" si="42"/>
        <v>283.48738729114024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6.3464895446552232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6.3464895446552232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10.199999999999999</v>
      </c>
      <c r="DO57" s="13">
        <f>IF('Données projet'!$A$166&gt;35,DO56+DN57-DW56,IF(A57&lt;'Données projet'!$A$166,$DL$205^A57,IF(A57='Données projet'!$A$166,'Données projet'!$B$166,DO56+DN57-DW56)))</f>
        <v>243.79999999999998</v>
      </c>
      <c r="DP57" s="18">
        <f>DO57*VLOOKUP('Données projet'!$B$14,Paramètres!$A$1:$I$89,3,0)*VLOOKUP('Données projet'!$B$14,Paramètres!$A$1:$I$89,5,0)</f>
        <v>247.2132</v>
      </c>
      <c r="DQ57" s="14">
        <f t="shared" si="43"/>
        <v>59.988800807398761</v>
      </c>
      <c r="DR57" s="22">
        <f t="shared" si="16"/>
        <v>535.04348473955281</v>
      </c>
      <c r="DS57" s="62">
        <f t="shared" si="17"/>
        <v>828.37681807288618</v>
      </c>
      <c r="DT57" s="62">
        <f ca="1">AVERAGE(OFFSET($DS$3,0,0,'Données projet'!$E$14+1,1))-AVERAGE(OFFSET($H$3,0,0,'Données projet'!$E$14+1,1))</f>
        <v>487.04124684635974</v>
      </c>
      <c r="DU57" s="62">
        <f t="shared" si="44"/>
        <v>306.61893266146666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7.6123297605146751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7.6123297605146751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10.199999999999999</v>
      </c>
      <c r="EJ57" s="13">
        <f>IF('Données projet'!$A$192&gt;35,EJ56+EI57-ER56,IF(A57&lt;'Données projet'!$A$192,$EG$205^A57,IF(A57='Données projet'!$A$192,'Données projet'!$B$192,EJ56+EI57-ER56)))</f>
        <v>243.79999999999998</v>
      </c>
      <c r="EK57" s="18">
        <f>EJ57*VLOOKUP('Données projet'!$B$15,Paramètres!$A$1:$I$89,3,0)*VLOOKUP('Données projet'!$B$15,Paramètres!$A$1:$I$89,5,0)</f>
        <v>232.00008</v>
      </c>
      <c r="EL57" s="14">
        <f t="shared" si="45"/>
        <v>56.714927420893837</v>
      </c>
      <c r="EM57" s="22">
        <f t="shared" si="19"/>
        <v>502.84530459139</v>
      </c>
      <c r="EN57" s="62">
        <f t="shared" si="20"/>
        <v>796.17863792472326</v>
      </c>
      <c r="EO57" s="62">
        <f ca="1">AVERAGE(OFFSET($EN$3,0,0,'Données projet'!$E$15+1,1))-AVERAGE(OFFSET($H$3,0,0,'Données projet'!$E$15+1,1))</f>
        <v>459.64120566196812</v>
      </c>
      <c r="EP57" s="62">
        <f t="shared" si="46"/>
        <v>290.39826583283588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7.1438786983291545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7.1438786983291545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10.199999999999999</v>
      </c>
      <c r="FE57" s="13">
        <f>IF('Données projet'!$A$218&gt;35,FE56+FD57-FM56,IF(A57&lt;'Données projet'!$A$218,$FB$205^A57,IF(A57='Données projet'!$A$218,'Données projet'!$B$218,FE56+FD57-FM56)))</f>
        <v>243.79999999999998</v>
      </c>
      <c r="FF57" s="18">
        <f>FE57*VLOOKUP('Données projet'!$B$16,Paramètres!$A$1:$I$89,3,0)*VLOOKUP('Données projet'!$B$16,Paramètres!$A$1:$I$89,5,0)</f>
        <v>163.54103999999998</v>
      </c>
      <c r="FG57" s="14">
        <f t="shared" si="47"/>
        <v>41.640186480597151</v>
      </c>
      <c r="FH57" s="22">
        <f t="shared" si="22"/>
        <v>357.35730278704</v>
      </c>
      <c r="FI57" s="62">
        <f t="shared" si="23"/>
        <v>650.69063612037326</v>
      </c>
      <c r="FJ57" s="62">
        <f ca="1">AVERAGE(OFFSET($FI$3,0,0,'Données projet'!$E$16+1,1))-AVERAGE(OFFSET($H$3,0,0,'Données projet'!$E$16+1,1))</f>
        <v>335.83558218229564</v>
      </c>
      <c r="FK57" s="62">
        <f t="shared" si="48"/>
        <v>217.08423061559648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0</v>
      </c>
      <c r="FR57" s="23">
        <f>EXP(-LN(2)/25)*FR56+(1-EXP(-LN(2)/25))/(LN(2)/25)*Calculateur!FM57*Calculateur!FO57*VLOOKUP('Données projet'!$B$16,Paramètres!$A$1:$I$89,3,0)*0.475*44/12</f>
        <v>4.2889483672028366</v>
      </c>
      <c r="FS57" s="23">
        <f>EXP(-LN(2)/2)*FS56+(1-EXP(-LN(2)/2))/(LN(2)/2)*FM57*FP57*VLOOKUP('Données projet'!$B$16,Paramètres!$A$1:$I$89,3,0)*0.475*44/12</f>
        <v>2.6986812605905653E-3</v>
      </c>
      <c r="FT57" s="24">
        <f t="shared" si="24"/>
        <v>4.2916470484634273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237</v>
      </c>
      <c r="L58" s="13">
        <f>VLOOKUP(A58,'Données projet'!$A$35:$I$55,9,0)</f>
        <v>7.8</v>
      </c>
      <c r="M58" s="13">
        <f t="array" ref="M58">INDEX(L:L,MIN(IF(ISNUMBER(L58:L254),ROW(L58:L254),"")))</f>
        <v>7.8</v>
      </c>
      <c r="N58" s="14">
        <f>IF('Données projet'!$A$36&gt;35,N57+M58-V57,IF(A58&lt;'Données projet'!$A$36,$K$205^A58,IF(A58='Données projet'!$A$36,'Données projet'!$B$36,N57+M58-V57)))</f>
        <v>237.0000000000002</v>
      </c>
      <c r="O58" s="14">
        <f>N58*VLOOKUP('Données projet'!$B$9,Paramètres!$A$1:$I$89,3,0)*VLOOKUP('Données projet'!$B$9,Paramètres!$A$1:$I$89,5,0)</f>
        <v>207.04320000000018</v>
      </c>
      <c r="P58" s="14">
        <f t="shared" si="33"/>
        <v>51.28891823180637</v>
      </c>
      <c r="Q58" s="22">
        <f t="shared" si="53"/>
        <v>449.92843925372966</v>
      </c>
      <c r="R58" s="62">
        <f t="shared" si="0"/>
        <v>743.26177258706298</v>
      </c>
      <c r="S58" s="62">
        <f ca="1">AVERAGE(OFFSET($R$3,0,0,'Données projet'!$E$9+1,1))-AVERAGE(OFFSET($H$3,0,0,'Données projet'!$E$9+1,1))</f>
        <v>321.23599968992932</v>
      </c>
      <c r="T58" s="62">
        <f t="shared" si="34"/>
        <v>388.05195847800502</v>
      </c>
      <c r="U58" s="16">
        <f>IF(ISNA(VLOOKUP(A58,'Données projet'!$A$35:$I$55,3,0)),0,VLOOKUP(A58,'Données projet'!$A$35:$I$55,3,0))</f>
        <v>9</v>
      </c>
      <c r="V58" s="16">
        <f>IF(ISNA(VLOOKUP(A58,'Données projet'!$A$35:$I$55,4,0)),0,VLOOKUP(A58,'Données projet'!$A$35:$I$55,4,0))</f>
        <v>29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12.790776591704009</v>
      </c>
      <c r="AB58" s="23">
        <f>EXP(-LN(2)/2)*AB57+(1-EXP(-LN(2)/2))/(LN(2)/2)*V58*Y58*VLOOKUP('Données projet'!$B$9,Paramètres!$A$1:$I$89,3,0)*0.475*44/12</f>
        <v>3.153411067832916E-3</v>
      </c>
      <c r="AC58" s="24">
        <f t="shared" si="3"/>
        <v>12.793930002771843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254</v>
      </c>
      <c r="AG58" s="13">
        <f>VLOOKUP(A58,'Données projet'!$A$61:$I$81,9,0)</f>
        <v>10.199999999999999</v>
      </c>
      <c r="AH58" s="13">
        <f t="array" ref="AH58">INDEX(AG:AG,MIN(IF(ISNUMBER(AG58:AG254),ROW(AG58:AG254),"")))</f>
        <v>10.199999999999999</v>
      </c>
      <c r="AI58" s="14">
        <f>IF('Données projet'!$A$62&gt;35,AI57+AH58-AQ57,IF(A58&lt;'Données projet'!$A$62,$AF$205^A58,IF(A58='Données projet'!$A$62,'Données projet'!$B$62,AI57+AH58-AQ57)))</f>
        <v>253.99999999999997</v>
      </c>
      <c r="AJ58" s="14">
        <f>AI58*VLOOKUP('Données projet'!$B$10,Paramètres!$A$1:$I$89,3,0)*VLOOKUP('Données projet'!$B$10,Paramètres!$A$1:$I$89,5,0)</f>
        <v>229.81919999999997</v>
      </c>
      <c r="AK58" s="14">
        <f t="shared" si="35"/>
        <v>56.243586554989342</v>
      </c>
      <c r="AL58" s="22">
        <f t="shared" si="4"/>
        <v>498.22601991660639</v>
      </c>
      <c r="AM58" s="62">
        <f t="shared" si="5"/>
        <v>791.5593532499397</v>
      </c>
      <c r="AN58" s="62">
        <f ca="1">AVERAGE(OFFSET($AM$3,0,0,'Données projet'!$E$10+1,1))-AVERAGE(OFFSET($H$3,0,0,'Données projet'!$E$10+1,1))</f>
        <v>439.19854273764042</v>
      </c>
      <c r="AO58" s="62">
        <f t="shared" si="36"/>
        <v>278.21741231699929</v>
      </c>
      <c r="AP58" s="16">
        <f>IF(ISNA(VLOOKUP(A58,'Données projet'!$A$61:$I$81,3,0)),0,VLOOKUP(A58,'Données projet'!$A$61:$I$81,3,0))</f>
        <v>8</v>
      </c>
      <c r="AQ58" s="16">
        <f>IF(ISNA(VLOOKUP(A58,'Données projet'!$A$61:$I$81,4,0)),0,VLOOKUP(A58,'Données projet'!$A$61:$I$81,4,0))</f>
        <v>28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4.5652203248345193</v>
      </c>
      <c r="AW58" s="23">
        <f>EXP(-LN(2)/2)*AW57+(1-EXP(-LN(2)/2))/(LN(2)/2)*AQ58*AT58*VLOOKUP('Données projet'!$B$10,Paramètres!$A$1:$I$89,3,0)*0.475*44/12</f>
        <v>2.5739264543774331E-3</v>
      </c>
      <c r="AX58" s="23">
        <f t="shared" si="6"/>
        <v>4.5677942512888965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278</v>
      </c>
      <c r="BB58" s="13">
        <f>VLOOKUP(A58,'Données projet'!$A$87:$I$107,9,0)</f>
        <v>7.4</v>
      </c>
      <c r="BC58" s="13">
        <f t="array" ref="BC58">INDEX(BB:BB,MIN(IF(ISNUMBER(BB58:BB254),ROW(BB58:BB254),"")))</f>
        <v>7.4</v>
      </c>
      <c r="BD58" s="13">
        <f>IF('Données projet'!$A$88&gt;35,BD57+BC58-BL57,IF(A58&lt;'Données projet'!$A$88,$BA$205^A58,IF(A58='Données projet'!$A$88,'Données projet'!$B$88,BD57+BC58-BL57)))</f>
        <v>277.99999999999994</v>
      </c>
      <c r="BE58" s="14">
        <f>BD58*VLOOKUP('Données projet'!$B$11,Paramètres!$A$1:$I$89,3,0)*VLOOKUP('Données projet'!$B$11,Paramètres!$A$1:$I$89,5,0)</f>
        <v>221.17679999999996</v>
      </c>
      <c r="BF58" s="14">
        <f t="shared" si="37"/>
        <v>54.370577918219368</v>
      </c>
      <c r="BG58" s="22">
        <f t="shared" si="7"/>
        <v>479.91168320756537</v>
      </c>
      <c r="BH58" s="62">
        <f t="shared" si="8"/>
        <v>773.24501654089863</v>
      </c>
      <c r="BI58" s="62">
        <f ca="1">AVERAGE(OFFSET($BH$3,0,0,'Données projet'!$E$11+1,1))-AVERAGE(OFFSET($H$3,0,0,'Données projet'!$E$11+1,1))</f>
        <v>352.88510024787888</v>
      </c>
      <c r="BJ58" s="62">
        <f t="shared" si="38"/>
        <v>343.77208530767069</v>
      </c>
      <c r="BK58" s="16">
        <f>IF(ISNA(VLOOKUP(A58,'Données projet'!$A$87:$I$107,3,0)),0,VLOOKUP(A58,'Données projet'!$A$87:$I$107,3,0))</f>
        <v>10</v>
      </c>
      <c r="BL58" s="16">
        <f>IF(ISNA(VLOOKUP(A58,'Données projet'!$A$87:$I$107,4,0)),0,VLOOKUP(A58,'Données projet'!$A$87:$I$107,4,0))</f>
        <v>16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6.1453437357362715</v>
      </c>
      <c r="BR58" s="23">
        <f>EXP(-LN(2)/2)*BR57+(1-EXP(-LN(2)/2))/(LN(2)/2)*BL58*BO58*VLOOKUP('Données projet'!$B$11,Paramètres!$A$1:$I$89,3,0)*0.475*44/12</f>
        <v>6.8150283980210471E-5</v>
      </c>
      <c r="BS58" s="24">
        <f t="shared" si="9"/>
        <v>6.145411886020252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278</v>
      </c>
      <c r="BW58" s="13">
        <f>VLOOKUP(A58,'Données projet'!$A$113:$I$133,9,0)</f>
        <v>7.4</v>
      </c>
      <c r="BX58" s="13">
        <f t="array" ref="BX58">INDEX(BW:BW,MIN(IF(ISNUMBER(BW58:BW254),ROW(BW58:BW254),"")))</f>
        <v>7.4</v>
      </c>
      <c r="BY58" s="13">
        <f>IF('Données projet'!$A$114&gt;35,BY57+BX58-CG57,IF(A58&lt;'Données projet'!$A$114,$BV$205^A58,IF(A58='Données projet'!$A$114,'Données projet'!$B$114,BY57+BX58-CG57)))</f>
        <v>277.99999999999994</v>
      </c>
      <c r="BZ58" s="14">
        <f>BY58*VLOOKUP('Données projet'!$B$12,Paramètres!$A$1:$I$89,3,0)*VLOOKUP('Données projet'!$B$12,Paramètres!$A$1:$I$89,5,0)</f>
        <v>203.82959999999997</v>
      </c>
      <c r="CA58" s="14">
        <f t="shared" si="39"/>
        <v>50.584866587182425</v>
      </c>
      <c r="CB58" s="22">
        <f t="shared" si="10"/>
        <v>443.10519597267603</v>
      </c>
      <c r="CC58" s="62">
        <f t="shared" si="11"/>
        <v>736.43852930600929</v>
      </c>
      <c r="CD58" s="62">
        <f ca="1">AVERAGE(OFFSET($CC$3,0,0,'Données projet'!$E$12+1,1))-AVERAGE(OFFSET($H$3,0,0,'Données projet'!$E$12+1,1))</f>
        <v>328.10411227536315</v>
      </c>
      <c r="CE58" s="62">
        <f t="shared" si="40"/>
        <v>320.24200483294322</v>
      </c>
      <c r="CF58" s="16">
        <f>IF(ISNA(VLOOKUP(A58,'Données projet'!$A$113:$I$133,3,0)),0,VLOOKUP(A58,'Données projet'!$A$113:$I$133,3,0))</f>
        <v>10</v>
      </c>
      <c r="CG58" s="16">
        <f>IF(ISNA(VLOOKUP(A58,'Données projet'!$A$113:$I$133,4,0)),0,VLOOKUP(A58,'Données projet'!$A$113:$I$133,4,0))</f>
        <v>16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5.5335352445988804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5.5335352445988804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9.375</v>
      </c>
      <c r="CT58" s="13">
        <f>IF('Données projet'!$A$140&gt;35,CT57+CS58-DB57,IF(A58&lt;'Données projet'!$A$140,$CQ$205^A58,IF(A58='Données projet'!$A$140,'Données projet'!$B$140,CT57+CS58-DB57)))</f>
        <v>250.12499999999989</v>
      </c>
      <c r="CU58" s="18">
        <f>CT58*VLOOKUP('Données projet'!$B$13,Paramètres!$A$1:$I$89,3,0)*VLOOKUP('Données projet'!$B$13,Paramètres!$A$1:$I$89,5,0)</f>
        <v>195.09749999999991</v>
      </c>
      <c r="CV58" s="14">
        <f t="shared" si="41"/>
        <v>48.66519532492579</v>
      </c>
      <c r="CW58" s="22">
        <f t="shared" si="13"/>
        <v>424.55336102424553</v>
      </c>
      <c r="CX58" s="62">
        <f t="shared" si="14"/>
        <v>717.88669435757879</v>
      </c>
      <c r="CY58" s="62">
        <f ca="1">AVERAGE(OFFSET($CX$3,0,0,'Données projet'!$E$13+1,1))-AVERAGE(OFFSET($H$3,0,0,'Données projet'!$E$13+1,1))</f>
        <v>288.82868507674738</v>
      </c>
      <c r="CZ58" s="62">
        <f t="shared" si="42"/>
        <v>283.48738729114024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6.2220387556609289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6.2220387556609289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254</v>
      </c>
      <c r="DM58" s="13">
        <f>VLOOKUP(A58,'Données projet'!$A$165:$I$185,9,0)</f>
        <v>10.199999999999999</v>
      </c>
      <c r="DN58" s="13">
        <f t="array" ref="DN58">INDEX(DM:DM,MIN(IF(ISNUMBER(DM58:DM254),ROW(DM58:DM254),"")))</f>
        <v>10.199999999999999</v>
      </c>
      <c r="DO58" s="13">
        <f>IF('Données projet'!$A$166&gt;35,DO57+DN58-DW57,IF(A58&lt;'Données projet'!$A$166,$DL$205^A58,IF(A58='Données projet'!$A$166,'Données projet'!$B$166,DO57+DN58-DW57)))</f>
        <v>253.99999999999997</v>
      </c>
      <c r="DP58" s="18">
        <f>DO58*VLOOKUP('Données projet'!$B$14,Paramètres!$A$1:$I$89,3,0)*VLOOKUP('Données projet'!$B$14,Paramètres!$A$1:$I$89,5,0)</f>
        <v>257.55599999999998</v>
      </c>
      <c r="DQ58" s="14">
        <f t="shared" si="43"/>
        <v>62.201129910568184</v>
      </c>
      <c r="DR58" s="22">
        <f t="shared" si="16"/>
        <v>556.91033459423954</v>
      </c>
      <c r="DS58" s="62">
        <f t="shared" si="17"/>
        <v>850.24366792757291</v>
      </c>
      <c r="DT58" s="62">
        <f ca="1">AVERAGE(OFFSET($DS$3,0,0,'Données projet'!$E$14+1,1))-AVERAGE(OFFSET($H$3,0,0,'Données projet'!$E$14+1,1))</f>
        <v>487.04124684635974</v>
      </c>
      <c r="DU58" s="62">
        <f t="shared" si="44"/>
        <v>306.61893266146666</v>
      </c>
      <c r="DV58" s="16">
        <f>IF(ISNA(VLOOKUP(A58,'Données projet'!$A$165:$I$185,3,0)),0,VLOOKUP(A58,'Données projet'!$A$165:$I$185,3,0))</f>
        <v>8</v>
      </c>
      <c r="DW58" s="16">
        <f>IF(ISNA(VLOOKUP(A58,'Données projet'!$A$165:$I$185,4,0)),0,VLOOKUP(A58,'Données projet'!$A$165:$I$185,4,0))</f>
        <v>28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7.4630566169736721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7.4630566169736721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254</v>
      </c>
      <c r="EH58" s="13">
        <f>VLOOKUP(A58,'Données projet'!$A$191:$I$211,9,0)</f>
        <v>10.199999999999999</v>
      </c>
      <c r="EI58" s="13">
        <f t="array" ref="EI58">INDEX(EH:EH,MIN(IF(ISNUMBER(EH58:EH254),ROW(EH58:EH254),"")))</f>
        <v>10.199999999999999</v>
      </c>
      <c r="EJ58" s="13">
        <f>IF('Données projet'!$A$192&gt;35,EJ57+EI58-ER57,IF(A58&lt;'Données projet'!$A$192,$EG$205^A58,IF(A58='Données projet'!$A$192,'Données projet'!$B$192,EJ57+EI58-ER57)))</f>
        <v>253.99999999999997</v>
      </c>
      <c r="EK58" s="18">
        <f>EJ58*VLOOKUP('Données projet'!$B$15,Paramètres!$A$1:$I$89,3,0)*VLOOKUP('Données projet'!$B$15,Paramètres!$A$1:$I$89,5,0)</f>
        <v>241.70639999999997</v>
      </c>
      <c r="EL58" s="14">
        <f t="shared" si="45"/>
        <v>58.806519231842536</v>
      </c>
      <c r="EM58" s="22">
        <f t="shared" si="19"/>
        <v>523.39333432879232</v>
      </c>
      <c r="EN58" s="62">
        <f t="shared" si="20"/>
        <v>816.72666766212569</v>
      </c>
      <c r="EO58" s="62">
        <f ca="1">AVERAGE(OFFSET($EN$3,0,0,'Données projet'!$E$15+1,1))-AVERAGE(OFFSET($H$3,0,0,'Données projet'!$E$15+1,1))</f>
        <v>459.64120566196812</v>
      </c>
      <c r="EP58" s="62">
        <f t="shared" si="46"/>
        <v>290.39826583283588</v>
      </c>
      <c r="EQ58" s="16">
        <f>IF(ISNA(VLOOKUP(A58,'Données projet'!$A$191:$I$211,3,0)),0,VLOOKUP(A58,'Données projet'!$A$191:$I$211,3,0))</f>
        <v>8</v>
      </c>
      <c r="ER58" s="16">
        <f>IF(ISNA(VLOOKUP(A58,'Données projet'!$A$191:$I$211,4,0)),0,VLOOKUP(A58,'Données projet'!$A$191:$I$211,4,0))</f>
        <v>28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7.0037915943906741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7.0037915943906741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>
        <f>VLOOKUP(A58,'Données projet'!$A$217:$I$237,2,0)</f>
        <v>254</v>
      </c>
      <c r="FC58" s="13">
        <f>VLOOKUP(A58,'Données projet'!$A$217:$I$237,9,0)</f>
        <v>10.199999999999999</v>
      </c>
      <c r="FD58" s="13">
        <f t="array" ref="FD58">INDEX(FC:FC,MIN(IF(ISNUMBER(FC58:FC254),ROW(FC58:FC254),"")))</f>
        <v>10.199999999999999</v>
      </c>
      <c r="FE58" s="13">
        <f>IF('Données projet'!$A$218&gt;35,FE57+FD58-FM57,IF(A58&lt;'Données projet'!$A$218,$FB$205^A58,IF(A58='Données projet'!$A$218,'Données projet'!$B$218,FE57+FD58-FM57)))</f>
        <v>253.99999999999997</v>
      </c>
      <c r="FF58" s="18">
        <f>FE58*VLOOKUP('Données projet'!$B$16,Paramètres!$A$1:$I$89,3,0)*VLOOKUP('Données projet'!$B$16,Paramètres!$A$1:$I$89,5,0)</f>
        <v>170.38319999999999</v>
      </c>
      <c r="FG58" s="14">
        <f t="shared" si="47"/>
        <v>43.175836388122306</v>
      </c>
      <c r="FH58" s="22">
        <f t="shared" si="22"/>
        <v>371.94865504264635</v>
      </c>
      <c r="FI58" s="62">
        <f t="shared" si="23"/>
        <v>665.28198837597961</v>
      </c>
      <c r="FJ58" s="62">
        <f ca="1">AVERAGE(OFFSET($FI$3,0,0,'Données projet'!$E$16+1,1))-AVERAGE(OFFSET($H$3,0,0,'Données projet'!$E$16+1,1))</f>
        <v>335.83558218229564</v>
      </c>
      <c r="FK58" s="62">
        <f t="shared" si="48"/>
        <v>217.08423061559648</v>
      </c>
      <c r="FL58" s="16">
        <f>IF(ISNA(VLOOKUP(A58,'Données projet'!$A$217:$I$237,3,0)),0,VLOOKUP(A58,'Données projet'!$A$217:$I$237,3,0))</f>
        <v>8</v>
      </c>
      <c r="FM58" s="16">
        <f>IF(ISNA(VLOOKUP(A58,'Données projet'!$A$217:$I$237,4,0)),0,VLOOKUP(A58,'Données projet'!$A$217:$I$237,4,0))</f>
        <v>28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0</v>
      </c>
      <c r="FR58" s="23">
        <f>EXP(-LN(2)/25)*FR57+(1-EXP(-LN(2)/25))/(LN(2)/25)*Calculateur!FM58*Calculateur!FO58*VLOOKUP('Données projet'!$B$16,Paramètres!$A$1:$I$89,3,0)*0.475*44/12</f>
        <v>4.1716668485556827</v>
      </c>
      <c r="FS58" s="23">
        <f>EXP(-LN(2)/2)*FS57+(1-EXP(-LN(2)/2))/(LN(2)/2)*FM58*FP58*VLOOKUP('Données projet'!$B$16,Paramètres!$A$1:$I$89,3,0)*0.475*44/12</f>
        <v>1.9082558196246492E-3</v>
      </c>
      <c r="FT58" s="24">
        <f t="shared" si="24"/>
        <v>4.1735751043753071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6.8</v>
      </c>
      <c r="N59" s="14">
        <f>IF('Données projet'!$A$36&gt;35,N58+M59-V58,IF(A59&lt;'Données projet'!$A$36,$K$205^A59,IF(A59='Données projet'!$A$36,'Données projet'!$B$36,N58+M59-V58)))</f>
        <v>214.80000000000021</v>
      </c>
      <c r="O59" s="14">
        <f>N59*VLOOKUP('Données projet'!$B$9,Paramètres!$A$1:$I$89,3,0)*VLOOKUP('Données projet'!$B$9,Paramètres!$A$1:$I$89,5,0)</f>
        <v>187.6492800000002</v>
      </c>
      <c r="P59" s="14">
        <f t="shared" si="33"/>
        <v>47.019866076567546</v>
      </c>
      <c r="Q59" s="22">
        <f t="shared" si="53"/>
        <v>408.71542941668878</v>
      </c>
      <c r="R59" s="62">
        <f t="shared" si="0"/>
        <v>702.04876275002209</v>
      </c>
      <c r="S59" s="62">
        <f ca="1">AVERAGE(OFFSET($R$3,0,0,'Données projet'!$E$9+1,1))-AVERAGE(OFFSET($H$3,0,0,'Données projet'!$E$9+1,1))</f>
        <v>321.23599968992932</v>
      </c>
      <c r="T59" s="62">
        <f t="shared" si="34"/>
        <v>388.05195847800502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12.441012133166156</v>
      </c>
      <c r="AB59" s="23">
        <f>EXP(-LN(2)/2)*AB58+(1-EXP(-LN(2)/2))/(LN(2)/2)*V59*Y59*VLOOKUP('Données projet'!$B$9,Paramètres!$A$1:$I$89,3,0)*0.475*44/12</f>
        <v>2.2297983499333669E-3</v>
      </c>
      <c r="AC59" s="24">
        <f t="shared" si="3"/>
        <v>12.44324193151609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9.4</v>
      </c>
      <c r="AI59" s="14">
        <f>IF('Données projet'!$A$62&gt;35,AI58+AH59-AQ58,IF(A59&lt;'Données projet'!$A$62,$AF$205^A59,IF(A59='Données projet'!$A$62,'Données projet'!$B$62,AI58+AH59-AQ58)))</f>
        <v>235.39999999999998</v>
      </c>
      <c r="AJ59" s="14">
        <f>AI59*VLOOKUP('Données projet'!$B$10,Paramètres!$A$1:$I$89,3,0)*VLOOKUP('Données projet'!$B$10,Paramètres!$A$1:$I$89,5,0)</f>
        <v>212.98991999999998</v>
      </c>
      <c r="AK59" s="14">
        <f t="shared" si="35"/>
        <v>52.588419883221171</v>
      </c>
      <c r="AL59" s="22">
        <f t="shared" si="4"/>
        <v>462.54894196327677</v>
      </c>
      <c r="AM59" s="62">
        <f t="shared" si="5"/>
        <v>755.88227529661003</v>
      </c>
      <c r="AN59" s="62">
        <f ca="1">AVERAGE(OFFSET($AM$3,0,0,'Données projet'!$E$10+1,1))-AVERAGE(OFFSET($H$3,0,0,'Données projet'!$E$10+1,1))</f>
        <v>439.19854273764042</v>
      </c>
      <c r="AO59" s="62">
        <f t="shared" si="36"/>
        <v>278.21741231699929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4.4403841349774167</v>
      </c>
      <c r="AW59" s="23">
        <f>EXP(-LN(2)/2)*AW58+(1-EXP(-LN(2)/2))/(LN(2)/2)*AQ59*AT59*VLOOKUP('Données projet'!$B$10,Paramètres!$A$1:$I$89,3,0)*0.475*44/12</f>
        <v>1.8200408501657297E-3</v>
      </c>
      <c r="AX59" s="23">
        <f t="shared" si="6"/>
        <v>4.4422041758275821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6.4</v>
      </c>
      <c r="BD59" s="13">
        <f>IF('Données projet'!$A$88&gt;35,BD58+BC59-BL58,IF(A59&lt;'Données projet'!$A$88,$BA$205^A59,IF(A59='Données projet'!$A$88,'Données projet'!$B$88,BD58+BC59-BL58)))</f>
        <v>268.39999999999992</v>
      </c>
      <c r="BE59" s="14">
        <f>BD59*VLOOKUP('Données projet'!$B$11,Paramètres!$A$1:$I$89,3,0)*VLOOKUP('Données projet'!$B$11,Paramètres!$A$1:$I$89,5,0)</f>
        <v>213.53903999999994</v>
      </c>
      <c r="BF59" s="14">
        <f t="shared" si="37"/>
        <v>52.708201158564101</v>
      </c>
      <c r="BG59" s="22">
        <f t="shared" si="7"/>
        <v>463.71394501783237</v>
      </c>
      <c r="BH59" s="62">
        <f t="shared" si="8"/>
        <v>757.04727835116569</v>
      </c>
      <c r="BI59" s="62">
        <f ca="1">AVERAGE(OFFSET($BH$3,0,0,'Données projet'!$E$11+1,1))-AVERAGE(OFFSET($H$3,0,0,'Données projet'!$E$11+1,1))</f>
        <v>352.88510024787888</v>
      </c>
      <c r="BJ59" s="62">
        <f t="shared" si="38"/>
        <v>343.77208530767069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5.977298988112981</v>
      </c>
      <c r="BR59" s="23">
        <f>EXP(-LN(2)/2)*BR58+(1-EXP(-LN(2)/2))/(LN(2)/2)*BL59*BO59*VLOOKUP('Données projet'!$B$11,Paramètres!$A$1:$I$89,3,0)*0.475*44/12</f>
        <v>4.8189527942195761E-5</v>
      </c>
      <c r="BS59" s="24">
        <f t="shared" si="9"/>
        <v>5.9773471776409233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6.4</v>
      </c>
      <c r="BY59" s="13">
        <f>IF('Données projet'!$A$114&gt;35,BY58+BX59-CG58,IF(A59&lt;'Données projet'!$A$114,$BV$205^A59,IF(A59='Données projet'!$A$114,'Données projet'!$B$114,BY58+BX59-CG58)))</f>
        <v>268.39999999999992</v>
      </c>
      <c r="BZ59" s="14">
        <f>BY59*VLOOKUP('Données projet'!$B$12,Paramètres!$A$1:$I$89,3,0)*VLOOKUP('Données projet'!$B$12,Paramètres!$A$1:$I$89,5,0)</f>
        <v>196.79087999999993</v>
      </c>
      <c r="CA59" s="14">
        <f t="shared" si="39"/>
        <v>49.038237696621778</v>
      </c>
      <c r="CB59" s="22">
        <f t="shared" si="10"/>
        <v>428.1523799882828</v>
      </c>
      <c r="CC59" s="62">
        <f t="shared" si="11"/>
        <v>721.48571332161612</v>
      </c>
      <c r="CD59" s="62">
        <f ca="1">AVERAGE(OFFSET($CC$3,0,0,'Données projet'!$E$12+1,1))-AVERAGE(OFFSET($H$3,0,0,'Données projet'!$E$12+1,1))</f>
        <v>328.10411227536315</v>
      </c>
      <c r="CE59" s="62">
        <f t="shared" si="40"/>
        <v>320.24200483294322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5.4250259935755301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5.4250259935755301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9.375</v>
      </c>
      <c r="CT59" s="13">
        <f>IF('Données projet'!$A$140&gt;35,CT58+CS59-DB58,IF(A59&lt;'Données projet'!$A$140,$CQ$205^A59,IF(A59='Données projet'!$A$140,'Données projet'!$B$140,CT58+CS59-DB58)))</f>
        <v>259.49999999999989</v>
      </c>
      <c r="CU59" s="18">
        <f>CT59*VLOOKUP('Données projet'!$B$13,Paramètres!$A$1:$I$89,3,0)*VLOOKUP('Données projet'!$B$13,Paramètres!$A$1:$I$89,5,0)</f>
        <v>202.40999999999991</v>
      </c>
      <c r="CV59" s="14">
        <f t="shared" si="41"/>
        <v>50.273442991661817</v>
      </c>
      <c r="CW59" s="22">
        <f t="shared" si="13"/>
        <v>440.09032987714414</v>
      </c>
      <c r="CX59" s="62">
        <f t="shared" si="14"/>
        <v>733.42366321047746</v>
      </c>
      <c r="CY59" s="62">
        <f ca="1">AVERAGE(OFFSET($CX$3,0,0,'Données projet'!$E$13+1,1))-AVERAGE(OFFSET($H$3,0,0,'Données projet'!$E$13+1,1))</f>
        <v>288.82868507674738</v>
      </c>
      <c r="CZ59" s="62">
        <f t="shared" si="42"/>
        <v>283.48738729114024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6.1000283707313274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6.1000283707313274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9.4</v>
      </c>
      <c r="DO59" s="13">
        <f>IF('Données projet'!$A$166&gt;35,DO58+DN59-DW58,IF(A59&lt;'Données projet'!$A$166,$DL$205^A59,IF(A59='Données projet'!$A$166,'Données projet'!$B$166,DO58+DN59-DW58)))</f>
        <v>235.39999999999998</v>
      </c>
      <c r="DP59" s="18">
        <f>DO59*VLOOKUP('Données projet'!$B$14,Paramètres!$A$1:$I$89,3,0)*VLOOKUP('Données projet'!$B$14,Paramètres!$A$1:$I$89,5,0)</f>
        <v>238.69559999999998</v>
      </c>
      <c r="DQ59" s="14">
        <f t="shared" si="43"/>
        <v>58.158793514165929</v>
      </c>
      <c r="DR59" s="22">
        <f t="shared" si="16"/>
        <v>517.02140203717238</v>
      </c>
      <c r="DS59" s="62">
        <f t="shared" si="17"/>
        <v>810.35473537050575</v>
      </c>
      <c r="DT59" s="62">
        <f ca="1">AVERAGE(OFFSET($DS$3,0,0,'Données projet'!$E$14+1,1))-AVERAGE(OFFSET($H$3,0,0,'Données projet'!$E$14+1,1))</f>
        <v>487.04124684635974</v>
      </c>
      <c r="DU59" s="62">
        <f t="shared" si="44"/>
        <v>306.61893266146666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7.3167106287298802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7.3167106287298802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9.4</v>
      </c>
      <c r="EJ59" s="13">
        <f>IF('Données projet'!$A$192&gt;35,EJ58+EI59-ER58,IF(A59&lt;'Données projet'!$A$192,$EG$205^A59,IF(A59='Données projet'!$A$192,'Données projet'!$B$192,EJ58+EI59-ER58)))</f>
        <v>235.39999999999998</v>
      </c>
      <c r="EK59" s="18">
        <f>EJ59*VLOOKUP('Données projet'!$B$15,Paramètres!$A$1:$I$89,3,0)*VLOOKUP('Données projet'!$B$15,Paramètres!$A$1:$I$89,5,0)</f>
        <v>224.00664</v>
      </c>
      <c r="EL59" s="14">
        <f t="shared" si="45"/>
        <v>54.984792305364024</v>
      </c>
      <c r="EM59" s="22">
        <f t="shared" si="19"/>
        <v>485.9100779318423</v>
      </c>
      <c r="EN59" s="62">
        <f t="shared" si="20"/>
        <v>779.24341126517561</v>
      </c>
      <c r="EO59" s="62">
        <f ca="1">AVERAGE(OFFSET($EN$3,0,0,'Données projet'!$E$15+1,1))-AVERAGE(OFFSET($H$3,0,0,'Données projet'!$E$15+1,1))</f>
        <v>459.64120566196812</v>
      </c>
      <c r="EP59" s="62">
        <f t="shared" si="46"/>
        <v>290.39826583283588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6.8664515131157318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6.8664515131157318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9.4</v>
      </c>
      <c r="FE59" s="13">
        <f>IF('Données projet'!$A$218&gt;35,FE58+FD59-FM58,IF(A59&lt;'Données projet'!$A$218,$FB$205^A59,IF(A59='Données projet'!$A$218,'Données projet'!$B$218,FE58+FD59-FM58)))</f>
        <v>235.39999999999998</v>
      </c>
      <c r="FF59" s="18">
        <f>FE59*VLOOKUP('Données projet'!$B$16,Paramètres!$A$1:$I$89,3,0)*VLOOKUP('Données projet'!$B$16,Paramètres!$A$1:$I$89,5,0)</f>
        <v>157.90631999999999</v>
      </c>
      <c r="FG59" s="14">
        <f t="shared" si="47"/>
        <v>40.369918631841159</v>
      </c>
      <c r="FH59" s="22">
        <f t="shared" si="22"/>
        <v>345.33111561712332</v>
      </c>
      <c r="FI59" s="62">
        <f t="shared" si="23"/>
        <v>638.66444895045663</v>
      </c>
      <c r="FJ59" s="62">
        <f ca="1">AVERAGE(OFFSET($FI$3,0,0,'Données projet'!$E$16+1,1))-AVERAGE(OFFSET($H$3,0,0,'Données projet'!$E$16+1,1))</f>
        <v>335.83558218229564</v>
      </c>
      <c r="FK59" s="62">
        <f t="shared" si="48"/>
        <v>217.08423061559648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0</v>
      </c>
      <c r="FR59" s="23">
        <f>EXP(-LN(2)/25)*FR58+(1-EXP(-LN(2)/25))/(LN(2)/25)*Calculateur!FM59*Calculateur!FO59*VLOOKUP('Données projet'!$B$16,Paramètres!$A$1:$I$89,3,0)*0.475*44/12</f>
        <v>4.0575923992035028</v>
      </c>
      <c r="FS59" s="23">
        <f>EXP(-LN(2)/2)*FS58+(1-EXP(-LN(2)/2))/(LN(2)/2)*FM59*FP59*VLOOKUP('Données projet'!$B$16,Paramètres!$A$1:$I$89,3,0)*0.475*44/12</f>
        <v>1.3493406302952829E-3</v>
      </c>
      <c r="FT59" s="24">
        <f t="shared" si="24"/>
        <v>4.0589417398337977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6.8</v>
      </c>
      <c r="N60" s="14">
        <f>IF('Données projet'!$A$36&gt;35,N59+M60-V59,IF(A60&lt;'Données projet'!$A$36,$K$205^A60,IF(A60='Données projet'!$A$36,'Données projet'!$B$36,N59+M60-V59)))</f>
        <v>221.60000000000022</v>
      </c>
      <c r="O60" s="14">
        <f>N60*VLOOKUP('Données projet'!$B$9,Paramètres!$A$1:$I$89,3,0)*VLOOKUP('Données projet'!$B$9,Paramètres!$A$1:$I$89,5,0)</f>
        <v>193.58976000000021</v>
      </c>
      <c r="P60" s="14">
        <f t="shared" si="33"/>
        <v>48.332731202087132</v>
      </c>
      <c r="Q60" s="22">
        <f t="shared" si="53"/>
        <v>421.34833884363542</v>
      </c>
      <c r="R60" s="62">
        <f t="shared" si="0"/>
        <v>714.68167217696873</v>
      </c>
      <c r="S60" s="62">
        <f ca="1">AVERAGE(OFFSET($R$3,0,0,'Données projet'!$E$9+1,1))-AVERAGE(OFFSET($H$3,0,0,'Données projet'!$E$9+1,1))</f>
        <v>321.23599968992932</v>
      </c>
      <c r="T60" s="62">
        <f t="shared" si="34"/>
        <v>388.05195847800502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12.100812002140334</v>
      </c>
      <c r="AB60" s="23">
        <f>EXP(-LN(2)/2)*AB59+(1-EXP(-LN(2)/2))/(LN(2)/2)*V60*Y60*VLOOKUP('Données projet'!$B$9,Paramètres!$A$1:$I$89,3,0)*0.475*44/12</f>
        <v>1.576705533916458E-3</v>
      </c>
      <c r="AC60" s="24">
        <f t="shared" si="3"/>
        <v>12.102388707674249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9.4</v>
      </c>
      <c r="AI60" s="14">
        <f>IF('Données projet'!$A$62&gt;35,AI59+AH60-AQ59,IF(A60&lt;'Données projet'!$A$62,$AF$205^A60,IF(A60='Données projet'!$A$62,'Données projet'!$B$62,AI59+AH60-AQ59)))</f>
        <v>244.79999999999998</v>
      </c>
      <c r="AJ60" s="14">
        <f>AI60*VLOOKUP('Données projet'!$B$10,Paramètres!$A$1:$I$89,3,0)*VLOOKUP('Données projet'!$B$10,Paramètres!$A$1:$I$89,5,0)</f>
        <v>221.49503999999999</v>
      </c>
      <c r="AK60" s="14">
        <f t="shared" si="35"/>
        <v>54.439697086174412</v>
      </c>
      <c r="AL60" s="22">
        <f t="shared" si="4"/>
        <v>480.58633375842032</v>
      </c>
      <c r="AM60" s="62">
        <f t="shared" si="5"/>
        <v>773.91966709175358</v>
      </c>
      <c r="AN60" s="62">
        <f ca="1">AVERAGE(OFFSET($AM$3,0,0,'Données projet'!$E$10+1,1))-AVERAGE(OFFSET($H$3,0,0,'Données projet'!$E$10+1,1))</f>
        <v>439.19854273764042</v>
      </c>
      <c r="AO60" s="62">
        <f t="shared" si="36"/>
        <v>278.21741231699929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4.3189615972968065</v>
      </c>
      <c r="AW60" s="23">
        <f>EXP(-LN(2)/2)*AW59+(1-EXP(-LN(2)/2))/(LN(2)/2)*AQ60*AT60*VLOOKUP('Données projet'!$B$10,Paramètres!$A$1:$I$89,3,0)*0.475*44/12</f>
        <v>1.2869632271887165E-3</v>
      </c>
      <c r="AX60" s="23">
        <f t="shared" si="6"/>
        <v>4.3202485605239955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6.4</v>
      </c>
      <c r="BD60" s="13">
        <f>IF('Données projet'!$A$88&gt;35,BD59+BC60-BL59,IF(A60&lt;'Données projet'!$A$88,$BA$205^A60,IF(A60='Données projet'!$A$88,'Données projet'!$B$88,BD59+BC60-BL59)))</f>
        <v>274.7999999999999</v>
      </c>
      <c r="BE60" s="14">
        <f>BD60*VLOOKUP('Données projet'!$B$11,Paramètres!$A$1:$I$89,3,0)*VLOOKUP('Données projet'!$B$11,Paramètres!$A$1:$I$89,5,0)</f>
        <v>218.63087999999991</v>
      </c>
      <c r="BF60" s="14">
        <f t="shared" si="37"/>
        <v>53.817206223982794</v>
      </c>
      <c r="BG60" s="22">
        <f t="shared" si="7"/>
        <v>474.51375017343656</v>
      </c>
      <c r="BH60" s="62">
        <f t="shared" si="8"/>
        <v>767.84708350676988</v>
      </c>
      <c r="BI60" s="62">
        <f ca="1">AVERAGE(OFFSET($BH$3,0,0,'Données projet'!$E$11+1,1))-AVERAGE(OFFSET($H$3,0,0,'Données projet'!$E$11+1,1))</f>
        <v>352.88510024787888</v>
      </c>
      <c r="BJ60" s="62">
        <f t="shared" si="38"/>
        <v>343.77208530767069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5.8138494329505388</v>
      </c>
      <c r="BR60" s="23">
        <f>EXP(-LN(2)/2)*BR59+(1-EXP(-LN(2)/2))/(LN(2)/2)*BL60*BO60*VLOOKUP('Données projet'!$B$11,Paramètres!$A$1:$I$89,3,0)*0.475*44/12</f>
        <v>3.4075141990105236E-5</v>
      </c>
      <c r="BS60" s="24">
        <f t="shared" si="9"/>
        <v>5.8138835080925286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6.4</v>
      </c>
      <c r="BY60" s="13">
        <f>IF('Données projet'!$A$114&gt;35,BY59+BX60-CG59,IF(A60&lt;'Données projet'!$A$114,$BV$205^A60,IF(A60='Données projet'!$A$114,'Données projet'!$B$114,BY59+BX60-CG59)))</f>
        <v>274.7999999999999</v>
      </c>
      <c r="BZ60" s="14">
        <f>BY60*VLOOKUP('Données projet'!$B$12,Paramètres!$A$1:$I$89,3,0)*VLOOKUP('Données projet'!$B$12,Paramètres!$A$1:$I$89,5,0)</f>
        <v>201.48335999999992</v>
      </c>
      <c r="CA60" s="14">
        <f t="shared" si="39"/>
        <v>50.070025024008594</v>
      </c>
      <c r="CB60" s="22">
        <f t="shared" si="10"/>
        <v>438.12214558348154</v>
      </c>
      <c r="CC60" s="62">
        <f t="shared" si="11"/>
        <v>731.45547891681485</v>
      </c>
      <c r="CD60" s="62">
        <f ca="1">AVERAGE(OFFSET($CC$3,0,0,'Données projet'!$E$12+1,1))-AVERAGE(OFFSET($H$3,0,0,'Données projet'!$E$12+1,1))</f>
        <v>328.10411227536315</v>
      </c>
      <c r="CE60" s="62">
        <f t="shared" si="40"/>
        <v>320.24200483294322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5.318644542780639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5.318644542780639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9.375</v>
      </c>
      <c r="CT60" s="13">
        <f>IF('Données projet'!$A$140&gt;35,CT59+CS60-DB59,IF(A60&lt;'Données projet'!$A$140,$CQ$205^A60,IF(A60='Données projet'!$A$140,'Données projet'!$B$140,CT59+CS60-DB59)))</f>
        <v>268.87499999999989</v>
      </c>
      <c r="CU60" s="18">
        <f>CT60*VLOOKUP('Données projet'!$B$13,Paramètres!$A$1:$I$89,3,0)*VLOOKUP('Données projet'!$B$13,Paramètres!$A$1:$I$89,5,0)</f>
        <v>209.72249999999991</v>
      </c>
      <c r="CV60" s="14">
        <f t="shared" si="41"/>
        <v>51.874940300502246</v>
      </c>
      <c r="CW60" s="22">
        <f t="shared" si="13"/>
        <v>455.61554185670792</v>
      </c>
      <c r="CX60" s="62">
        <f t="shared" si="14"/>
        <v>748.94887519004124</v>
      </c>
      <c r="CY60" s="62">
        <f ca="1">AVERAGE(OFFSET($CX$3,0,0,'Données projet'!$E$13+1,1))-AVERAGE(OFFSET($H$3,0,0,'Données projet'!$E$13+1,1))</f>
        <v>288.82868507674738</v>
      </c>
      <c r="CZ60" s="62">
        <f t="shared" si="42"/>
        <v>283.48738729114024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5.9804105350312087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5.9804105350312087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9.4</v>
      </c>
      <c r="DO60" s="13">
        <f>IF('Données projet'!$A$166&gt;35,DO59+DN60-DW59,IF(A60&lt;'Données projet'!$A$166,$DL$205^A60,IF(A60='Données projet'!$A$166,'Données projet'!$B$166,DO59+DN60-DW59)))</f>
        <v>244.79999999999998</v>
      </c>
      <c r="DP60" s="18">
        <f>DO60*VLOOKUP('Données projet'!$B$14,Paramètres!$A$1:$I$89,3,0)*VLOOKUP('Données projet'!$B$14,Paramètres!$A$1:$I$89,5,0)</f>
        <v>248.22720000000001</v>
      </c>
      <c r="DQ60" s="14">
        <f t="shared" si="43"/>
        <v>60.20616532763993</v>
      </c>
      <c r="DR60" s="22">
        <f t="shared" si="16"/>
        <v>537.18811127897277</v>
      </c>
      <c r="DS60" s="62">
        <f t="shared" si="17"/>
        <v>830.52144461230614</v>
      </c>
      <c r="DT60" s="62">
        <f ca="1">AVERAGE(OFFSET($DS$3,0,0,'Données projet'!$E$14+1,1))-AVERAGE(OFFSET($H$3,0,0,'Données projet'!$E$14+1,1))</f>
        <v>487.04124684635974</v>
      </c>
      <c r="DU60" s="62">
        <f t="shared" si="44"/>
        <v>306.61893266146666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7.1732343960533109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7.1732343960533109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9.4</v>
      </c>
      <c r="EJ60" s="13">
        <f>IF('Données projet'!$A$192&gt;35,EJ59+EI60-ER59,IF(A60&lt;'Données projet'!$A$192,$EG$205^A60,IF(A60='Données projet'!$A$192,'Données projet'!$B$192,EJ59+EI60-ER59)))</f>
        <v>244.79999999999998</v>
      </c>
      <c r="EK60" s="18">
        <f>EJ60*VLOOKUP('Données projet'!$B$15,Paramètres!$A$1:$I$89,3,0)*VLOOKUP('Données projet'!$B$15,Paramètres!$A$1:$I$89,5,0)</f>
        <v>232.95167999999998</v>
      </c>
      <c r="EL60" s="14">
        <f t="shared" si="45"/>
        <v>56.920429328307158</v>
      </c>
      <c r="EM60" s="22">
        <f t="shared" si="19"/>
        <v>504.86059041346829</v>
      </c>
      <c r="EN60" s="62">
        <f t="shared" si="20"/>
        <v>798.1939237468016</v>
      </c>
      <c r="EO60" s="62">
        <f ca="1">AVERAGE(OFFSET($EN$3,0,0,'Données projet'!$E$15+1,1))-AVERAGE(OFFSET($H$3,0,0,'Données projet'!$E$15+1,1))</f>
        <v>459.64120566196812</v>
      </c>
      <c r="EP60" s="62">
        <f t="shared" si="46"/>
        <v>290.39826583283588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6.7318045870654126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6.7318045870654126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9.4</v>
      </c>
      <c r="FE60" s="13">
        <f>IF('Données projet'!$A$218&gt;35,FE59+FD60-FM59,IF(A60&lt;'Données projet'!$A$218,$FB$205^A60,IF(A60='Données projet'!$A$218,'Données projet'!$B$218,FE59+FD60-FM59)))</f>
        <v>244.79999999999998</v>
      </c>
      <c r="FF60" s="18">
        <f>FE60*VLOOKUP('Données projet'!$B$16,Paramètres!$A$1:$I$89,3,0)*VLOOKUP('Données projet'!$B$16,Paramètres!$A$1:$I$89,5,0)</f>
        <v>164.21184</v>
      </c>
      <c r="FG60" s="14">
        <f t="shared" si="47"/>
        <v>41.79106629541738</v>
      </c>
      <c r="FH60" s="22">
        <f t="shared" si="22"/>
        <v>358.78839513118527</v>
      </c>
      <c r="FI60" s="62">
        <f t="shared" si="23"/>
        <v>652.12172846451858</v>
      </c>
      <c r="FJ60" s="62">
        <f ca="1">AVERAGE(OFFSET($FI$3,0,0,'Données projet'!$E$16+1,1))-AVERAGE(OFFSET($H$3,0,0,'Données projet'!$E$16+1,1))</f>
        <v>335.83558218229564</v>
      </c>
      <c r="FK60" s="62">
        <f t="shared" si="48"/>
        <v>217.08423061559648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0</v>
      </c>
      <c r="FR60" s="23">
        <f>EXP(-LN(2)/25)*FR59+(1-EXP(-LN(2)/25))/(LN(2)/25)*Calculateur!FM60*Calculateur!FO60*VLOOKUP('Données projet'!$B$16,Paramètres!$A$1:$I$89,3,0)*0.475*44/12</f>
        <v>3.9466373216677724</v>
      </c>
      <c r="FS60" s="23">
        <f>EXP(-LN(2)/2)*FS59+(1-EXP(-LN(2)/2))/(LN(2)/2)*FM60*FP60*VLOOKUP('Données projet'!$B$16,Paramètres!$A$1:$I$89,3,0)*0.475*44/12</f>
        <v>9.541279098123248E-4</v>
      </c>
      <c r="FT60" s="24">
        <f t="shared" si="24"/>
        <v>3.9475914495775846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6.8</v>
      </c>
      <c r="N61" s="14">
        <f>IF('Données projet'!$A$36&gt;35,N60+M61-V60,IF(A61&lt;'Données projet'!$A$36,$K$205^A61,IF(A61='Données projet'!$A$36,'Données projet'!$B$36,N60+M61-V60)))</f>
        <v>228.40000000000023</v>
      </c>
      <c r="O61" s="14">
        <f>N61*VLOOKUP('Données projet'!$B$9,Paramètres!$A$1:$I$89,3,0)*VLOOKUP('Données projet'!$B$9,Paramètres!$A$1:$I$89,5,0)</f>
        <v>199.53024000000022</v>
      </c>
      <c r="P61" s="14">
        <f t="shared" si="33"/>
        <v>49.640914570461312</v>
      </c>
      <c r="Q61" s="22">
        <f t="shared" si="53"/>
        <v>433.97309421022049</v>
      </c>
      <c r="R61" s="62">
        <f t="shared" si="0"/>
        <v>727.30642754355381</v>
      </c>
      <c r="S61" s="62">
        <f ca="1">AVERAGE(OFFSET($R$3,0,0,'Données projet'!$E$9+1,1))-AVERAGE(OFFSET($H$3,0,0,'Données projet'!$E$9+1,1))</f>
        <v>321.23599968992932</v>
      </c>
      <c r="T61" s="62">
        <f t="shared" si="34"/>
        <v>388.05195847800502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11.769914661587761</v>
      </c>
      <c r="AB61" s="23">
        <f>EXP(-LN(2)/2)*AB60+(1-EXP(-LN(2)/2))/(LN(2)/2)*V61*Y61*VLOOKUP('Données projet'!$B$9,Paramètres!$A$1:$I$89,3,0)*0.475*44/12</f>
        <v>1.1148991749666834E-3</v>
      </c>
      <c r="AC61" s="24">
        <f t="shared" si="3"/>
        <v>11.771029560762727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9.4</v>
      </c>
      <c r="AI61" s="14">
        <f>IF('Données projet'!$A$62&gt;35,AI60+AH61-AQ60,IF(A61&lt;'Données projet'!$A$62,$AF$205^A61,IF(A61='Données projet'!$A$62,'Données projet'!$B$62,AI60+AH61-AQ60)))</f>
        <v>254.2</v>
      </c>
      <c r="AJ61" s="14">
        <f>AI61*VLOOKUP('Données projet'!$B$10,Paramètres!$A$1:$I$89,3,0)*VLOOKUP('Données projet'!$B$10,Paramètres!$A$1:$I$89,5,0)</f>
        <v>230.00015999999997</v>
      </c>
      <c r="AK61" s="14">
        <f t="shared" si="35"/>
        <v>56.282716126880423</v>
      </c>
      <c r="AL61" s="22">
        <f t="shared" si="4"/>
        <v>498.60934258765002</v>
      </c>
      <c r="AM61" s="62">
        <f t="shared" si="5"/>
        <v>791.94267592098333</v>
      </c>
      <c r="AN61" s="62">
        <f ca="1">AVERAGE(OFFSET($AM$3,0,0,'Données projet'!$E$10+1,1))-AVERAGE(OFFSET($H$3,0,0,'Données projet'!$E$10+1,1))</f>
        <v>439.19854273764042</v>
      </c>
      <c r="AO61" s="62">
        <f t="shared" si="36"/>
        <v>278.21741231699929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4.2008593652944057</v>
      </c>
      <c r="AW61" s="23">
        <f>EXP(-LN(2)/2)*AW60+(1-EXP(-LN(2)/2))/(LN(2)/2)*AQ61*AT61*VLOOKUP('Données projet'!$B$10,Paramètres!$A$1:$I$89,3,0)*0.475*44/12</f>
        <v>9.1002042508286484E-4</v>
      </c>
      <c r="AX61" s="23">
        <f t="shared" si="6"/>
        <v>4.2017693857194889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6.4</v>
      </c>
      <c r="BD61" s="13">
        <f>IF('Données projet'!$A$88&gt;35,BD60+BC61-BL60,IF(A61&lt;'Données projet'!$A$88,$BA$205^A61,IF(A61='Données projet'!$A$88,'Données projet'!$B$88,BD60+BC61-BL60)))</f>
        <v>281.19999999999987</v>
      </c>
      <c r="BE61" s="14">
        <f>BD61*VLOOKUP('Données projet'!$B$11,Paramètres!$A$1:$I$89,3,0)*VLOOKUP('Données projet'!$B$11,Paramètres!$A$1:$I$89,5,0)</f>
        <v>223.72271999999992</v>
      </c>
      <c r="BF61" s="14">
        <f t="shared" si="37"/>
        <v>54.923208653192283</v>
      </c>
      <c r="BG61" s="22">
        <f t="shared" si="7"/>
        <v>485.30832573764309</v>
      </c>
      <c r="BH61" s="62">
        <f t="shared" si="8"/>
        <v>778.6416590709764</v>
      </c>
      <c r="BI61" s="62">
        <f ca="1">AVERAGE(OFFSET($BH$3,0,0,'Données projet'!$E$11+1,1))-AVERAGE(OFFSET($H$3,0,0,'Données projet'!$E$11+1,1))</f>
        <v>352.88510024787888</v>
      </c>
      <c r="BJ61" s="62">
        <f t="shared" si="38"/>
        <v>343.77208530767069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5.6548694144694522</v>
      </c>
      <c r="BR61" s="23">
        <f>EXP(-LN(2)/2)*BR60+(1-EXP(-LN(2)/2))/(LN(2)/2)*BL61*BO61*VLOOKUP('Données projet'!$B$11,Paramètres!$A$1:$I$89,3,0)*0.475*44/12</f>
        <v>2.4094763971097881E-5</v>
      </c>
      <c r="BS61" s="24">
        <f t="shared" si="9"/>
        <v>5.6548935092334229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6.4</v>
      </c>
      <c r="BY61" s="13">
        <f>IF('Données projet'!$A$114&gt;35,BY60+BX61-CG60,IF(A61&lt;'Données projet'!$A$114,$BV$205^A61,IF(A61='Données projet'!$A$114,'Données projet'!$B$114,BY60+BX61-CG60)))</f>
        <v>281.19999999999987</v>
      </c>
      <c r="BZ61" s="14">
        <f>BY61*VLOOKUP('Données projet'!$B$12,Paramètres!$A$1:$I$89,3,0)*VLOOKUP('Données projet'!$B$12,Paramètres!$A$1:$I$89,5,0)</f>
        <v>206.17583999999991</v>
      </c>
      <c r="CA61" s="14">
        <f t="shared" si="39"/>
        <v>51.099018782559604</v>
      </c>
      <c r="CB61" s="22">
        <f t="shared" si="10"/>
        <v>448.08704571295783</v>
      </c>
      <c r="CC61" s="62">
        <f t="shared" si="11"/>
        <v>741.42037904629115</v>
      </c>
      <c r="CD61" s="62">
        <f ca="1">AVERAGE(OFFSET($CC$3,0,0,'Données projet'!$E$12+1,1))-AVERAGE(OFFSET($H$3,0,0,'Données projet'!$E$12+1,1))</f>
        <v>328.10411227536315</v>
      </c>
      <c r="CE61" s="62">
        <f t="shared" si="40"/>
        <v>320.24200483294322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5.2143491673495586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5.2143491673495586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9.375</v>
      </c>
      <c r="CT61" s="13">
        <f>IF('Données projet'!$A$140&gt;35,CT60+CS61-DB60,IF(A61&lt;'Données projet'!$A$140,$CQ$205^A61,IF(A61='Données projet'!$A$140,'Données projet'!$B$140,CT60+CS61-DB60)))</f>
        <v>278.24999999999989</v>
      </c>
      <c r="CU61" s="18">
        <f>CT61*VLOOKUP('Données projet'!$B$13,Paramètres!$A$1:$I$89,3,0)*VLOOKUP('Données projet'!$B$13,Paramètres!$A$1:$I$89,5,0)</f>
        <v>217.03499999999991</v>
      </c>
      <c r="CV61" s="14">
        <f t="shared" si="41"/>
        <v>53.469949591969474</v>
      </c>
      <c r="CW61" s="22">
        <f t="shared" si="13"/>
        <v>471.12945387267996</v>
      </c>
      <c r="CX61" s="62">
        <f t="shared" si="14"/>
        <v>764.46278720601322</v>
      </c>
      <c r="CY61" s="62">
        <f ca="1">AVERAGE(OFFSET($CX$3,0,0,'Données projet'!$E$13+1,1))-AVERAGE(OFFSET($H$3,0,0,'Données projet'!$E$13+1,1))</f>
        <v>288.82868507674738</v>
      </c>
      <c r="CZ61" s="62">
        <f t="shared" si="42"/>
        <v>283.48738729114024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5.8631383321294939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5.8631383321294939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9.4</v>
      </c>
      <c r="DO61" s="13">
        <f>IF('Données projet'!$A$166&gt;35,DO60+DN61-DW60,IF(A61&lt;'Données projet'!$A$166,$DL$205^A61,IF(A61='Données projet'!$A$166,'Données projet'!$B$166,DO60+DN61-DW60)))</f>
        <v>254.2</v>
      </c>
      <c r="DP61" s="18">
        <f>DO61*VLOOKUP('Données projet'!$B$14,Paramètres!$A$1:$I$89,3,0)*VLOOKUP('Données projet'!$B$14,Paramètres!$A$1:$I$89,5,0)</f>
        <v>257.75880000000001</v>
      </c>
      <c r="DQ61" s="14">
        <f t="shared" si="43"/>
        <v>62.244404241627407</v>
      </c>
      <c r="DR61" s="22">
        <f t="shared" si="16"/>
        <v>557.33891405416773</v>
      </c>
      <c r="DS61" s="62">
        <f t="shared" si="17"/>
        <v>850.6722473875011</v>
      </c>
      <c r="DT61" s="62">
        <f ca="1">AVERAGE(OFFSET($DS$3,0,0,'Données projet'!$E$14+1,1))-AVERAGE(OFFSET($H$3,0,0,'Données projet'!$E$14+1,1))</f>
        <v>487.04124684635974</v>
      </c>
      <c r="DU61" s="62">
        <f t="shared" si="44"/>
        <v>306.61893266146666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7.0325716447876676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7.0325716447876676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9.4</v>
      </c>
      <c r="EJ61" s="13">
        <f>IF('Données projet'!$A$192&gt;35,EJ60+EI61-ER60,IF(A61&lt;'Données projet'!$A$192,$EG$205^A61,IF(A61='Données projet'!$A$192,'Données projet'!$B$192,EJ60+EI61-ER60)))</f>
        <v>254.2</v>
      </c>
      <c r="EK61" s="18">
        <f>EJ61*VLOOKUP('Données projet'!$B$15,Paramètres!$A$1:$I$89,3,0)*VLOOKUP('Données projet'!$B$15,Paramètres!$A$1:$I$89,5,0)</f>
        <v>241.89671999999999</v>
      </c>
      <c r="EL61" s="14">
        <f t="shared" si="45"/>
        <v>58.847431877406024</v>
      </c>
      <c r="EM61" s="22">
        <f t="shared" si="19"/>
        <v>523.79606451981545</v>
      </c>
      <c r="EN61" s="62">
        <f t="shared" si="20"/>
        <v>817.1293978531487</v>
      </c>
      <c r="EO61" s="62">
        <f ca="1">AVERAGE(OFFSET($EN$3,0,0,'Données projet'!$E$15+1,1))-AVERAGE(OFFSET($H$3,0,0,'Données projet'!$E$15+1,1))</f>
        <v>459.64120566196812</v>
      </c>
      <c r="EP61" s="62">
        <f t="shared" si="46"/>
        <v>290.39826583283588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6.5997980051084246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6.5997980051084246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9.4</v>
      </c>
      <c r="FE61" s="13">
        <f>IF('Données projet'!$A$218&gt;35,FE60+FD61-FM60,IF(A61&lt;'Données projet'!$A$218,$FB$205^A61,IF(A61='Données projet'!$A$218,'Données projet'!$B$218,FE60+FD61-FM60)))</f>
        <v>254.2</v>
      </c>
      <c r="FF61" s="18">
        <f>FE61*VLOOKUP('Données projet'!$B$16,Paramètres!$A$1:$I$89,3,0)*VLOOKUP('Données projet'!$B$16,Paramètres!$A$1:$I$89,5,0)</f>
        <v>170.51736</v>
      </c>
      <c r="FG61" s="14">
        <f t="shared" si="47"/>
        <v>43.205874515087281</v>
      </c>
      <c r="FH61" s="22">
        <f t="shared" si="22"/>
        <v>372.23463344711035</v>
      </c>
      <c r="FI61" s="62">
        <f t="shared" si="23"/>
        <v>665.56796678044361</v>
      </c>
      <c r="FJ61" s="62">
        <f ca="1">AVERAGE(OFFSET($FI$3,0,0,'Données projet'!$E$16+1,1))-AVERAGE(OFFSET($H$3,0,0,'Données projet'!$E$16+1,1))</f>
        <v>335.83558218229564</v>
      </c>
      <c r="FK61" s="62">
        <f t="shared" si="48"/>
        <v>217.08423061559648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0</v>
      </c>
      <c r="FR61" s="23">
        <f>EXP(-LN(2)/25)*FR60+(1-EXP(-LN(2)/25))/(LN(2)/25)*Calculateur!FM61*Calculateur!FO61*VLOOKUP('Données projet'!$B$16,Paramètres!$A$1:$I$89,3,0)*0.475*44/12</f>
        <v>3.8387163165621305</v>
      </c>
      <c r="FS61" s="23">
        <f>EXP(-LN(2)/2)*FS60+(1-EXP(-LN(2)/2))/(LN(2)/2)*FM61*FP61*VLOOKUP('Données projet'!$B$16,Paramètres!$A$1:$I$89,3,0)*0.475*44/12</f>
        <v>6.7467031514764153E-4</v>
      </c>
      <c r="FT61" s="24">
        <f t="shared" si="24"/>
        <v>3.839390986877278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6.8</v>
      </c>
      <c r="N62" s="14">
        <f>IF('Données projet'!$A$36&gt;35,N61+M62-V61,IF(A62&lt;'Données projet'!$A$36,$K$205^A62,IF(A62='Données projet'!$A$36,'Données projet'!$B$36,N61+M62-V61)))</f>
        <v>235.20000000000024</v>
      </c>
      <c r="O62" s="14">
        <f>N62*VLOOKUP('Données projet'!$B$9,Paramètres!$A$1:$I$89,3,0)*VLOOKUP('Données projet'!$B$9,Paramètres!$A$1:$I$89,5,0)</f>
        <v>205.47072000000026</v>
      </c>
      <c r="P62" s="14">
        <f t="shared" si="33"/>
        <v>50.944571570352757</v>
      </c>
      <c r="Q62" s="22">
        <f t="shared" si="53"/>
        <v>446.58996615169809</v>
      </c>
      <c r="R62" s="62">
        <f t="shared" si="0"/>
        <v>739.92329948503141</v>
      </c>
      <c r="S62" s="62">
        <f ca="1">AVERAGE(OFFSET($R$3,0,0,'Données projet'!$E$9+1,1))-AVERAGE(OFFSET($H$3,0,0,'Données projet'!$E$9+1,1))</f>
        <v>321.23599968992932</v>
      </c>
      <c r="T62" s="62">
        <f t="shared" si="34"/>
        <v>388.05195847800502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11.448065726213732</v>
      </c>
      <c r="AB62" s="23">
        <f>EXP(-LN(2)/2)*AB61+(1-EXP(-LN(2)/2))/(LN(2)/2)*V62*Y62*VLOOKUP('Données projet'!$B$9,Paramètres!$A$1:$I$89,3,0)*0.475*44/12</f>
        <v>7.88352766958229E-4</v>
      </c>
      <c r="AC62" s="24">
        <f t="shared" si="3"/>
        <v>11.448854078980691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9.4</v>
      </c>
      <c r="AI62" s="14">
        <f>IF('Données projet'!$A$62&gt;35,AI61+AH62-AQ61,IF(A62&lt;'Données projet'!$A$62,$AF$205^A62,IF(A62='Données projet'!$A$62,'Données projet'!$B$62,AI61+AH62-AQ61)))</f>
        <v>263.59999999999997</v>
      </c>
      <c r="AJ62" s="14">
        <f>AI62*VLOOKUP('Données projet'!$B$10,Paramètres!$A$1:$I$89,3,0)*VLOOKUP('Données projet'!$B$10,Paramètres!$A$1:$I$89,5,0)</f>
        <v>238.50527999999997</v>
      </c>
      <c r="AK62" s="14">
        <f t="shared" si="35"/>
        <v>58.117817352909881</v>
      </c>
      <c r="AL62" s="22">
        <f t="shared" si="4"/>
        <v>516.61856122298457</v>
      </c>
      <c r="AM62" s="62">
        <f t="shared" si="5"/>
        <v>809.95189455631794</v>
      </c>
      <c r="AN62" s="62">
        <f ca="1">AVERAGE(OFFSET($AM$3,0,0,'Données projet'!$E$10+1,1))-AVERAGE(OFFSET($H$3,0,0,'Données projet'!$E$10+1,1))</f>
        <v>439.19854273764042</v>
      </c>
      <c r="AO62" s="62">
        <f t="shared" si="36"/>
        <v>278.21741231699929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4.0859866450368374</v>
      </c>
      <c r="AW62" s="23">
        <f>EXP(-LN(2)/2)*AW61+(1-EXP(-LN(2)/2))/(LN(2)/2)*AQ62*AT62*VLOOKUP('Données projet'!$B$10,Paramètres!$A$1:$I$89,3,0)*0.475*44/12</f>
        <v>6.4348161359435827E-4</v>
      </c>
      <c r="AX62" s="23">
        <f t="shared" si="6"/>
        <v>4.0866301266504319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6.4</v>
      </c>
      <c r="BD62" s="13">
        <f>IF('Données projet'!$A$88&gt;35,BD61+BC62-BL61,IF(A62&lt;'Données projet'!$A$88,$BA$205^A62,IF(A62='Données projet'!$A$88,'Données projet'!$B$88,BD61+BC62-BL61)))</f>
        <v>287.59999999999985</v>
      </c>
      <c r="BE62" s="14">
        <f>BD62*VLOOKUP('Données projet'!$B$11,Paramètres!$A$1:$I$89,3,0)*VLOOKUP('Données projet'!$B$11,Paramètres!$A$1:$I$89,5,0)</f>
        <v>228.81455999999989</v>
      </c>
      <c r="BF62" s="14">
        <f t="shared" si="37"/>
        <v>56.026284651959251</v>
      </c>
      <c r="BG62" s="22">
        <f t="shared" si="7"/>
        <v>496.09780443549545</v>
      </c>
      <c r="BH62" s="62">
        <f t="shared" si="8"/>
        <v>789.43113776882876</v>
      </c>
      <c r="BI62" s="62">
        <f ca="1">AVERAGE(OFFSET($BH$3,0,0,'Données projet'!$E$11+1,1))-AVERAGE(OFFSET($H$3,0,0,'Données projet'!$E$11+1,1))</f>
        <v>352.88510024787888</v>
      </c>
      <c r="BJ62" s="62">
        <f t="shared" si="38"/>
        <v>343.77208530767069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5.500236712954127</v>
      </c>
      <c r="BR62" s="23">
        <f>EXP(-LN(2)/2)*BR61+(1-EXP(-LN(2)/2))/(LN(2)/2)*BL62*BO62*VLOOKUP('Données projet'!$B$11,Paramètres!$A$1:$I$89,3,0)*0.475*44/12</f>
        <v>1.7037570995052618E-5</v>
      </c>
      <c r="BS62" s="24">
        <f t="shared" si="9"/>
        <v>5.5002537505251219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6.4</v>
      </c>
      <c r="BY62" s="13">
        <f>IF('Données projet'!$A$114&gt;35,BY61+BX62-CG61,IF(A62&lt;'Données projet'!$A$114,$BV$205^A62,IF(A62='Données projet'!$A$114,'Données projet'!$B$114,BY61+BX62-CG61)))</f>
        <v>287.59999999999985</v>
      </c>
      <c r="BZ62" s="14">
        <f>BY62*VLOOKUP('Données projet'!$B$12,Paramètres!$A$1:$I$89,3,0)*VLOOKUP('Données projet'!$B$12,Paramètres!$A$1:$I$89,5,0)</f>
        <v>210.86831999999987</v>
      </c>
      <c r="CA62" s="14">
        <f t="shared" si="39"/>
        <v>52.125289871991086</v>
      </c>
      <c r="CB62" s="22">
        <f t="shared" si="10"/>
        <v>458.04720386038417</v>
      </c>
      <c r="CC62" s="62">
        <f t="shared" si="11"/>
        <v>751.38053719371749</v>
      </c>
      <c r="CD62" s="62">
        <f ca="1">AVERAGE(OFFSET($CC$3,0,0,'Données projet'!$E$12+1,1))-AVERAGE(OFFSET($H$3,0,0,'Données projet'!$E$12+1,1))</f>
        <v>328.10411227536315</v>
      </c>
      <c r="CE62" s="62">
        <f t="shared" si="40"/>
        <v>320.24200483294322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5.1120989606167839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5.1120989606167839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9.375</v>
      </c>
      <c r="CT62" s="13">
        <f>IF('Données projet'!$A$140&gt;35,CT61+CS62-DB61,IF(A62&lt;'Données projet'!$A$140,$CQ$205^A62,IF(A62='Données projet'!$A$140,'Données projet'!$B$140,CT61+CS62-DB61)))</f>
        <v>287.62499999999989</v>
      </c>
      <c r="CU62" s="18">
        <f>CT62*VLOOKUP('Données projet'!$B$13,Paramètres!$A$1:$I$89,3,0)*VLOOKUP('Données projet'!$B$13,Paramètres!$A$1:$I$89,5,0)</f>
        <v>224.34749999999991</v>
      </c>
      <c r="CV62" s="14">
        <f t="shared" si="41"/>
        <v>55.058714525680429</v>
      </c>
      <c r="CW62" s="22">
        <f t="shared" si="13"/>
        <v>486.63249029889329</v>
      </c>
      <c r="CX62" s="62">
        <f t="shared" si="14"/>
        <v>779.9658236322266</v>
      </c>
      <c r="CY62" s="62">
        <f ca="1">AVERAGE(OFFSET($CX$3,0,0,'Données projet'!$E$13+1,1))-AVERAGE(OFFSET($H$3,0,0,'Données projet'!$E$13+1,1))</f>
        <v>288.82868507674738</v>
      </c>
      <c r="CZ62" s="62">
        <f t="shared" si="42"/>
        <v>283.48738729114024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5.7481657655977001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5.7481657655977001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9.4</v>
      </c>
      <c r="DO62" s="13">
        <f>IF('Données projet'!$A$166&gt;35,DO61+DN62-DW61,IF(A62&lt;'Données projet'!$A$166,$DL$205^A62,IF(A62='Données projet'!$A$166,'Données projet'!$B$166,DO61+DN62-DW61)))</f>
        <v>263.59999999999997</v>
      </c>
      <c r="DP62" s="18">
        <f>DO62*VLOOKUP('Données projet'!$B$14,Paramètres!$A$1:$I$89,3,0)*VLOOKUP('Données projet'!$B$14,Paramètres!$A$1:$I$89,5,0)</f>
        <v>267.29039999999998</v>
      </c>
      <c r="DQ62" s="14">
        <f t="shared" si="43"/>
        <v>64.273886654661325</v>
      </c>
      <c r="DR62" s="22">
        <f t="shared" si="16"/>
        <v>577.47446592353515</v>
      </c>
      <c r="DS62" s="62">
        <f t="shared" si="17"/>
        <v>870.80779925686852</v>
      </c>
      <c r="DT62" s="62">
        <f ca="1">AVERAGE(OFFSET($DS$3,0,0,'Données projet'!$E$14+1,1))-AVERAGE(OFFSET($H$3,0,0,'Données projet'!$E$14+1,1))</f>
        <v>487.04124684635974</v>
      </c>
      <c r="DU62" s="62">
        <f t="shared" si="44"/>
        <v>306.61893266146666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6.8946672042785373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6.8946672042785373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9.4</v>
      </c>
      <c r="EJ62" s="13">
        <f>IF('Données projet'!$A$192&gt;35,EJ61+EI62-ER61,IF(A62&lt;'Données projet'!$A$192,$EG$205^A62,IF(A62='Données projet'!$A$192,'Données projet'!$B$192,EJ61+EI62-ER61)))</f>
        <v>263.59999999999997</v>
      </c>
      <c r="EK62" s="18">
        <f>EJ62*VLOOKUP('Données projet'!$B$15,Paramètres!$A$1:$I$89,3,0)*VLOOKUP('Données projet'!$B$15,Paramètres!$A$1:$I$89,5,0)</f>
        <v>250.84175999999997</v>
      </c>
      <c r="EL62" s="14">
        <f t="shared" si="45"/>
        <v>60.766155809340432</v>
      </c>
      <c r="EM62" s="22">
        <f t="shared" si="19"/>
        <v>542.71712003460118</v>
      </c>
      <c r="EN62" s="62">
        <f t="shared" si="20"/>
        <v>836.05045336793455</v>
      </c>
      <c r="EO62" s="62">
        <f ca="1">AVERAGE(OFFSET($EN$3,0,0,'Données projet'!$E$15+1,1))-AVERAGE(OFFSET($H$3,0,0,'Données projet'!$E$15+1,1))</f>
        <v>459.64120566196812</v>
      </c>
      <c r="EP62" s="62">
        <f t="shared" si="46"/>
        <v>290.39826583283588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6.4703799917075484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6.4703799917075484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9.4</v>
      </c>
      <c r="FE62" s="13">
        <f>IF('Données projet'!$A$218&gt;35,FE61+FD62-FM61,IF(A62&lt;'Données projet'!$A$218,$FB$205^A62,IF(A62='Données projet'!$A$218,'Données projet'!$B$218,FE61+FD62-FM61)))</f>
        <v>263.59999999999997</v>
      </c>
      <c r="FF62" s="18">
        <f>FE62*VLOOKUP('Données projet'!$B$16,Paramètres!$A$1:$I$89,3,0)*VLOOKUP('Données projet'!$B$16,Paramètres!$A$1:$I$89,5,0)</f>
        <v>176.82287999999997</v>
      </c>
      <c r="FG62" s="14">
        <f t="shared" si="47"/>
        <v>44.614604561369582</v>
      </c>
      <c r="FH62" s="22">
        <f t="shared" si="22"/>
        <v>385.67028561105195</v>
      </c>
      <c r="FI62" s="62">
        <f t="shared" si="23"/>
        <v>679.00361894438527</v>
      </c>
      <c r="FJ62" s="62">
        <f ca="1">AVERAGE(OFFSET($FI$3,0,0,'Données projet'!$E$16+1,1))-AVERAGE(OFFSET($H$3,0,0,'Données projet'!$E$16+1,1))</f>
        <v>335.83558218229564</v>
      </c>
      <c r="FK62" s="62">
        <f t="shared" si="48"/>
        <v>217.08423061559648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0</v>
      </c>
      <c r="FR62" s="23">
        <f>EXP(-LN(2)/25)*FR61+(1-EXP(-LN(2)/25))/(LN(2)/25)*Calculateur!FM62*Calculateur!FO62*VLOOKUP('Données projet'!$B$16,Paramètres!$A$1:$I$89,3,0)*0.475*44/12</f>
        <v>3.7337464170164214</v>
      </c>
      <c r="FS62" s="23">
        <f>EXP(-LN(2)/2)*FS61+(1-EXP(-LN(2)/2))/(LN(2)/2)*FM62*FP62*VLOOKUP('Données projet'!$B$16,Paramètres!$A$1:$I$89,3,0)*0.475*44/12</f>
        <v>4.7706395490616245E-4</v>
      </c>
      <c r="FT62" s="24">
        <f t="shared" si="24"/>
        <v>3.7342234809713277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242</v>
      </c>
      <c r="L63" s="13">
        <f>VLOOKUP(A63,'Données projet'!$A$35:$I$55,9,0)</f>
        <v>6.8</v>
      </c>
      <c r="M63" s="13">
        <f t="array" ref="M63">INDEX(L:L,MIN(IF(ISNUMBER(L63:L259),ROW(L63:L259),"")))</f>
        <v>6.8</v>
      </c>
      <c r="N63" s="14">
        <f>IF('Données projet'!$A$36&gt;35,N62+M63-V62,IF(A63&lt;'Données projet'!$A$36,$K$205^A63,IF(A63='Données projet'!$A$36,'Données projet'!$B$36,N62+M63-V62)))</f>
        <v>242.00000000000026</v>
      </c>
      <c r="O63" s="14">
        <f>N63*VLOOKUP('Données projet'!$B$9,Paramètres!$A$1:$I$89,3,0)*VLOOKUP('Données projet'!$B$9,Paramètres!$A$1:$I$89,5,0)</f>
        <v>211.41120000000024</v>
      </c>
      <c r="P63" s="14">
        <f t="shared" si="33"/>
        <v>52.243848094411206</v>
      </c>
      <c r="Q63" s="22">
        <f t="shared" si="53"/>
        <v>459.19920876443319</v>
      </c>
      <c r="R63" s="62">
        <f t="shared" si="0"/>
        <v>752.53254209776651</v>
      </c>
      <c r="S63" s="62">
        <f ca="1">AVERAGE(OFFSET($R$3,0,0,'Données projet'!$E$9+1,1))-AVERAGE(OFFSET($H$3,0,0,'Données projet'!$E$9+1,1))</f>
        <v>321.23599968992932</v>
      </c>
      <c r="T63" s="62">
        <f t="shared" si="34"/>
        <v>388.05195847800502</v>
      </c>
      <c r="U63" s="16">
        <f>IF(ISNA(VLOOKUP(A63,'Données projet'!$A$35:$I$55,3,0)),0,VLOOKUP(A63,'Données projet'!$A$35:$I$55,3,0))</f>
        <v>10</v>
      </c>
      <c r="V63" s="16">
        <f>IF(ISNA(VLOOKUP(A63,'Données projet'!$A$35:$I$55,4,0)),0,VLOOKUP(A63,'Données projet'!$A$35:$I$55,4,0))</f>
        <v>26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11.135017766902806</v>
      </c>
      <c r="AB63" s="23">
        <f>EXP(-LN(2)/2)*AB62+(1-EXP(-LN(2)/2))/(LN(2)/2)*V63*Y63*VLOOKUP('Données projet'!$B$9,Paramètres!$A$1:$I$89,3,0)*0.475*44/12</f>
        <v>5.5744958748334171E-4</v>
      </c>
      <c r="AC63" s="24">
        <f t="shared" si="3"/>
        <v>11.135575216490288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273</v>
      </c>
      <c r="AG63" s="13">
        <f>VLOOKUP(A63,'Données projet'!$A$61:$I$81,9,0)</f>
        <v>9.4</v>
      </c>
      <c r="AH63" s="13">
        <f t="array" ref="AH63">INDEX(AG:AG,MIN(IF(ISNUMBER(AG63:AG259),ROW(AG63:AG259),"")))</f>
        <v>9.4</v>
      </c>
      <c r="AI63" s="14">
        <f>IF('Données projet'!$A$62&gt;35,AI62+AH63-AQ62,IF(A63&lt;'Données projet'!$A$62,$AF$205^A63,IF(A63='Données projet'!$A$62,'Données projet'!$B$62,AI62+AH63-AQ62)))</f>
        <v>272.99999999999994</v>
      </c>
      <c r="AJ63" s="14">
        <f>AI63*VLOOKUP('Données projet'!$B$10,Paramètres!$A$1:$I$89,3,0)*VLOOKUP('Données projet'!$B$10,Paramètres!$A$1:$I$89,5,0)</f>
        <v>247.01039999999992</v>
      </c>
      <c r="AK63" s="14">
        <f t="shared" si="35"/>
        <v>59.945315462121812</v>
      </c>
      <c r="AL63" s="22">
        <f t="shared" si="4"/>
        <v>534.61453776319524</v>
      </c>
      <c r="AM63" s="62">
        <f t="shared" si="5"/>
        <v>827.94787109652862</v>
      </c>
      <c r="AN63" s="62">
        <f ca="1">AVERAGE(OFFSET($AM$3,0,0,'Données projet'!$E$10+1,1))-AVERAGE(OFFSET($H$3,0,0,'Données projet'!$E$10+1,1))</f>
        <v>439.19854273764042</v>
      </c>
      <c r="AO63" s="62">
        <f t="shared" si="36"/>
        <v>278.21741231699929</v>
      </c>
      <c r="AP63" s="16">
        <f>IF(ISNA(VLOOKUP(A63,'Données projet'!$A$61:$I$81,3,0)),0,VLOOKUP(A63,'Données projet'!$A$61:$I$81,3,0))</f>
        <v>9</v>
      </c>
      <c r="AQ63" s="16">
        <f>IF(ISNA(VLOOKUP(A63,'Données projet'!$A$61:$I$81,4,0)),0,VLOOKUP(A63,'Données projet'!$A$61:$I$81,4,0))</f>
        <v>28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3.9742551253556062</v>
      </c>
      <c r="AW63" s="23">
        <f>EXP(-LN(2)/2)*AW62+(1-EXP(-LN(2)/2))/(LN(2)/2)*AQ63*AT63*VLOOKUP('Données projet'!$B$10,Paramètres!$A$1:$I$89,3,0)*0.475*44/12</f>
        <v>4.5501021254143242E-4</v>
      </c>
      <c r="AX63" s="23">
        <f t="shared" si="6"/>
        <v>3.9747101355681478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294</v>
      </c>
      <c r="BB63" s="13">
        <f>VLOOKUP(A63,'Données projet'!$A$87:$I$107,9,0)</f>
        <v>6.4</v>
      </c>
      <c r="BC63" s="13">
        <f t="array" ref="BC63">INDEX(BB:BB,MIN(IF(ISNUMBER(BB63:BB259),ROW(BB63:BB259),"")))</f>
        <v>6.4</v>
      </c>
      <c r="BD63" s="13">
        <f>IF('Données projet'!$A$88&gt;35,BD62+BC63-BL62,IF(A63&lt;'Données projet'!$A$88,$BA$205^A63,IF(A63='Données projet'!$A$88,'Données projet'!$B$88,BD62+BC63-BL62)))</f>
        <v>293.99999999999983</v>
      </c>
      <c r="BE63" s="14">
        <f>BD63*VLOOKUP('Données projet'!$B$11,Paramètres!$A$1:$I$89,3,0)*VLOOKUP('Données projet'!$B$11,Paramètres!$A$1:$I$89,5,0)</f>
        <v>233.90639999999988</v>
      </c>
      <c r="BF63" s="14">
        <f t="shared" si="37"/>
        <v>57.126506840778347</v>
      </c>
      <c r="BG63" s="22">
        <f t="shared" si="7"/>
        <v>506.88231274768867</v>
      </c>
      <c r="BH63" s="62">
        <f t="shared" si="8"/>
        <v>800.21564608102199</v>
      </c>
      <c r="BI63" s="62">
        <f ca="1">AVERAGE(OFFSET($BH$3,0,0,'Données projet'!$E$11+1,1))-AVERAGE(OFFSET($H$3,0,0,'Données projet'!$E$11+1,1))</f>
        <v>352.88510024787888</v>
      </c>
      <c r="BJ63" s="62">
        <f t="shared" si="38"/>
        <v>343.77208530767069</v>
      </c>
      <c r="BK63" s="16">
        <f>IF(ISNA(VLOOKUP(A63,'Données projet'!$A$87:$I$107,3,0)),0,VLOOKUP(A63,'Données projet'!$A$87:$I$107,3,0))</f>
        <v>11</v>
      </c>
      <c r="BL63" s="16">
        <f>IF(ISNA(VLOOKUP(A63,'Données projet'!$A$87:$I$107,4,0)),0,VLOOKUP(A63,'Données projet'!$A$87:$I$107,4,0))</f>
        <v>14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5.3498324507935182</v>
      </c>
      <c r="BR63" s="23">
        <f>EXP(-LN(2)/2)*BR62+(1-EXP(-LN(2)/2))/(LN(2)/2)*BL63*BO63*VLOOKUP('Données projet'!$B$11,Paramètres!$A$1:$I$89,3,0)*0.475*44/12</f>
        <v>1.204738198554894E-5</v>
      </c>
      <c r="BS63" s="24">
        <f t="shared" si="9"/>
        <v>5.3498444981755036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294</v>
      </c>
      <c r="BW63" s="13">
        <f>VLOOKUP(A63,'Données projet'!$A$113:$I$133,9,0)</f>
        <v>6.4</v>
      </c>
      <c r="BX63" s="13">
        <f t="array" ref="BX63">INDEX(BW:BW,MIN(IF(ISNUMBER(BW63:BW259),ROW(BW63:BW259),"")))</f>
        <v>6.4</v>
      </c>
      <c r="BY63" s="13">
        <f>IF('Données projet'!$A$114&gt;35,BY62+BX63-CG62,IF(A63&lt;'Données projet'!$A$114,$BV$205^A63,IF(A63='Données projet'!$A$114,'Données projet'!$B$114,BY62+BX63-CG62)))</f>
        <v>293.99999999999983</v>
      </c>
      <c r="BZ63" s="14">
        <f>BY63*VLOOKUP('Données projet'!$B$12,Paramètres!$A$1:$I$89,3,0)*VLOOKUP('Données projet'!$B$12,Paramètres!$A$1:$I$89,5,0)</f>
        <v>215.56079999999989</v>
      </c>
      <c r="CA63" s="14">
        <f t="shared" si="39"/>
        <v>53.14890585638225</v>
      </c>
      <c r="CB63" s="22">
        <f t="shared" si="10"/>
        <v>468.00273769986552</v>
      </c>
      <c r="CC63" s="62">
        <f t="shared" si="11"/>
        <v>761.33607103319878</v>
      </c>
      <c r="CD63" s="62">
        <f ca="1">AVERAGE(OFFSET($CC$3,0,0,'Données projet'!$E$12+1,1))-AVERAGE(OFFSET($H$3,0,0,'Données projet'!$E$12+1,1))</f>
        <v>328.10411227536315</v>
      </c>
      <c r="CE63" s="62">
        <f t="shared" si="40"/>
        <v>320.24200483294322</v>
      </c>
      <c r="CF63" s="16">
        <f>IF(ISNA(VLOOKUP(A63,'Données projet'!$A$113:$I$133,3,0)),0,VLOOKUP(A63,'Données projet'!$A$113:$I$133,3,0))</f>
        <v>11</v>
      </c>
      <c r="CG63" s="16">
        <f>IF(ISNA(VLOOKUP(A63,'Données projet'!$A$113:$I$133,4,0)),0,VLOOKUP(A63,'Données projet'!$A$113:$I$133,4,0))</f>
        <v>14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5.0118538180715708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5.0118538180715708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297</v>
      </c>
      <c r="CR63" s="13">
        <f>VLOOKUP(A63,'Données projet'!$A$139:$I$159,9,0)</f>
        <v>9.375</v>
      </c>
      <c r="CS63" s="13">
        <f t="array" ref="CS63">INDEX(CR:CR,MIN(IF(ISNUMBER(CR63:CR259),ROW(CR63:CR259),"")))</f>
        <v>9.375</v>
      </c>
      <c r="CT63" s="13">
        <f>IF('Données projet'!$A$140&gt;35,CT62+CS63-DB62,IF(A63&lt;'Données projet'!$A$140,$CQ$205^A63,IF(A63='Données projet'!$A$140,'Données projet'!$B$140,CT62+CS63-DB62)))</f>
        <v>296.99999999999989</v>
      </c>
      <c r="CU63" s="18">
        <f>CT63*VLOOKUP('Données projet'!$B$13,Paramètres!$A$1:$I$89,3,0)*VLOOKUP('Données projet'!$B$13,Paramètres!$A$1:$I$89,5,0)</f>
        <v>231.65999999999991</v>
      </c>
      <c r="CV63" s="14">
        <f t="shared" si="41"/>
        <v>56.641461975682766</v>
      </c>
      <c r="CW63" s="22">
        <f t="shared" si="13"/>
        <v>502.125046274314</v>
      </c>
      <c r="CX63" s="62">
        <f t="shared" si="14"/>
        <v>795.45837960764732</v>
      </c>
      <c r="CY63" s="62">
        <f ca="1">AVERAGE(OFFSET($CX$3,0,0,'Données projet'!$E$13+1,1))-AVERAGE(OFFSET($H$3,0,0,'Données projet'!$E$13+1,1))</f>
        <v>288.82868507674738</v>
      </c>
      <c r="CZ63" s="62">
        <f t="shared" si="42"/>
        <v>283.48738729114024</v>
      </c>
      <c r="DA63" s="16">
        <f>IF(ISNA(VLOOKUP(A63,'Données projet'!$A$139:$I$159,3,0)),0,VLOOKUP(A63,'Données projet'!$A$139:$I$159,3,0))</f>
        <v>8</v>
      </c>
      <c r="DB63" s="16">
        <f>IF(ISNA(VLOOKUP(A63,'Données projet'!$A$139:$I$159,4,0)),0,VLOOKUP(A63,'Données projet'!$A$139:$I$159,4,0))</f>
        <v>47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5.635447740969254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5.635447740969254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273</v>
      </c>
      <c r="DM63" s="13">
        <f>VLOOKUP(A63,'Données projet'!$A$165:$I$185,9,0)</f>
        <v>9.4</v>
      </c>
      <c r="DN63" s="13">
        <f t="array" ref="DN63">INDEX(DM:DM,MIN(IF(ISNUMBER(DM63:DM259),ROW(DM63:DM259),"")))</f>
        <v>9.4</v>
      </c>
      <c r="DO63" s="13">
        <f>IF('Données projet'!$A$166&gt;35,DO62+DN63-DW62,IF(A63&lt;'Données projet'!$A$166,$DL$205^A63,IF(A63='Données projet'!$A$166,'Données projet'!$B$166,DO62+DN63-DW62)))</f>
        <v>272.99999999999994</v>
      </c>
      <c r="DP63" s="18">
        <f>DO63*VLOOKUP('Données projet'!$B$14,Paramètres!$A$1:$I$89,3,0)*VLOOKUP('Données projet'!$B$14,Paramètres!$A$1:$I$89,5,0)</f>
        <v>276.82199999999995</v>
      </c>
      <c r="DQ63" s="14">
        <f t="shared" si="43"/>
        <v>66.29496059864374</v>
      </c>
      <c r="DR63" s="22">
        <f t="shared" si="16"/>
        <v>597.59537304263779</v>
      </c>
      <c r="DS63" s="62">
        <f t="shared" si="17"/>
        <v>890.92870637597116</v>
      </c>
      <c r="DT63" s="62">
        <f ca="1">AVERAGE(OFFSET($DS$3,0,0,'Données projet'!$E$14+1,1))-AVERAGE(OFFSET($H$3,0,0,'Données projet'!$E$14+1,1))</f>
        <v>487.04124684635974</v>
      </c>
      <c r="DU63" s="62">
        <f t="shared" si="44"/>
        <v>306.61893266146666</v>
      </c>
      <c r="DV63" s="16">
        <f>IF(ISNA(VLOOKUP(A63,'Données projet'!$A$165:$I$185,3,0)),0,VLOOKUP(A63,'Données projet'!$A$165:$I$185,3,0))</f>
        <v>9</v>
      </c>
      <c r="DW63" s="16">
        <f>IF(ISNA(VLOOKUP(A63,'Données projet'!$A$165:$I$185,4,0)),0,VLOOKUP(A63,'Données projet'!$A$165:$I$185,4,0))</f>
        <v>28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6.7594669857343881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6.7594669857343881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273</v>
      </c>
      <c r="EH63" s="13">
        <f>VLOOKUP(A63,'Données projet'!$A$191:$I$211,9,0)</f>
        <v>9.4</v>
      </c>
      <c r="EI63" s="13">
        <f t="array" ref="EI63">INDEX(EH:EH,MIN(IF(ISNUMBER(EH63:EH259),ROW(EH63:EH259),"")))</f>
        <v>9.4</v>
      </c>
      <c r="EJ63" s="13">
        <f>IF('Données projet'!$A$192&gt;35,EJ62+EI63-ER62,IF(A63&lt;'Données projet'!$A$192,$EG$205^A63,IF(A63='Données projet'!$A$192,'Données projet'!$B$192,EJ62+EI63-ER62)))</f>
        <v>272.99999999999994</v>
      </c>
      <c r="EK63" s="18">
        <f>EJ63*VLOOKUP('Données projet'!$B$15,Paramètres!$A$1:$I$89,3,0)*VLOOKUP('Données projet'!$B$15,Paramètres!$A$1:$I$89,5,0)</f>
        <v>259.78679999999997</v>
      </c>
      <c r="EL63" s="14">
        <f t="shared" si="45"/>
        <v>62.676930162260739</v>
      </c>
      <c r="EM63" s="22">
        <f t="shared" si="19"/>
        <v>561.62433003260401</v>
      </c>
      <c r="EN63" s="62">
        <f t="shared" si="20"/>
        <v>854.95766336593738</v>
      </c>
      <c r="EO63" s="62">
        <f ca="1">AVERAGE(OFFSET($EN$3,0,0,'Données projet'!$E$15+1,1))-AVERAGE(OFFSET($H$3,0,0,'Données projet'!$E$15+1,1))</f>
        <v>459.64120566196812</v>
      </c>
      <c r="EP63" s="62">
        <f t="shared" si="46"/>
        <v>290.39826583283588</v>
      </c>
      <c r="EQ63" s="16">
        <f>IF(ISNA(VLOOKUP(A63,'Données projet'!$A$191:$I$211,3,0)),0,VLOOKUP(A63,'Données projet'!$A$191:$I$211,3,0))</f>
        <v>9</v>
      </c>
      <c r="ER63" s="16">
        <f>IF(ISNA(VLOOKUP(A63,'Données projet'!$A$191:$I$211,4,0)),0,VLOOKUP(A63,'Données projet'!$A$191:$I$211,4,0))</f>
        <v>28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6.34349978661227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6.34349978661227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273</v>
      </c>
      <c r="FC63" s="13">
        <f>VLOOKUP(A63,'Données projet'!$A$217:$I$237,9,0)</f>
        <v>9.4</v>
      </c>
      <c r="FD63" s="13">
        <f t="array" ref="FD63">INDEX(FC:FC,MIN(IF(ISNUMBER(FC63:FC259),ROW(FC63:FC259),"")))</f>
        <v>9.4</v>
      </c>
      <c r="FE63" s="13">
        <f>IF('Données projet'!$A$218&gt;35,FE62+FD63-FM62,IF(A63&lt;'Données projet'!$A$218,$FB$205^A63,IF(A63='Données projet'!$A$218,'Données projet'!$B$218,FE62+FD63-FM62)))</f>
        <v>272.99999999999994</v>
      </c>
      <c r="FF63" s="18">
        <f>FE63*VLOOKUP('Données projet'!$B$16,Paramètres!$A$1:$I$89,3,0)*VLOOKUP('Données projet'!$B$16,Paramètres!$A$1:$I$89,5,0)</f>
        <v>183.12839999999997</v>
      </c>
      <c r="FG63" s="14">
        <f t="shared" si="47"/>
        <v>46.017498014577676</v>
      </c>
      <c r="FH63" s="22">
        <f t="shared" si="22"/>
        <v>399.09577237538934</v>
      </c>
      <c r="FI63" s="62">
        <f t="shared" si="23"/>
        <v>692.42910570872266</v>
      </c>
      <c r="FJ63" s="62">
        <f ca="1">AVERAGE(OFFSET($FI$3,0,0,'Données projet'!$E$16+1,1))-AVERAGE(OFFSET($H$3,0,0,'Données projet'!$E$16+1,1))</f>
        <v>335.83558218229564</v>
      </c>
      <c r="FK63" s="62">
        <f t="shared" si="48"/>
        <v>217.08423061559648</v>
      </c>
      <c r="FL63" s="16">
        <f>IF(ISNA(VLOOKUP(A63,'Données projet'!$A$217:$I$237,3,0)),0,VLOOKUP(A63,'Données projet'!$A$217:$I$237,3,0))</f>
        <v>9</v>
      </c>
      <c r="FM63" s="16">
        <f>IF(ISNA(VLOOKUP(A63,'Données projet'!$A$217:$I$237,4,0)),0,VLOOKUP(A63,'Données projet'!$A$217:$I$237,4,0))</f>
        <v>28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0</v>
      </c>
      <c r="FR63" s="23">
        <f>EXP(-LN(2)/25)*FR62+(1-EXP(-LN(2)/25))/(LN(2)/25)*Calculateur!FM63*Calculateur!FO63*VLOOKUP('Données projet'!$B$16,Paramètres!$A$1:$I$89,3,0)*0.475*44/12</f>
        <v>3.6316469248939169</v>
      </c>
      <c r="FS63" s="23">
        <f>EXP(-LN(2)/2)*FS62+(1-EXP(-LN(2)/2))/(LN(2)/2)*FM63*FP63*VLOOKUP('Données projet'!$B$16,Paramètres!$A$1:$I$89,3,0)*0.475*44/12</f>
        <v>3.3733515757382082E-4</v>
      </c>
      <c r="FT63" s="24">
        <f t="shared" si="24"/>
        <v>3.6319842600514907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6</v>
      </c>
      <c r="N64" s="14">
        <f>IF('Données projet'!$A$36&gt;35,N63+M64-V63,IF(A64&lt;'Données projet'!$A$36,$K$205^A64,IF(A64='Données projet'!$A$36,'Données projet'!$B$36,N63+M64-V63)))</f>
        <v>222.00000000000026</v>
      </c>
      <c r="O64" s="14">
        <f>N64*VLOOKUP('Données projet'!$B$9,Paramètres!$A$1:$I$89,3,0)*VLOOKUP('Données projet'!$B$9,Paramètres!$A$1:$I$89,5,0)</f>
        <v>193.93920000000023</v>
      </c>
      <c r="P64" s="14">
        <f t="shared" si="33"/>
        <v>48.409811198069427</v>
      </c>
      <c r="Q64" s="22">
        <f t="shared" si="53"/>
        <v>422.09119450330468</v>
      </c>
      <c r="R64" s="62">
        <f t="shared" si="0"/>
        <v>715.42452783663794</v>
      </c>
      <c r="S64" s="62">
        <f ca="1">AVERAGE(OFFSET($R$3,0,0,'Données projet'!$E$9+1,1))-AVERAGE(OFFSET($H$3,0,0,'Données projet'!$E$9+1,1))</f>
        <v>321.23599968992932</v>
      </c>
      <c r="T64" s="62">
        <f t="shared" si="34"/>
        <v>388.05195847800502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10.830530120501713</v>
      </c>
      <c r="AB64" s="23">
        <f>EXP(-LN(2)/2)*AB63+(1-EXP(-LN(2)/2))/(LN(2)/2)*V64*Y64*VLOOKUP('Données projet'!$B$9,Paramètres!$A$1:$I$89,3,0)*0.475*44/12</f>
        <v>3.941763834791145E-4</v>
      </c>
      <c r="AC64" s="24">
        <f t="shared" si="3"/>
        <v>10.830924296885192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8.8000000000000007</v>
      </c>
      <c r="AI64" s="14">
        <f>IF('Données projet'!$A$62&gt;35,AI63+AH64-AQ63,IF(A64&lt;'Données projet'!$A$62,$AF$205^A64,IF(A64='Données projet'!$A$62,'Données projet'!$B$62,AI63+AH64-AQ63)))</f>
        <v>253.79999999999995</v>
      </c>
      <c r="AJ64" s="14">
        <f>AI64*VLOOKUP('Données projet'!$B$10,Paramètres!$A$1:$I$89,3,0)*VLOOKUP('Données projet'!$B$10,Paramètres!$A$1:$I$89,5,0)</f>
        <v>229.63823999999994</v>
      </c>
      <c r="AK64" s="14">
        <f t="shared" si="35"/>
        <v>56.204453396569633</v>
      </c>
      <c r="AL64" s="22">
        <f t="shared" si="4"/>
        <v>497.84269099902531</v>
      </c>
      <c r="AM64" s="62">
        <f t="shared" si="5"/>
        <v>791.17602433235857</v>
      </c>
      <c r="AN64" s="62">
        <f ca="1">AVERAGE(OFFSET($AM$3,0,0,'Données projet'!$E$10+1,1))-AVERAGE(OFFSET($H$3,0,0,'Données projet'!$E$10+1,1))</f>
        <v>439.19854273764042</v>
      </c>
      <c r="AO64" s="62">
        <f t="shared" si="36"/>
        <v>278.21741231699929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3.8655789099557634</v>
      </c>
      <c r="AW64" s="23">
        <f>EXP(-LN(2)/2)*AW63+(1-EXP(-LN(2)/2))/(LN(2)/2)*AQ64*AT64*VLOOKUP('Données projet'!$B$10,Paramètres!$A$1:$I$89,3,0)*0.475*44/12</f>
        <v>3.2174080679717913E-4</v>
      </c>
      <c r="AX64" s="23">
        <f t="shared" si="6"/>
        <v>3.8659006507625606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5.2</v>
      </c>
      <c r="BD64" s="13">
        <f>IF('Données projet'!$A$88&gt;35,BD63+BC64-BL63,IF(A64&lt;'Données projet'!$A$88,$BA$205^A64,IF(A64='Données projet'!$A$88,'Données projet'!$B$88,BD63+BC64-BL63)))</f>
        <v>285.19999999999982</v>
      </c>
      <c r="BE64" s="14">
        <f>BD64*VLOOKUP('Données projet'!$B$11,Paramètres!$A$1:$I$89,3,0)*VLOOKUP('Données projet'!$B$11,Paramètres!$A$1:$I$89,5,0)</f>
        <v>226.90511999999987</v>
      </c>
      <c r="BF64" s="14">
        <f t="shared" si="37"/>
        <v>55.612969408444364</v>
      </c>
      <c r="BG64" s="22">
        <f t="shared" si="7"/>
        <v>492.05233905304038</v>
      </c>
      <c r="BH64" s="62">
        <f t="shared" si="8"/>
        <v>785.3856723863737</v>
      </c>
      <c r="BI64" s="62">
        <f ca="1">AVERAGE(OFFSET($BH$3,0,0,'Données projet'!$E$11+1,1))-AVERAGE(OFFSET($H$3,0,0,'Données projet'!$E$11+1,1))</f>
        <v>352.88510024787888</v>
      </c>
      <c r="BJ64" s="62">
        <f t="shared" si="38"/>
        <v>343.77208530767069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5.2035410010911081</v>
      </c>
      <c r="BR64" s="23">
        <f>EXP(-LN(2)/2)*BR63+(1-EXP(-LN(2)/2))/(LN(2)/2)*BL64*BO64*VLOOKUP('Données projet'!$B$11,Paramètres!$A$1:$I$89,3,0)*0.475*44/12</f>
        <v>8.5187854975263089E-6</v>
      </c>
      <c r="BS64" s="24">
        <f t="shared" si="9"/>
        <v>5.2035495198766055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5.2</v>
      </c>
      <c r="BY64" s="13">
        <f>IF('Données projet'!$A$114&gt;35,BY63+BX64-CG63,IF(A64&lt;'Données projet'!$A$114,$BV$205^A64,IF(A64='Données projet'!$A$114,'Données projet'!$B$114,BY63+BX64-CG63)))</f>
        <v>285.19999999999982</v>
      </c>
      <c r="BZ64" s="14">
        <f>BY64*VLOOKUP('Données projet'!$B$12,Paramètres!$A$1:$I$89,3,0)*VLOOKUP('Données projet'!$B$12,Paramètres!$A$1:$I$89,5,0)</f>
        <v>209.10863999999984</v>
      </c>
      <c r="CA64" s="14">
        <f t="shared" si="39"/>
        <v>51.740752917406994</v>
      </c>
      <c r="CB64" s="22">
        <f t="shared" si="10"/>
        <v>454.31269266448356</v>
      </c>
      <c r="CC64" s="62">
        <f t="shared" si="11"/>
        <v>747.64602599781688</v>
      </c>
      <c r="CD64" s="62">
        <f ca="1">AVERAGE(OFFSET($CC$3,0,0,'Données projet'!$E$12+1,1))-AVERAGE(OFFSET($H$3,0,0,'Données projet'!$E$12+1,1))</f>
        <v>328.10411227536315</v>
      </c>
      <c r="CE64" s="62">
        <f t="shared" si="40"/>
        <v>320.24200483294322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4.9135744216281694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4.9135744216281694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8.6666666666666661</v>
      </c>
      <c r="CT64" s="13">
        <f>IF('Données projet'!$A$140&gt;35,CT63+CS64-DB63,IF(A64&lt;'Données projet'!$A$140,$CQ$205^A64,IF(A64='Données projet'!$A$140,'Données projet'!$B$140,CT63+CS64-DB63)))</f>
        <v>258.66666666666657</v>
      </c>
      <c r="CU64" s="18">
        <f>CT64*VLOOKUP('Données projet'!$B$13,Paramètres!$A$1:$I$89,3,0)*VLOOKUP('Données projet'!$B$13,Paramètres!$A$1:$I$89,5,0)</f>
        <v>201.75999999999993</v>
      </c>
      <c r="CV64" s="14">
        <f t="shared" si="41"/>
        <v>50.130765000424169</v>
      </c>
      <c r="CW64" s="22">
        <f t="shared" si="13"/>
        <v>438.70974904240529</v>
      </c>
      <c r="CX64" s="62">
        <f t="shared" si="14"/>
        <v>732.04308237573855</v>
      </c>
      <c r="CY64" s="62">
        <f ca="1">AVERAGE(OFFSET($CX$3,0,0,'Données projet'!$E$13+1,1))-AVERAGE(OFFSET($H$3,0,0,'Données projet'!$E$13+1,1))</f>
        <v>288.82868507674738</v>
      </c>
      <c r="CZ64" s="62">
        <f t="shared" si="42"/>
        <v>283.48738729114024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5.5249400480525654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5.5249400480525654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8.8000000000000007</v>
      </c>
      <c r="DO64" s="13">
        <f>IF('Données projet'!$A$166&gt;35,DO63+DN64-DW63,IF(A64&lt;'Données projet'!$A$166,$DL$205^A64,IF(A64='Données projet'!$A$166,'Données projet'!$B$166,DO63+DN64-DW63)))</f>
        <v>253.79999999999995</v>
      </c>
      <c r="DP64" s="18">
        <f>DO64*VLOOKUP('Données projet'!$B$14,Paramètres!$A$1:$I$89,3,0)*VLOOKUP('Données projet'!$B$14,Paramètres!$A$1:$I$89,5,0)</f>
        <v>257.35319999999996</v>
      </c>
      <c r="DQ64" s="14">
        <f t="shared" si="43"/>
        <v>62.157851613080908</v>
      </c>
      <c r="DR64" s="22">
        <f t="shared" si="16"/>
        <v>556.48174822611588</v>
      </c>
      <c r="DS64" s="62">
        <f t="shared" si="17"/>
        <v>849.81508155944925</v>
      </c>
      <c r="DT64" s="62">
        <f ca="1">AVERAGE(OFFSET($DS$3,0,0,'Données projet'!$E$14+1,1))-AVERAGE(OFFSET($H$3,0,0,'Données projet'!$E$14+1,1))</f>
        <v>487.04124684635974</v>
      </c>
      <c r="DU64" s="62">
        <f t="shared" si="44"/>
        <v>306.61893266146666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6.6269179610118982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6.6269179610118982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8.8000000000000007</v>
      </c>
      <c r="EJ64" s="13">
        <f>IF('Données projet'!$A$192&gt;35,EJ63+EI64-ER63,IF(A64&lt;'Données projet'!$A$192,$EG$205^A64,IF(A64='Données projet'!$A$192,'Données projet'!$B$192,EJ63+EI64-ER63)))</f>
        <v>253.79999999999995</v>
      </c>
      <c r="EK64" s="18">
        <f>EJ64*VLOOKUP('Données projet'!$B$15,Paramètres!$A$1:$I$89,3,0)*VLOOKUP('Données projet'!$B$15,Paramètres!$A$1:$I$89,5,0)</f>
        <v>241.51607999999993</v>
      </c>
      <c r="EL64" s="14">
        <f t="shared" si="45"/>
        <v>58.765602836317846</v>
      </c>
      <c r="EM64" s="22">
        <f t="shared" si="19"/>
        <v>522.99059760658679</v>
      </c>
      <c r="EN64" s="62">
        <f t="shared" si="20"/>
        <v>816.32393093992005</v>
      </c>
      <c r="EO64" s="62">
        <f ca="1">AVERAGE(OFFSET($EN$3,0,0,'Données projet'!$E$15+1,1))-AVERAGE(OFFSET($H$3,0,0,'Données projet'!$E$15+1,1))</f>
        <v>459.64120566196812</v>
      </c>
      <c r="EP64" s="62">
        <f t="shared" si="46"/>
        <v>290.39826583283588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6.2191076249496264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6.2191076249496264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8.8000000000000007</v>
      </c>
      <c r="FE64" s="13">
        <f>IF('Données projet'!$A$218&gt;35,FE63+FD64-FM63,IF(A64&lt;'Données projet'!$A$218,$FB$205^A64,IF(A64='Données projet'!$A$218,'Données projet'!$B$218,FE63+FD64-FM63)))</f>
        <v>253.79999999999995</v>
      </c>
      <c r="FF64" s="18">
        <f>FE64*VLOOKUP('Données projet'!$B$16,Paramètres!$A$1:$I$89,3,0)*VLOOKUP('Données projet'!$B$16,Paramètres!$A$1:$I$89,5,0)</f>
        <v>170.24903999999995</v>
      </c>
      <c r="FG64" s="14">
        <f t="shared" si="47"/>
        <v>43.145795507930075</v>
      </c>
      <c r="FH64" s="22">
        <f t="shared" si="22"/>
        <v>371.66267184297811</v>
      </c>
      <c r="FI64" s="62">
        <f t="shared" si="23"/>
        <v>664.99600517631143</v>
      </c>
      <c r="FJ64" s="62">
        <f ca="1">AVERAGE(OFFSET($FI$3,0,0,'Données projet'!$E$16+1,1))-AVERAGE(OFFSET($H$3,0,0,'Données projet'!$E$16+1,1))</f>
        <v>335.83558218229564</v>
      </c>
      <c r="FK64" s="62">
        <f t="shared" si="48"/>
        <v>217.08423061559648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0</v>
      </c>
      <c r="FR64" s="23">
        <f>EXP(-LN(2)/25)*FR63+(1-EXP(-LN(2)/25))/(LN(2)/25)*Calculateur!FM64*Calculateur!FO64*VLOOKUP('Données projet'!$B$16,Paramètres!$A$1:$I$89,3,0)*0.475*44/12</f>
        <v>3.5323393487526813</v>
      </c>
      <c r="FS64" s="23">
        <f>EXP(-LN(2)/2)*FS63+(1-EXP(-LN(2)/2))/(LN(2)/2)*FM64*FP64*VLOOKUP('Données projet'!$B$16,Paramètres!$A$1:$I$89,3,0)*0.475*44/12</f>
        <v>2.3853197745308125E-4</v>
      </c>
      <c r="FT64" s="24">
        <f t="shared" si="24"/>
        <v>3.5325778807301345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6</v>
      </c>
      <c r="N65" s="14">
        <f>IF('Données projet'!$A$36&gt;35,N64+M65-V64,IF(A65&lt;'Données projet'!$A$36,$K$205^A65,IF(A65='Données projet'!$A$36,'Données projet'!$B$36,N64+M65-V64)))</f>
        <v>228.00000000000026</v>
      </c>
      <c r="O65" s="14">
        <f>N65*VLOOKUP('Données projet'!$B$9,Paramètres!$A$1:$I$89,3,0)*VLOOKUP('Données projet'!$B$9,Paramètres!$A$1:$I$89,5,0)</f>
        <v>199.18080000000023</v>
      </c>
      <c r="P65" s="14">
        <f t="shared" si="33"/>
        <v>49.564089376413726</v>
      </c>
      <c r="Q65" s="22">
        <f t="shared" si="53"/>
        <v>433.23068233058763</v>
      </c>
      <c r="R65" s="62">
        <f t="shared" si="0"/>
        <v>726.56401566392094</v>
      </c>
      <c r="S65" s="62">
        <f ca="1">AVERAGE(OFFSET($R$3,0,0,'Données projet'!$E$9+1,1))-AVERAGE(OFFSET($H$3,0,0,'Données projet'!$E$9+1,1))</f>
        <v>321.23599968992932</v>
      </c>
      <c r="T65" s="62">
        <f t="shared" si="34"/>
        <v>388.05195847800502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10.534368704803768</v>
      </c>
      <c r="AB65" s="23">
        <f>EXP(-LN(2)/2)*AB64+(1-EXP(-LN(2)/2))/(LN(2)/2)*V65*Y65*VLOOKUP('Données projet'!$B$9,Paramètres!$A$1:$I$89,3,0)*0.475*44/12</f>
        <v>2.7872479374167086E-4</v>
      </c>
      <c r="AC65" s="24">
        <f t="shared" si="3"/>
        <v>10.534647429597509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8.8000000000000007</v>
      </c>
      <c r="AI65" s="14">
        <f>IF('Données projet'!$A$62&gt;35,AI64+AH65-AQ64,IF(A65&lt;'Données projet'!$A$62,$AF$205^A65,IF(A65='Données projet'!$A$62,'Données projet'!$B$62,AI64+AH65-AQ64)))</f>
        <v>262.59999999999997</v>
      </c>
      <c r="AJ65" s="14">
        <f>AI65*VLOOKUP('Données projet'!$B$10,Paramètres!$A$1:$I$89,3,0)*VLOOKUP('Données projet'!$B$10,Paramètres!$A$1:$I$89,5,0)</f>
        <v>237.60047999999995</v>
      </c>
      <c r="AK65" s="14">
        <f t="shared" si="35"/>
        <v>57.922960533442058</v>
      </c>
      <c r="AL65" s="22">
        <f t="shared" si="4"/>
        <v>514.70332559574479</v>
      </c>
      <c r="AM65" s="62">
        <f t="shared" si="5"/>
        <v>808.03665892907816</v>
      </c>
      <c r="AN65" s="62">
        <f ca="1">AVERAGE(OFFSET($AM$3,0,0,'Données projet'!$E$10+1,1))-AVERAGE(OFFSET($H$3,0,0,'Données projet'!$E$10+1,1))</f>
        <v>439.19854273764042</v>
      </c>
      <c r="AO65" s="62">
        <f t="shared" si="36"/>
        <v>278.21741231699929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3.7598744513810631</v>
      </c>
      <c r="AW65" s="23">
        <f>EXP(-LN(2)/2)*AW64+(1-EXP(-LN(2)/2))/(LN(2)/2)*AQ65*AT65*VLOOKUP('Données projet'!$B$10,Paramètres!$A$1:$I$89,3,0)*0.475*44/12</f>
        <v>2.2750510627071621E-4</v>
      </c>
      <c r="AX65" s="23">
        <f t="shared" si="6"/>
        <v>3.7601019564873339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5.2</v>
      </c>
      <c r="BD65" s="13">
        <f>IF('Données projet'!$A$88&gt;35,BD64+BC65-BL64,IF(A65&lt;'Données projet'!$A$88,$BA$205^A65,IF(A65='Données projet'!$A$88,'Données projet'!$B$88,BD64+BC65-BL64)))</f>
        <v>290.39999999999981</v>
      </c>
      <c r="BE65" s="14">
        <f>BD65*VLOOKUP('Données projet'!$B$11,Paramètres!$A$1:$I$89,3,0)*VLOOKUP('Données projet'!$B$11,Paramètres!$A$1:$I$89,5,0)</f>
        <v>231.04223999999985</v>
      </c>
      <c r="BF65" s="14">
        <f t="shared" si="37"/>
        <v>56.507978852931409</v>
      </c>
      <c r="BG65" s="22">
        <f t="shared" si="7"/>
        <v>500.81663116885534</v>
      </c>
      <c r="BH65" s="62">
        <f t="shared" si="8"/>
        <v>794.1499645021886</v>
      </c>
      <c r="BI65" s="62">
        <f ca="1">AVERAGE(OFFSET($BH$3,0,0,'Données projet'!$E$11+1,1))-AVERAGE(OFFSET($H$3,0,0,'Données projet'!$E$11+1,1))</f>
        <v>352.88510024787888</v>
      </c>
      <c r="BJ65" s="62">
        <f t="shared" si="38"/>
        <v>343.77208530767069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5.0612498987739434</v>
      </c>
      <c r="BR65" s="23">
        <f>EXP(-LN(2)/2)*BR64+(1-EXP(-LN(2)/2))/(LN(2)/2)*BL65*BO65*VLOOKUP('Données projet'!$B$11,Paramètres!$A$1:$I$89,3,0)*0.475*44/12</f>
        <v>6.0236909927744701E-6</v>
      </c>
      <c r="BS65" s="24">
        <f t="shared" si="9"/>
        <v>5.0612559224649365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5.2</v>
      </c>
      <c r="BY65" s="13">
        <f>IF('Données projet'!$A$114&gt;35,BY64+BX65-CG64,IF(A65&lt;'Données projet'!$A$114,$BV$205^A65,IF(A65='Données projet'!$A$114,'Données projet'!$B$114,BY64+BX65-CG64)))</f>
        <v>290.39999999999981</v>
      </c>
      <c r="BZ65" s="14">
        <f>BY65*VLOOKUP('Données projet'!$B$12,Paramètres!$A$1:$I$89,3,0)*VLOOKUP('Données projet'!$B$12,Paramètres!$A$1:$I$89,5,0)</f>
        <v>212.92127999999988</v>
      </c>
      <c r="CA65" s="14">
        <f t="shared" si="39"/>
        <v>52.57344469809297</v>
      </c>
      <c r="CB65" s="22">
        <f t="shared" si="10"/>
        <v>462.40331218251168</v>
      </c>
      <c r="CC65" s="62">
        <f t="shared" si="11"/>
        <v>755.736645515845</v>
      </c>
      <c r="CD65" s="62">
        <f ca="1">AVERAGE(OFFSET($CC$3,0,0,'Données projet'!$E$12+1,1))-AVERAGE(OFFSET($H$3,0,0,'Données projet'!$E$12+1,1))</f>
        <v>328.10411227536315</v>
      </c>
      <c r="CE65" s="62">
        <f t="shared" si="40"/>
        <v>320.24200483294322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4.8172222242045102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4.8172222242045102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8.6666666666666661</v>
      </c>
      <c r="CT65" s="13">
        <f>IF('Données projet'!$A$140&gt;35,CT64+CS65-DB64,IF(A65&lt;'Données projet'!$A$140,$CQ$205^A65,IF(A65='Données projet'!$A$140,'Données projet'!$B$140,CT64+CS65-DB64)))</f>
        <v>267.33333333333326</v>
      </c>
      <c r="CU65" s="18">
        <f>CT65*VLOOKUP('Données projet'!$B$13,Paramètres!$A$1:$I$89,3,0)*VLOOKUP('Données projet'!$B$13,Paramètres!$A$1:$I$89,5,0)</f>
        <v>208.51999999999995</v>
      </c>
      <c r="CV65" s="14">
        <f t="shared" si="41"/>
        <v>51.612035456318459</v>
      </c>
      <c r="CW65" s="22">
        <f t="shared" si="13"/>
        <v>453.06329508642119</v>
      </c>
      <c r="CX65" s="62">
        <f t="shared" si="14"/>
        <v>746.39662841975451</v>
      </c>
      <c r="CY65" s="62">
        <f ca="1">AVERAGE(OFFSET($CX$3,0,0,'Données projet'!$E$13+1,1))-AVERAGE(OFFSET($H$3,0,0,'Données projet'!$E$13+1,1))</f>
        <v>288.82868507674738</v>
      </c>
      <c r="CZ65" s="62">
        <f t="shared" si="42"/>
        <v>283.48738729114024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5.4165993435909359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5.4165993435909359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8.8000000000000007</v>
      </c>
      <c r="DO65" s="13">
        <f>IF('Données projet'!$A$166&gt;35,DO64+DN65-DW64,IF(A65&lt;'Données projet'!$A$166,$DL$205^A65,IF(A65='Données projet'!$A$166,'Données projet'!$B$166,DO64+DN65-DW64)))</f>
        <v>262.59999999999997</v>
      </c>
      <c r="DP65" s="18">
        <f>DO65*VLOOKUP('Données projet'!$B$14,Paramètres!$A$1:$I$89,3,0)*VLOOKUP('Données projet'!$B$14,Paramètres!$A$1:$I$89,5,0)</f>
        <v>266.27640000000002</v>
      </c>
      <c r="DQ65" s="14">
        <f t="shared" si="43"/>
        <v>64.058389829439747</v>
      </c>
      <c r="DR65" s="22">
        <f t="shared" si="16"/>
        <v>575.33309228627434</v>
      </c>
      <c r="DS65" s="62">
        <f t="shared" si="17"/>
        <v>868.66642561960771</v>
      </c>
      <c r="DT65" s="62">
        <f ca="1">AVERAGE(OFFSET($DS$3,0,0,'Données projet'!$E$14+1,1))-AVERAGE(OFFSET($H$3,0,0,'Données projet'!$E$14+1,1))</f>
        <v>487.04124684635974</v>
      </c>
      <c r="DU65" s="62">
        <f t="shared" si="44"/>
        <v>306.61893266146666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6.4969681418172947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6.4969681418172947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8.8000000000000007</v>
      </c>
      <c r="EJ65" s="13">
        <f>IF('Données projet'!$A$192&gt;35,EJ64+EI65-ER64,IF(A65&lt;'Données projet'!$A$192,$EG$205^A65,IF(A65='Données projet'!$A$192,'Données projet'!$B$192,EJ64+EI65-ER64)))</f>
        <v>262.59999999999997</v>
      </c>
      <c r="EK65" s="18">
        <f>EJ65*VLOOKUP('Données projet'!$B$15,Paramètres!$A$1:$I$89,3,0)*VLOOKUP('Données projet'!$B$15,Paramètres!$A$1:$I$89,5,0)</f>
        <v>249.89015999999998</v>
      </c>
      <c r="EL65" s="14">
        <f t="shared" si="45"/>
        <v>60.562419667970957</v>
      </c>
      <c r="EM65" s="22">
        <f t="shared" si="19"/>
        <v>540.70490958838275</v>
      </c>
      <c r="EN65" s="62">
        <f t="shared" si="20"/>
        <v>834.03824292171612</v>
      </c>
      <c r="EO65" s="62">
        <f ca="1">AVERAGE(OFFSET($EN$3,0,0,'Données projet'!$E$15+1,1))-AVERAGE(OFFSET($H$3,0,0,'Données projet'!$E$15+1,1))</f>
        <v>459.64120566196812</v>
      </c>
      <c r="EP65" s="62">
        <f t="shared" si="46"/>
        <v>290.39826583283588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6.0971547177054601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6.0971547177054601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8.8000000000000007</v>
      </c>
      <c r="FE65" s="13">
        <f>IF('Données projet'!$A$218&gt;35,FE64+FD65-FM64,IF(A65&lt;'Données projet'!$A$218,$FB$205^A65,IF(A65='Données projet'!$A$218,'Données projet'!$B$218,FE64+FD65-FM64)))</f>
        <v>262.59999999999997</v>
      </c>
      <c r="FF65" s="18">
        <f>FE65*VLOOKUP('Données projet'!$B$16,Paramètres!$A$1:$I$89,3,0)*VLOOKUP('Données projet'!$B$16,Paramètres!$A$1:$I$89,5,0)</f>
        <v>176.15207999999998</v>
      </c>
      <c r="FG65" s="14">
        <f t="shared" si="47"/>
        <v>44.465021174680203</v>
      </c>
      <c r="FH65" s="22">
        <f t="shared" si="22"/>
        <v>384.24145121256805</v>
      </c>
      <c r="FI65" s="62">
        <f t="shared" si="23"/>
        <v>677.57478454590137</v>
      </c>
      <c r="FJ65" s="62">
        <f ca="1">AVERAGE(OFFSET($FI$3,0,0,'Données projet'!$E$16+1,1))-AVERAGE(OFFSET($H$3,0,0,'Données projet'!$E$16+1,1))</f>
        <v>335.83558218229564</v>
      </c>
      <c r="FK65" s="62">
        <f t="shared" si="48"/>
        <v>217.08423061559648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0</v>
      </c>
      <c r="FR65" s="23">
        <f>EXP(-LN(2)/25)*FR64+(1-EXP(-LN(2)/25))/(LN(2)/25)*Calculateur!FM65*Calculateur!FO65*VLOOKUP('Données projet'!$B$16,Paramètres!$A$1:$I$89,3,0)*0.475*44/12</f>
        <v>3.4357473435033863</v>
      </c>
      <c r="FS65" s="23">
        <f>EXP(-LN(2)/2)*FS64+(1-EXP(-LN(2)/2))/(LN(2)/2)*FM65*FP65*VLOOKUP('Données projet'!$B$16,Paramètres!$A$1:$I$89,3,0)*0.475*44/12</f>
        <v>1.6866757878691044E-4</v>
      </c>
      <c r="FT65" s="24">
        <f t="shared" si="24"/>
        <v>3.4359160110821731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6</v>
      </c>
      <c r="N66" s="14">
        <f>IF('Données projet'!$A$36&gt;35,N65+M66-V65,IF(A66&lt;'Données projet'!$A$36,$K$205^A66,IF(A66='Données projet'!$A$36,'Données projet'!$B$36,N65+M66-V65)))</f>
        <v>234.00000000000026</v>
      </c>
      <c r="O66" s="14">
        <f>N66*VLOOKUP('Données projet'!$B$9,Paramètres!$A$1:$I$89,3,0)*VLOOKUP('Données projet'!$B$9,Paramètres!$A$1:$I$89,5,0)</f>
        <v>204.42240000000027</v>
      </c>
      <c r="P66" s="14">
        <f t="shared" si="33"/>
        <v>50.714836797527354</v>
      </c>
      <c r="Q66" s="22">
        <f t="shared" si="53"/>
        <v>444.36402075569396</v>
      </c>
      <c r="R66" s="62">
        <f t="shared" si="0"/>
        <v>737.69735408902727</v>
      </c>
      <c r="S66" s="62">
        <f ca="1">AVERAGE(OFFSET($R$3,0,0,'Données projet'!$E$9+1,1))-AVERAGE(OFFSET($H$3,0,0,'Données projet'!$E$9+1,1))</f>
        <v>321.23599968992932</v>
      </c>
      <c r="T66" s="62">
        <f t="shared" si="34"/>
        <v>388.05195847800502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10.246305838592535</v>
      </c>
      <c r="AB66" s="23">
        <f>EXP(-LN(2)/2)*AB65+(1-EXP(-LN(2)/2))/(LN(2)/2)*V66*Y66*VLOOKUP('Données projet'!$B$9,Paramètres!$A$1:$I$89,3,0)*0.475*44/12</f>
        <v>1.9708819173955725E-4</v>
      </c>
      <c r="AC66" s="24">
        <f t="shared" si="3"/>
        <v>10.246502926784276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8.8000000000000007</v>
      </c>
      <c r="AI66" s="14">
        <f>IF('Données projet'!$A$62&gt;35,AI65+AH66-AQ65,IF(A66&lt;'Données projet'!$A$62,$AF$205^A66,IF(A66='Données projet'!$A$62,'Données projet'!$B$62,AI65+AH66-AQ65)))</f>
        <v>271.39999999999998</v>
      </c>
      <c r="AJ66" s="14">
        <f>AI66*VLOOKUP('Données projet'!$B$10,Paramètres!$A$1:$I$89,3,0)*VLOOKUP('Données projet'!$B$10,Paramètres!$A$1:$I$89,5,0)</f>
        <v>245.56271999999998</v>
      </c>
      <c r="AK66" s="14">
        <f t="shared" si="35"/>
        <v>59.634776048276898</v>
      </c>
      <c r="AL66" s="22">
        <f t="shared" si="4"/>
        <v>531.55230561741564</v>
      </c>
      <c r="AM66" s="62">
        <f t="shared" si="5"/>
        <v>824.8856389507489</v>
      </c>
      <c r="AN66" s="62">
        <f ca="1">AVERAGE(OFFSET($AM$3,0,0,'Données projet'!$E$10+1,1))-AVERAGE(OFFSET($H$3,0,0,'Données projet'!$E$10+1,1))</f>
        <v>439.19854273764042</v>
      </c>
      <c r="AO66" s="62">
        <f t="shared" si="36"/>
        <v>278.21741231699929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3.657060486784844</v>
      </c>
      <c r="AW66" s="23">
        <f>EXP(-LN(2)/2)*AW65+(1-EXP(-LN(2)/2))/(LN(2)/2)*AQ66*AT66*VLOOKUP('Données projet'!$B$10,Paramètres!$A$1:$I$89,3,0)*0.475*44/12</f>
        <v>1.6087040339858957E-4</v>
      </c>
      <c r="AX66" s="23">
        <f t="shared" si="6"/>
        <v>3.6572213571882424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5.2</v>
      </c>
      <c r="BD66" s="13">
        <f>IF('Données projet'!$A$88&gt;35,BD65+BC66-BL65,IF(A66&lt;'Données projet'!$A$88,$BA$205^A66,IF(A66='Données projet'!$A$88,'Données projet'!$B$88,BD65+BC66-BL65)))</f>
        <v>295.5999999999998</v>
      </c>
      <c r="BE66" s="14">
        <f>BD66*VLOOKUP('Données projet'!$B$11,Paramètres!$A$1:$I$89,3,0)*VLOOKUP('Données projet'!$B$11,Paramètres!$A$1:$I$89,5,0)</f>
        <v>235.17935999999983</v>
      </c>
      <c r="BF66" s="14">
        <f t="shared" si="37"/>
        <v>57.401124668909425</v>
      </c>
      <c r="BG66" s="22">
        <f t="shared" si="7"/>
        <v>509.57767746501696</v>
      </c>
      <c r="BH66" s="62">
        <f t="shared" si="8"/>
        <v>802.91101079835028</v>
      </c>
      <c r="BI66" s="62">
        <f ca="1">AVERAGE(OFFSET($BH$3,0,0,'Données projet'!$E$11+1,1))-AVERAGE(OFFSET($H$3,0,0,'Données projet'!$E$11+1,1))</f>
        <v>352.88510024787888</v>
      </c>
      <c r="BJ66" s="62">
        <f t="shared" si="38"/>
        <v>343.77208530767069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4.9228497541324057</v>
      </c>
      <c r="BR66" s="23">
        <f>EXP(-LN(2)/2)*BR65+(1-EXP(-LN(2)/2))/(LN(2)/2)*BL66*BO66*VLOOKUP('Données projet'!$B$11,Paramètres!$A$1:$I$89,3,0)*0.475*44/12</f>
        <v>4.2593927487631544E-6</v>
      </c>
      <c r="BS66" s="24">
        <f t="shared" si="9"/>
        <v>4.9228540135251544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5.2</v>
      </c>
      <c r="BY66" s="13">
        <f>IF('Données projet'!$A$114&gt;35,BY65+BX66-CG65,IF(A66&lt;'Données projet'!$A$114,$BV$205^A66,IF(A66='Données projet'!$A$114,'Données projet'!$B$114,BY65+BX66-CG65)))</f>
        <v>295.5999999999998</v>
      </c>
      <c r="BZ66" s="14">
        <f>BY66*VLOOKUP('Données projet'!$B$12,Paramètres!$A$1:$I$89,3,0)*VLOOKUP('Données projet'!$B$12,Paramètres!$A$1:$I$89,5,0)</f>
        <v>216.73391999999987</v>
      </c>
      <c r="CA66" s="14">
        <f t="shared" si="39"/>
        <v>53.404402610883679</v>
      </c>
      <c r="CB66" s="22">
        <f t="shared" si="10"/>
        <v>470.49091188062221</v>
      </c>
      <c r="CC66" s="62">
        <f t="shared" si="11"/>
        <v>763.82424521395546</v>
      </c>
      <c r="CD66" s="62">
        <f ca="1">AVERAGE(OFFSET($CC$3,0,0,'Données projet'!$E$12+1,1))-AVERAGE(OFFSET($H$3,0,0,'Données projet'!$E$12+1,1))</f>
        <v>328.10411227536315</v>
      </c>
      <c r="CE66" s="62">
        <f t="shared" si="40"/>
        <v>320.24200483294322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4.722759434603292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4.722759434603292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8.6666666666666661</v>
      </c>
      <c r="CT66" s="13">
        <f>IF('Données projet'!$A$140&gt;35,CT65+CS66-DB65,IF(A66&lt;'Données projet'!$A$140,$CQ$205^A66,IF(A66='Données projet'!$A$140,'Données projet'!$B$140,CT65+CS66-DB65)))</f>
        <v>275.99999999999994</v>
      </c>
      <c r="CU66" s="18">
        <f>CT66*VLOOKUP('Données projet'!$B$13,Paramètres!$A$1:$I$89,3,0)*VLOOKUP('Données projet'!$B$13,Paramètres!$A$1:$I$89,5,0)</f>
        <v>215.27999999999997</v>
      </c>
      <c r="CV66" s="14">
        <f t="shared" si="41"/>
        <v>53.087725740853138</v>
      </c>
      <c r="CW66" s="22">
        <f t="shared" si="13"/>
        <v>467.40712233198587</v>
      </c>
      <c r="CX66" s="62">
        <f t="shared" si="14"/>
        <v>760.74045566531913</v>
      </c>
      <c r="CY66" s="62">
        <f ca="1">AVERAGE(OFFSET($CX$3,0,0,'Données projet'!$E$13+1,1))-AVERAGE(OFFSET($H$3,0,0,'Données projet'!$E$13+1,1))</f>
        <v>288.82868507674738</v>
      </c>
      <c r="CZ66" s="62">
        <f t="shared" si="42"/>
        <v>283.48738729114024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5.3103831342624943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5.3103831342624943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8.8000000000000007</v>
      </c>
      <c r="DO66" s="13">
        <f>IF('Données projet'!$A$166&gt;35,DO65+DN66-DW65,IF(A66&lt;'Données projet'!$A$166,$DL$205^A66,IF(A66='Données projet'!$A$166,'Données projet'!$B$166,DO65+DN66-DW65)))</f>
        <v>271.39999999999998</v>
      </c>
      <c r="DP66" s="18">
        <f>DO66*VLOOKUP('Données projet'!$B$14,Paramètres!$A$1:$I$89,3,0)*VLOOKUP('Données projet'!$B$14,Paramètres!$A$1:$I$89,5,0)</f>
        <v>275.19960000000003</v>
      </c>
      <c r="DQ66" s="14">
        <f t="shared" si="43"/>
        <v>65.951527620662617</v>
      </c>
      <c r="DR66" s="22">
        <f t="shared" si="16"/>
        <v>594.17154727265404</v>
      </c>
      <c r="DS66" s="62">
        <f t="shared" si="17"/>
        <v>887.50488060598741</v>
      </c>
      <c r="DT66" s="62">
        <f ca="1">AVERAGE(OFFSET($DS$3,0,0,'Données projet'!$E$14+1,1))-AVERAGE(OFFSET($H$3,0,0,'Données projet'!$E$14+1,1))</f>
        <v>487.04124684635974</v>
      </c>
      <c r="DU66" s="62">
        <f t="shared" si="44"/>
        <v>306.61893266146666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6.3695665593155342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6.3695665593155342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8.8000000000000007</v>
      </c>
      <c r="EJ66" s="13">
        <f>IF('Données projet'!$A$192&gt;35,EJ65+EI66-ER65,IF(A66&lt;'Données projet'!$A$192,$EG$205^A66,IF(A66='Données projet'!$A$192,'Données projet'!$B$192,EJ65+EI66-ER65)))</f>
        <v>271.39999999999998</v>
      </c>
      <c r="EK66" s="18">
        <f>EJ66*VLOOKUP('Données projet'!$B$15,Paramètres!$A$1:$I$89,3,0)*VLOOKUP('Données projet'!$B$15,Paramètres!$A$1:$I$89,5,0)</f>
        <v>258.26423999999997</v>
      </c>
      <c r="EL66" s="14">
        <f t="shared" si="45"/>
        <v>62.352239950788103</v>
      </c>
      <c r="EM66" s="22">
        <f t="shared" si="19"/>
        <v>558.40703591428917</v>
      </c>
      <c r="EN66" s="62">
        <f t="shared" si="20"/>
        <v>851.74036924762254</v>
      </c>
      <c r="EO66" s="62">
        <f ca="1">AVERAGE(OFFSET($EN$3,0,0,'Données projet'!$E$15+1,1))-AVERAGE(OFFSET($H$3,0,0,'Données projet'!$E$15+1,1))</f>
        <v>459.64120566196812</v>
      </c>
      <c r="EP66" s="62">
        <f t="shared" si="46"/>
        <v>290.39826583283588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5.9775932325884229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5.9775932325884229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8.8000000000000007</v>
      </c>
      <c r="FE66" s="13">
        <f>IF('Données projet'!$A$218&gt;35,FE65+FD66-FM65,IF(A66&lt;'Données projet'!$A$218,$FB$205^A66,IF(A66='Données projet'!$A$218,'Données projet'!$B$218,FE65+FD66-FM65)))</f>
        <v>271.39999999999998</v>
      </c>
      <c r="FF66" s="18">
        <f>FE66*VLOOKUP('Données projet'!$B$16,Paramètres!$A$1:$I$89,3,0)*VLOOKUP('Données projet'!$B$16,Paramètres!$A$1:$I$89,5,0)</f>
        <v>182.05511999999999</v>
      </c>
      <c r="FG66" s="14">
        <f t="shared" si="47"/>
        <v>45.7791099645709</v>
      </c>
      <c r="FH66" s="22">
        <f t="shared" si="22"/>
        <v>396.81128385496095</v>
      </c>
      <c r="FI66" s="62">
        <f t="shared" si="23"/>
        <v>690.14461718829421</v>
      </c>
      <c r="FJ66" s="62">
        <f ca="1">AVERAGE(OFFSET($FI$3,0,0,'Données projet'!$E$16+1,1))-AVERAGE(OFFSET($H$3,0,0,'Données projet'!$E$16+1,1))</f>
        <v>335.83558218229564</v>
      </c>
      <c r="FK66" s="62">
        <f t="shared" si="48"/>
        <v>217.08423061559648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0</v>
      </c>
      <c r="FR66" s="23">
        <f>EXP(-LN(2)/25)*FR65+(1-EXP(-LN(2)/25))/(LN(2)/25)*Calculateur!FM66*Calculateur!FO66*VLOOKUP('Données projet'!$B$16,Paramètres!$A$1:$I$89,3,0)*0.475*44/12</f>
        <v>3.341796651717186</v>
      </c>
      <c r="FS66" s="23">
        <f>EXP(-LN(2)/2)*FS65+(1-EXP(-LN(2)/2))/(LN(2)/2)*FM66*FP66*VLOOKUP('Données projet'!$B$16,Paramètres!$A$1:$I$89,3,0)*0.475*44/12</f>
        <v>1.1926598872654065E-4</v>
      </c>
      <c r="FT66" s="24">
        <f t="shared" si="24"/>
        <v>3.3419159177059123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6</v>
      </c>
      <c r="N67" s="14">
        <f>IF('Données projet'!$A$36&gt;35,N66+M67-V66,IF(A67&lt;'Données projet'!$A$36,$K$205^A67,IF(A67='Données projet'!$A$36,'Données projet'!$B$36,N66+M67-V66)))</f>
        <v>240.00000000000026</v>
      </c>
      <c r="O67" s="14">
        <f>N67*VLOOKUP('Données projet'!$B$9,Paramètres!$A$1:$I$89,3,0)*VLOOKUP('Données projet'!$B$9,Paramètres!$A$1:$I$89,5,0)</f>
        <v>209.66400000000024</v>
      </c>
      <c r="P67" s="14">
        <f t="shared" si="33"/>
        <v>51.862154403304579</v>
      </c>
      <c r="Q67" s="22">
        <f t="shared" ref="Q67:Q98" si="54">(O67+P67)*0.475*44/12</f>
        <v>455.49138558575584</v>
      </c>
      <c r="R67" s="62">
        <f t="shared" ref="R67:R130" si="55">Q67+(I67+J67)*44/12</f>
        <v>748.82471891908915</v>
      </c>
      <c r="S67" s="62">
        <f ca="1">AVERAGE(OFFSET($R$3,0,0,'Données projet'!$E$9+1,1))-AVERAGE(OFFSET($H$3,0,0,'Données projet'!$E$9+1,1))</f>
        <v>321.23599968992932</v>
      </c>
      <c r="T67" s="62">
        <f t="shared" si="34"/>
        <v>388.05195847800502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9.9661200666064165</v>
      </c>
      <c r="AB67" s="23">
        <f>EXP(-LN(2)/2)*AB66+(1-EXP(-LN(2)/2))/(LN(2)/2)*V67*Y67*VLOOKUP('Données projet'!$B$9,Paramètres!$A$1:$I$89,3,0)*0.475*44/12</f>
        <v>1.3936239687083543E-4</v>
      </c>
      <c r="AC67" s="24">
        <f t="shared" si="3"/>
        <v>9.9662594290032871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8.8000000000000007</v>
      </c>
      <c r="AI67" s="14">
        <f>IF('Données projet'!$A$62&gt;35,AI66+AH67-AQ66,IF(A67&lt;'Données projet'!$A$62,$AF$205^A67,IF(A67='Données projet'!$A$62,'Données projet'!$B$62,AI66+AH67-AQ66)))</f>
        <v>280.2</v>
      </c>
      <c r="AJ67" s="14">
        <f>AI67*VLOOKUP('Données projet'!$B$10,Paramètres!$A$1:$I$89,3,0)*VLOOKUP('Données projet'!$B$10,Paramètres!$A$1:$I$89,5,0)</f>
        <v>253.52495999999999</v>
      </c>
      <c r="AK67" s="14">
        <f t="shared" si="35"/>
        <v>61.340141798422209</v>
      </c>
      <c r="AL67" s="22">
        <f t="shared" si="4"/>
        <v>548.39005229891859</v>
      </c>
      <c r="AM67" s="62">
        <f t="shared" si="5"/>
        <v>841.72338563225185</v>
      </c>
      <c r="AN67" s="62">
        <f ca="1">AVERAGE(OFFSET($AM$3,0,0,'Données projet'!$E$10+1,1))-AVERAGE(OFFSET($H$3,0,0,'Données projet'!$E$10+1,1))</f>
        <v>439.19854273764042</v>
      </c>
      <c r="AO67" s="62">
        <f t="shared" si="36"/>
        <v>278.21741231699929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3.5570579754572598</v>
      </c>
      <c r="AW67" s="23">
        <f>EXP(-LN(2)/2)*AW66+(1-EXP(-LN(2)/2))/(LN(2)/2)*AQ67*AT67*VLOOKUP('Données projet'!$B$10,Paramètres!$A$1:$I$89,3,0)*0.475*44/12</f>
        <v>1.1375255313535811E-4</v>
      </c>
      <c r="AX67" s="23">
        <f t="shared" si="6"/>
        <v>3.5571717280103949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5.2</v>
      </c>
      <c r="BD67" s="13">
        <f>IF('Données projet'!$A$88&gt;35,BD66+BC67-BL66,IF(A67&lt;'Données projet'!$A$88,$BA$205^A67,IF(A67='Données projet'!$A$88,'Données projet'!$B$88,BD66+BC67-BL66)))</f>
        <v>300.79999999999978</v>
      </c>
      <c r="BE67" s="14">
        <f>BD67*VLOOKUP('Données projet'!$B$11,Paramètres!$A$1:$I$89,3,0)*VLOOKUP('Données projet'!$B$11,Paramètres!$A$1:$I$89,5,0)</f>
        <v>239.31647999999984</v>
      </c>
      <c r="BF67" s="14">
        <f t="shared" si="37"/>
        <v>58.292443422481945</v>
      </c>
      <c r="BG67" s="22">
        <f t="shared" si="7"/>
        <v>518.33554162748908</v>
      </c>
      <c r="BH67" s="62">
        <f t="shared" si="8"/>
        <v>811.66887496082245</v>
      </c>
      <c r="BI67" s="62">
        <f ca="1">AVERAGE(OFFSET($BH$3,0,0,'Données projet'!$E$11+1,1))-AVERAGE(OFFSET($H$3,0,0,'Données projet'!$E$11+1,1))</f>
        <v>352.88510024787888</v>
      </c>
      <c r="BJ67" s="62">
        <f t="shared" si="38"/>
        <v>343.77208530767069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4.7882341687242373</v>
      </c>
      <c r="BR67" s="23">
        <f>EXP(-LN(2)/2)*BR66+(1-EXP(-LN(2)/2))/(LN(2)/2)*BL67*BO67*VLOOKUP('Données projet'!$B$11,Paramètres!$A$1:$I$89,3,0)*0.475*44/12</f>
        <v>3.0118454963872351E-6</v>
      </c>
      <c r="BS67" s="24">
        <f t="shared" si="9"/>
        <v>4.7882371805697339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5.2</v>
      </c>
      <c r="BY67" s="13">
        <f>IF('Données projet'!$A$114&gt;35,BY66+BX67-CG66,IF(A67&lt;'Données projet'!$A$114,$BV$205^A67,IF(A67='Données projet'!$A$114,'Données projet'!$B$114,BY66+BX67-CG66)))</f>
        <v>300.79999999999978</v>
      </c>
      <c r="BZ67" s="14">
        <f>BY67*VLOOKUP('Données projet'!$B$12,Paramètres!$A$1:$I$89,3,0)*VLOOKUP('Données projet'!$B$12,Paramètres!$A$1:$I$89,5,0)</f>
        <v>220.54655999999983</v>
      </c>
      <c r="CA67" s="14">
        <f t="shared" si="39"/>
        <v>54.233660675860236</v>
      </c>
      <c r="CB67" s="22">
        <f t="shared" si="10"/>
        <v>478.57555101045619</v>
      </c>
      <c r="CC67" s="62">
        <f t="shared" si="11"/>
        <v>771.90888434378951</v>
      </c>
      <c r="CD67" s="62">
        <f ca="1">AVERAGE(OFFSET($CC$3,0,0,'Données projet'!$E$12+1,1))-AVERAGE(OFFSET($H$3,0,0,'Données projet'!$E$12+1,1))</f>
        <v>328.10411227536315</v>
      </c>
      <c r="CE67" s="62">
        <f t="shared" si="40"/>
        <v>320.24200483294322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4.6301490026895413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4.6301490026895413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8.6666666666666661</v>
      </c>
      <c r="CT67" s="13">
        <f>IF('Données projet'!$A$140&gt;35,CT66+CS67-DB66,IF(A67&lt;'Données projet'!$A$140,$CQ$205^A67,IF(A67='Données projet'!$A$140,'Données projet'!$B$140,CT66+CS67-DB66)))</f>
        <v>284.66666666666663</v>
      </c>
      <c r="CU67" s="18">
        <f>CT67*VLOOKUP('Données projet'!$B$13,Paramètres!$A$1:$I$89,3,0)*VLOOKUP('Données projet'!$B$13,Paramètres!$A$1:$I$89,5,0)</f>
        <v>222.04</v>
      </c>
      <c r="CV67" s="14">
        <f t="shared" si="41"/>
        <v>54.558031180803546</v>
      </c>
      <c r="CW67" s="22">
        <f t="shared" si="13"/>
        <v>481.74157097323285</v>
      </c>
      <c r="CX67" s="62">
        <f t="shared" si="14"/>
        <v>775.07490430656617</v>
      </c>
      <c r="CY67" s="62">
        <f ca="1">AVERAGE(OFFSET($CX$3,0,0,'Données projet'!$E$13+1,1))-AVERAGE(OFFSET($H$3,0,0,'Données projet'!$E$13+1,1))</f>
        <v>288.82868507674738</v>
      </c>
      <c r="CZ67" s="62">
        <f t="shared" si="42"/>
        <v>283.48738729114024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5.2062497600134927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5.2062497600134927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8.8000000000000007</v>
      </c>
      <c r="DO67" s="13">
        <f>IF('Données projet'!$A$166&gt;35,DO66+DN67-DW66,IF(A67&lt;'Données projet'!$A$166,$DL$205^A67,IF(A67='Données projet'!$A$166,'Données projet'!$B$166,DO66+DN67-DW66)))</f>
        <v>280.2</v>
      </c>
      <c r="DP67" s="18">
        <f>DO67*VLOOKUP('Données projet'!$B$14,Paramètres!$A$1:$I$89,3,0)*VLOOKUP('Données projet'!$B$14,Paramètres!$A$1:$I$89,5,0)</f>
        <v>284.12279999999998</v>
      </c>
      <c r="DQ67" s="14">
        <f t="shared" si="43"/>
        <v>67.837532462585557</v>
      </c>
      <c r="DR67" s="22">
        <f t="shared" si="16"/>
        <v>612.99757903900309</v>
      </c>
      <c r="DS67" s="62">
        <f t="shared" si="17"/>
        <v>906.33091237233634</v>
      </c>
      <c r="DT67" s="62">
        <f ca="1">AVERAGE(OFFSET($DS$3,0,0,'Données projet'!$E$14+1,1))-AVERAGE(OFFSET($H$3,0,0,'Données projet'!$E$14+1,1))</f>
        <v>487.04124684635974</v>
      </c>
      <c r="DU67" s="62">
        <f t="shared" si="44"/>
        <v>306.61893266146666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6.2446632441393408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6.2446632441393408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8.8000000000000007</v>
      </c>
      <c r="EJ67" s="13">
        <f>IF('Données projet'!$A$192&gt;35,EJ66+EI67-ER66,IF(A67&lt;'Données projet'!$A$192,$EG$205^A67,IF(A67='Données projet'!$A$192,'Données projet'!$B$192,EJ66+EI67-ER66)))</f>
        <v>280.2</v>
      </c>
      <c r="EK67" s="18">
        <f>EJ67*VLOOKUP('Données projet'!$B$15,Paramètres!$A$1:$I$89,3,0)*VLOOKUP('Données projet'!$B$15,Paramètres!$A$1:$I$89,5,0)</f>
        <v>266.63832000000002</v>
      </c>
      <c r="EL67" s="14">
        <f t="shared" si="45"/>
        <v>64.135316563180027</v>
      </c>
      <c r="EM67" s="22">
        <f t="shared" si="19"/>
        <v>576.09741701420523</v>
      </c>
      <c r="EN67" s="62">
        <f t="shared" si="20"/>
        <v>869.43075034753861</v>
      </c>
      <c r="EO67" s="62">
        <f ca="1">AVERAGE(OFFSET($EN$3,0,0,'Données projet'!$E$15+1,1))-AVERAGE(OFFSET($H$3,0,0,'Données projet'!$E$15+1,1))</f>
        <v>459.64120566196812</v>
      </c>
      <c r="EP67" s="62">
        <f t="shared" si="46"/>
        <v>290.39826583283588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5.8603762752692257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5.8603762752692257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8.8000000000000007</v>
      </c>
      <c r="FE67" s="13">
        <f>IF('Données projet'!$A$218&gt;35,FE66+FD67-FM66,IF(A67&lt;'Données projet'!$A$218,$FB$205^A67,IF(A67='Données projet'!$A$218,'Données projet'!$B$218,FE66+FD67-FM66)))</f>
        <v>280.2</v>
      </c>
      <c r="FF67" s="18">
        <f>FE67*VLOOKUP('Données projet'!$B$16,Paramètres!$A$1:$I$89,3,0)*VLOOKUP('Données projet'!$B$16,Paramètres!$A$1:$I$89,5,0)</f>
        <v>187.95815999999999</v>
      </c>
      <c r="FG67" s="14">
        <f t="shared" si="47"/>
        <v>47.088247541318253</v>
      </c>
      <c r="FH67" s="22">
        <f t="shared" si="22"/>
        <v>409.37249313446256</v>
      </c>
      <c r="FI67" s="62">
        <f t="shared" si="23"/>
        <v>702.70582646779587</v>
      </c>
      <c r="FJ67" s="62">
        <f ca="1">AVERAGE(OFFSET($FI$3,0,0,'Données projet'!$E$16+1,1))-AVERAGE(OFFSET($H$3,0,0,'Données projet'!$E$16+1,1))</f>
        <v>335.83558218229564</v>
      </c>
      <c r="FK67" s="62">
        <f t="shared" si="48"/>
        <v>217.08423061559648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0</v>
      </c>
      <c r="FR67" s="23">
        <f>EXP(-LN(2)/25)*FR66+(1-EXP(-LN(2)/25))/(LN(2)/25)*Calculateur!FM67*Calculateur!FO67*VLOOKUP('Données projet'!$B$16,Paramètres!$A$1:$I$89,3,0)*0.475*44/12</f>
        <v>3.2504150465385315</v>
      </c>
      <c r="FS67" s="23">
        <f>EXP(-LN(2)/2)*FS66+(1-EXP(-LN(2)/2))/(LN(2)/2)*FM67*FP67*VLOOKUP('Données projet'!$B$16,Paramètres!$A$1:$I$89,3,0)*0.475*44/12</f>
        <v>8.4333789393455232E-5</v>
      </c>
      <c r="FT67" s="24">
        <f t="shared" si="24"/>
        <v>3.2504993803279252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246</v>
      </c>
      <c r="L68" s="13">
        <f>VLOOKUP(A68,'Données projet'!$A$35:$I$55,9,0)</f>
        <v>6</v>
      </c>
      <c r="M68" s="13">
        <f t="array" ref="M68">INDEX(L:L,MIN(IF(ISNUMBER(L68:L264),ROW(L68:L264),"")))</f>
        <v>6</v>
      </c>
      <c r="N68" s="14">
        <f>IF('Données projet'!$A$36&gt;35,N67+M68-V67,IF(A68&lt;'Données projet'!$A$36,$K$205^A68,IF(A68='Données projet'!$A$36,'Données projet'!$B$36,N67+M68-V67)))</f>
        <v>246.00000000000026</v>
      </c>
      <c r="O68" s="14">
        <f>N68*VLOOKUP('Données projet'!$B$9,Paramètres!$A$1:$I$89,3,0)*VLOOKUP('Données projet'!$B$9,Paramètres!$A$1:$I$89,5,0)</f>
        <v>214.90560000000025</v>
      </c>
      <c r="P68" s="14">
        <f t="shared" si="33"/>
        <v>53.006137800892375</v>
      </c>
      <c r="Q68" s="22">
        <f t="shared" si="54"/>
        <v>466.61294333655468</v>
      </c>
      <c r="R68" s="62">
        <f t="shared" si="55"/>
        <v>759.94627666988799</v>
      </c>
      <c r="S68" s="62">
        <f ca="1">AVERAGE(OFFSET($R$3,0,0,'Données projet'!$E$9+1,1))-AVERAGE(OFFSET($H$3,0,0,'Données projet'!$E$9+1,1))</f>
        <v>321.23599968992932</v>
      </c>
      <c r="T68" s="62">
        <f t="shared" si="34"/>
        <v>388.05195847800502</v>
      </c>
      <c r="U68" s="16">
        <f>IF(ISNA(VLOOKUP(A68,'Données projet'!$A$35:$I$55,3,0)),0,VLOOKUP(A68,'Données projet'!$A$35:$I$55,3,0))</f>
        <v>11</v>
      </c>
      <c r="V68" s="16">
        <f>IF(ISNA(VLOOKUP(A68,'Données projet'!$A$35:$I$55,4,0)),0,VLOOKUP(A68,'Données projet'!$A$35:$I$55,4,0))</f>
        <v>23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9.6935959892895873</v>
      </c>
      <c r="AB68" s="23">
        <f>EXP(-LN(2)/2)*AB67+(1-EXP(-LN(2)/2))/(LN(2)/2)*V68*Y68*VLOOKUP('Données projet'!$B$9,Paramètres!$A$1:$I$89,3,0)*0.475*44/12</f>
        <v>9.8544095869778625E-5</v>
      </c>
      <c r="AC68" s="24">
        <f t="shared" ref="AC68:AC131" si="57">SUM(Z68:AB68)</f>
        <v>9.6936945333854574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289</v>
      </c>
      <c r="AG68" s="13">
        <f>VLOOKUP(A68,'Données projet'!$A$61:$I$81,9,0)</f>
        <v>8.8000000000000007</v>
      </c>
      <c r="AH68" s="13">
        <f t="array" ref="AH68">INDEX(AG:AG,MIN(IF(ISNUMBER(AG68:AG264),ROW(AG68:AG264),"")))</f>
        <v>8.8000000000000007</v>
      </c>
      <c r="AI68" s="14">
        <f>IF('Données projet'!$A$62&gt;35,AI67+AH68-AQ67,IF(A68&lt;'Données projet'!$A$62,$AF$205^A68,IF(A68='Données projet'!$A$62,'Données projet'!$B$62,AI67+AH68-AQ67)))</f>
        <v>289</v>
      </c>
      <c r="AJ68" s="14">
        <f>AI68*VLOOKUP('Données projet'!$B$10,Paramètres!$A$1:$I$89,3,0)*VLOOKUP('Données projet'!$B$10,Paramètres!$A$1:$I$89,5,0)</f>
        <v>261.48719999999997</v>
      </c>
      <c r="AK68" s="14">
        <f t="shared" si="35"/>
        <v>63.039283586802391</v>
      </c>
      <c r="AL68" s="22">
        <f t="shared" ref="AL68:AL131" si="58">(AJ68+AK68)*0.475*44/12</f>
        <v>565.21695891368086</v>
      </c>
      <c r="AM68" s="62">
        <f t="shared" ref="AM68:AM131" si="59">AL68+(AD68+AE68)*44/12</f>
        <v>858.55029224701411</v>
      </c>
      <c r="AN68" s="62">
        <f ca="1">AVERAGE(OFFSET($AM$3,0,0,'Données projet'!$E$10+1,1))-AVERAGE(OFFSET($H$3,0,0,'Données projet'!$E$10+1,1))</f>
        <v>439.19854273764042</v>
      </c>
      <c r="AO68" s="62">
        <f t="shared" si="36"/>
        <v>278.21741231699929</v>
      </c>
      <c r="AP68" s="16">
        <f>IF(ISNA(VLOOKUP(A68,'Données projet'!$A$61:$I$81,3,0)),0,VLOOKUP(A68,'Données projet'!$A$61:$I$81,3,0))</f>
        <v>10</v>
      </c>
      <c r="AQ68" s="16">
        <f>IF(ISNA(VLOOKUP(A68,'Données projet'!$A$61:$I$81,4,0)),0,VLOOKUP(A68,'Données projet'!$A$61:$I$81,4,0))</f>
        <v>28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3.4597900380608317</v>
      </c>
      <c r="AW68" s="23">
        <f>EXP(-LN(2)/2)*AW67+(1-EXP(-LN(2)/2))/(LN(2)/2)*AQ68*AT68*VLOOKUP('Données projet'!$B$10,Paramètres!$A$1:$I$89,3,0)*0.475*44/12</f>
        <v>8.0435201699294783E-5</v>
      </c>
      <c r="AX68" s="23">
        <f t="shared" ref="AX68:AX131" si="60">SUM(AU68:AW68)</f>
        <v>3.4598704732625309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306</v>
      </c>
      <c r="BB68" s="13">
        <f>VLOOKUP(A68,'Données projet'!$A$87:$I$107,9,0)</f>
        <v>5.2</v>
      </c>
      <c r="BC68" s="13">
        <f t="array" ref="BC68">INDEX(BB:BB,MIN(IF(ISNUMBER(BB68:BB264),ROW(BB68:BB264),"")))</f>
        <v>5.2</v>
      </c>
      <c r="BD68" s="13">
        <f>IF('Données projet'!$A$88&gt;35,BD67+BC68-BL67,IF(A68&lt;'Données projet'!$A$88,$BA$205^A68,IF(A68='Données projet'!$A$88,'Données projet'!$B$88,BD67+BC68-BL67)))</f>
        <v>305.99999999999977</v>
      </c>
      <c r="BE68" s="14">
        <f>BD68*VLOOKUP('Données projet'!$B$11,Paramètres!$A$1:$I$89,3,0)*VLOOKUP('Données projet'!$B$11,Paramètres!$A$1:$I$89,5,0)</f>
        <v>243.45359999999982</v>
      </c>
      <c r="BF68" s="14">
        <f t="shared" si="37"/>
        <v>59.181970343065267</v>
      </c>
      <c r="BG68" s="22">
        <f t="shared" ref="BG68:BG131" si="61">(BE68+BF68)*0.475*44/12</f>
        <v>527.09028501417163</v>
      </c>
      <c r="BH68" s="62">
        <f t="shared" ref="BH68:BH131" si="62">BG68+(AY68+AZ68)*44/12</f>
        <v>820.423618347505</v>
      </c>
      <c r="BI68" s="62">
        <f ca="1">AVERAGE(OFFSET($BH$3,0,0,'Données projet'!$E$11+1,1))-AVERAGE(OFFSET($H$3,0,0,'Données projet'!$E$11+1,1))</f>
        <v>352.88510024787888</v>
      </c>
      <c r="BJ68" s="62">
        <f t="shared" si="38"/>
        <v>343.77208530767069</v>
      </c>
      <c r="BK68" s="16">
        <f>IF(ISNA(VLOOKUP(A68,'Données projet'!$A$87:$I$107,3,0)),0,VLOOKUP(A68,'Données projet'!$A$87:$I$107,3,0))</f>
        <v>12</v>
      </c>
      <c r="BL68" s="16">
        <f>IF(ISNA(VLOOKUP(A68,'Données projet'!$A$87:$I$107,4,0)),0,VLOOKUP(A68,'Données projet'!$A$87:$I$107,4,0))</f>
        <v>13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4.6572996535781819</v>
      </c>
      <c r="BR68" s="23">
        <f>EXP(-LN(2)/2)*BR67+(1-EXP(-LN(2)/2))/(LN(2)/2)*BL68*BO68*VLOOKUP('Données projet'!$B$11,Paramètres!$A$1:$I$89,3,0)*0.475*44/12</f>
        <v>2.1296963743815772E-6</v>
      </c>
      <c r="BS68" s="24">
        <f t="shared" ref="BS68:BS131" si="63">SUM(BP68:BR68)</f>
        <v>4.6573017832745567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306</v>
      </c>
      <c r="BW68" s="13">
        <f>VLOOKUP(A68,'Données projet'!$A$113:$I$133,9,0)</f>
        <v>5.2</v>
      </c>
      <c r="BX68" s="13">
        <f t="array" ref="BX68">INDEX(BW:BW,MIN(IF(ISNUMBER(BW68:BW264),ROW(BW68:BW264),"")))</f>
        <v>5.2</v>
      </c>
      <c r="BY68" s="13">
        <f>IF('Données projet'!$A$114&gt;35,BY67+BX68-CG67,IF(A68&lt;'Données projet'!$A$114,$BV$205^A68,IF(A68='Données projet'!$A$114,'Données projet'!$B$114,BY67+BX68-CG67)))</f>
        <v>305.99999999999977</v>
      </c>
      <c r="BZ68" s="14">
        <f>BY68*VLOOKUP('Données projet'!$B$12,Paramètres!$A$1:$I$89,3,0)*VLOOKUP('Données projet'!$B$12,Paramètres!$A$1:$I$89,5,0)</f>
        <v>224.35919999999982</v>
      </c>
      <c r="CA68" s="14">
        <f t="shared" si="39"/>
        <v>55.061251669487206</v>
      </c>
      <c r="CB68" s="22">
        <f t="shared" ref="CB68:CB131" si="64">(BZ68+CA68)*0.475*44/12</f>
        <v>486.65728665768989</v>
      </c>
      <c r="CC68" s="62">
        <f t="shared" ref="CC68:CC131" si="65">CB68+(BT68+BU68)*44/12</f>
        <v>779.99061999102321</v>
      </c>
      <c r="CD68" s="62">
        <f ca="1">AVERAGE(OFFSET($CC$3,0,0,'Données projet'!$E$12+1,1))-AVERAGE(OFFSET($H$3,0,0,'Données projet'!$E$12+1,1))</f>
        <v>328.10411227536315</v>
      </c>
      <c r="CE68" s="62">
        <f t="shared" si="40"/>
        <v>320.24200483294322</v>
      </c>
      <c r="CF68" s="16">
        <f>IF(ISNA(VLOOKUP(A68,'Données projet'!$A$113:$I$133,3,0)),0,VLOOKUP(A68,'Données projet'!$A$113:$I$133,3,0))</f>
        <v>12</v>
      </c>
      <c r="CG68" s="16">
        <f>IF(ISNA(VLOOKUP(A68,'Données projet'!$A$113:$I$133,4,0)),0,VLOOKUP(A68,'Données projet'!$A$113:$I$133,4,0))</f>
        <v>13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4.5393546048588336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4.5393546048588336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8.6666666666666661</v>
      </c>
      <c r="CT68" s="13">
        <f>IF('Données projet'!$A$140&gt;35,CT67+CS68-DB67,IF(A68&lt;'Données projet'!$A$140,$CQ$205^A68,IF(A68='Données projet'!$A$140,'Données projet'!$B$140,CT67+CS68-DB67)))</f>
        <v>293.33333333333331</v>
      </c>
      <c r="CU68" s="18">
        <f>CT68*VLOOKUP('Données projet'!$B$13,Paramètres!$A$1:$I$89,3,0)*VLOOKUP('Données projet'!$B$13,Paramètres!$A$1:$I$89,5,0)</f>
        <v>228.79999999999998</v>
      </c>
      <c r="CV68" s="14">
        <f t="shared" si="41"/>
        <v>56.023134533701196</v>
      </c>
      <c r="CW68" s="22">
        <f t="shared" ref="CW68:CW131" si="67">(CU68+CV68)*0.475*44/12</f>
        <v>496.06695931286293</v>
      </c>
      <c r="CX68" s="62">
        <f t="shared" ref="CX68:CX131" si="68">CW68+(CO68+CP68)*44/12</f>
        <v>789.40029264619625</v>
      </c>
      <c r="CY68" s="62">
        <f ca="1">AVERAGE(OFFSET($CX$3,0,0,'Données projet'!$E$13+1,1))-AVERAGE(OFFSET($H$3,0,0,'Données projet'!$E$13+1,1))</f>
        <v>288.82868507674738</v>
      </c>
      <c r="CZ68" s="62">
        <f t="shared" si="42"/>
        <v>283.48738729114024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5.1041583777184272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5.1041583777184272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289</v>
      </c>
      <c r="DM68" s="13">
        <f>VLOOKUP(A68,'Données projet'!$A$165:$I$185,9,0)</f>
        <v>8.8000000000000007</v>
      </c>
      <c r="DN68" s="13">
        <f t="array" ref="DN68">INDEX(DM:DM,MIN(IF(ISNUMBER(DM68:DM264),ROW(DM68:DM264),"")))</f>
        <v>8.8000000000000007</v>
      </c>
      <c r="DO68" s="13">
        <f>IF('Données projet'!$A$166&gt;35,DO67+DN68-DW67,IF(A68&lt;'Données projet'!$A$166,$DL$205^A68,IF(A68='Données projet'!$A$166,'Données projet'!$B$166,DO67+DN68-DW67)))</f>
        <v>289</v>
      </c>
      <c r="DP68" s="18">
        <f>DO68*VLOOKUP('Données projet'!$B$14,Paramètres!$A$1:$I$89,3,0)*VLOOKUP('Données projet'!$B$14,Paramètres!$A$1:$I$89,5,0)</f>
        <v>293.04599999999999</v>
      </c>
      <c r="DQ68" s="14">
        <f t="shared" si="43"/>
        <v>69.716654076072615</v>
      </c>
      <c r="DR68" s="22">
        <f t="shared" ref="DR68:DR131" si="70">(DP68+DQ68)*0.475*44/12</f>
        <v>631.81162251582646</v>
      </c>
      <c r="DS68" s="62">
        <f t="shared" ref="DS68:DS131" si="71">DR68+(DJ68+DK68)*44/12</f>
        <v>925.14495584915971</v>
      </c>
      <c r="DT68" s="62">
        <f ca="1">AVERAGE(OFFSET($DS$3,0,0,'Données projet'!$E$14+1,1))-AVERAGE(OFFSET($H$3,0,0,'Données projet'!$E$14+1,1))</f>
        <v>487.04124684635974</v>
      </c>
      <c r="DU68" s="62">
        <f t="shared" si="44"/>
        <v>306.61893266146666</v>
      </c>
      <c r="DV68" s="16">
        <f>IF(ISNA(VLOOKUP(A68,'Données projet'!$A$165:$I$185,3,0)),0,VLOOKUP(A68,'Données projet'!$A$165:$I$185,3,0))</f>
        <v>10</v>
      </c>
      <c r="DW68" s="16">
        <f>IF(ISNA(VLOOKUP(A68,'Données projet'!$A$165:$I$185,4,0)),0,VLOOKUP(A68,'Données projet'!$A$165:$I$185,4,0))</f>
        <v>28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6.1222092067902532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6.1222092067902532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289</v>
      </c>
      <c r="EH68" s="13">
        <f>VLOOKUP(A68,'Données projet'!$A$191:$I$211,9,0)</f>
        <v>8.8000000000000007</v>
      </c>
      <c r="EI68" s="13">
        <f t="array" ref="EI68">INDEX(EH:EH,MIN(IF(ISNUMBER(EH68:EH264),ROW(EH68:EH264),"")))</f>
        <v>8.8000000000000007</v>
      </c>
      <c r="EJ68" s="13">
        <f>IF('Données projet'!$A$192&gt;35,EJ67+EI68-ER67,IF(A68&lt;'Données projet'!$A$192,$EG$205^A68,IF(A68='Données projet'!$A$192,'Données projet'!$B$192,EJ67+EI68-ER67)))</f>
        <v>289</v>
      </c>
      <c r="EK68" s="18">
        <f>EJ68*VLOOKUP('Données projet'!$B$15,Paramètres!$A$1:$I$89,3,0)*VLOOKUP('Données projet'!$B$15,Paramètres!$A$1:$I$89,5,0)</f>
        <v>275.01240000000001</v>
      </c>
      <c r="EL68" s="14">
        <f t="shared" si="45"/>
        <v>65.911885597559035</v>
      </c>
      <c r="EM68" s="22">
        <f t="shared" ref="EM68:EM131" si="73">(EK68+EL68)*0.475*44/12</f>
        <v>593.77646408241537</v>
      </c>
      <c r="EN68" s="62">
        <f t="shared" ref="EN68:EN131" si="74">EM68+(EE68+EF68)*44/12</f>
        <v>887.10979741574874</v>
      </c>
      <c r="EO68" s="62">
        <f ca="1">AVERAGE(OFFSET($EN$3,0,0,'Données projet'!$E$15+1,1))-AVERAGE(OFFSET($H$3,0,0,'Données projet'!$E$15+1,1))</f>
        <v>459.64120566196812</v>
      </c>
      <c r="EP68" s="62">
        <f t="shared" si="46"/>
        <v>290.39826583283588</v>
      </c>
      <c r="EQ68" s="16">
        <f>IF(ISNA(VLOOKUP(A68,'Données projet'!$A$191:$I$211,3,0)),0,VLOOKUP(A68,'Données projet'!$A$191:$I$211,3,0))</f>
        <v>10</v>
      </c>
      <c r="ER68" s="16">
        <f>IF(ISNA(VLOOKUP(A68,'Données projet'!$A$191:$I$211,4,0)),0,VLOOKUP(A68,'Données projet'!$A$191:$I$211,4,0))</f>
        <v>28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5.7454578709877735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5.7454578709877735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>
        <f>VLOOKUP(A68,'Données projet'!$A$217:$I$237,2,0)</f>
        <v>289</v>
      </c>
      <c r="FC68" s="13">
        <f>VLOOKUP(A68,'Données projet'!$A$217:$I$237,9,0)</f>
        <v>8.8000000000000007</v>
      </c>
      <c r="FD68" s="13">
        <f t="array" ref="FD68">INDEX(FC:FC,MIN(IF(ISNUMBER(FC68:FC264),ROW(FC68:FC264),"")))</f>
        <v>8.8000000000000007</v>
      </c>
      <c r="FE68" s="13">
        <f>IF('Données projet'!$A$218&gt;35,FE67+FD68-FM67,IF(A68&lt;'Données projet'!$A$218,$FB$205^A68,IF(A68='Données projet'!$A$218,'Données projet'!$B$218,FE67+FD68-FM67)))</f>
        <v>289</v>
      </c>
      <c r="FF68" s="18">
        <f>FE68*VLOOKUP('Données projet'!$B$16,Paramètres!$A$1:$I$89,3,0)*VLOOKUP('Données projet'!$B$16,Paramètres!$A$1:$I$89,5,0)</f>
        <v>193.8612</v>
      </c>
      <c r="FG68" s="14">
        <f t="shared" si="47"/>
        <v>48.392607244332538</v>
      </c>
      <c r="FH68" s="22">
        <f t="shared" ref="FH68:FH131" si="76">(FF68+FG68)*0.475*44/12</f>
        <v>421.92538095054584</v>
      </c>
      <c r="FI68" s="62">
        <f t="shared" ref="FI68:FI131" si="77">FH68+(EZ68+FA68)*44/12</f>
        <v>715.25871428387916</v>
      </c>
      <c r="FJ68" s="62">
        <f ca="1">AVERAGE(OFFSET($FI$3,0,0,'Données projet'!$E$16+1,1))-AVERAGE(OFFSET($H$3,0,0,'Données projet'!$E$16+1,1))</f>
        <v>335.83558218229564</v>
      </c>
      <c r="FK68" s="62">
        <f t="shared" si="48"/>
        <v>217.08423061559648</v>
      </c>
      <c r="FL68" s="16">
        <f>IF(ISNA(VLOOKUP(A68,'Données projet'!$A$217:$I$237,3,0)),0,VLOOKUP(A68,'Données projet'!$A$217:$I$237,3,0))</f>
        <v>10</v>
      </c>
      <c r="FM68" s="16">
        <f>IF(ISNA(VLOOKUP(A68,'Données projet'!$A$217:$I$237,4,0)),0,VLOOKUP(A68,'Données projet'!$A$217:$I$237,4,0))</f>
        <v>28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0</v>
      </c>
      <c r="FR68" s="23">
        <f>EXP(-LN(2)/25)*FR67+(1-EXP(-LN(2)/25))/(LN(2)/25)*Calculateur!FM68*Calculateur!FO68*VLOOKUP('Données projet'!$B$16,Paramètres!$A$1:$I$89,3,0)*0.475*44/12</f>
        <v>3.1615322761590372</v>
      </c>
      <c r="FS68" s="23">
        <f>EXP(-LN(2)/2)*FS67+(1-EXP(-LN(2)/2))/(LN(2)/2)*FM68*FP68*VLOOKUP('Données projet'!$B$16,Paramètres!$A$1:$I$89,3,0)*0.475*44/12</f>
        <v>5.9632994363270334E-5</v>
      </c>
      <c r="FT68" s="24">
        <f t="shared" ref="FT68:FT131" si="78">SUM(FQ68:FS68)</f>
        <v>3.1615919091534006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5.2</v>
      </c>
      <c r="N69" s="14">
        <f>IF('Données projet'!$A$36&gt;35,N68+M69-V68,IF(A69&lt;'Données projet'!$A$36,$K$205^A69,IF(A69='Données projet'!$A$36,'Données projet'!$B$36,N68+M69-V68)))</f>
        <v>228.20000000000024</v>
      </c>
      <c r="O69" s="14">
        <f>N69*VLOOKUP('Données projet'!$B$9,Paramètres!$A$1:$I$89,3,0)*VLOOKUP('Données projet'!$B$9,Paramètres!$A$1:$I$89,5,0)</f>
        <v>199.35552000000024</v>
      </c>
      <c r="P69" s="14">
        <f t="shared" ref="P69:P132" si="87">EXP(-1.0587+0.8836*LN(O69)+0.284)</f>
        <v>49.602503932783272</v>
      </c>
      <c r="Q69" s="22">
        <f t="shared" si="54"/>
        <v>433.60189168293124</v>
      </c>
      <c r="R69" s="62">
        <f t="shared" si="55"/>
        <v>726.93522501626455</v>
      </c>
      <c r="S69" s="62">
        <f ca="1">AVERAGE(OFFSET($R$3,0,0,'Données projet'!$E$9+1,1))-AVERAGE(OFFSET($H$3,0,0,'Données projet'!$E$9+1,1))</f>
        <v>321.23599968992932</v>
      </c>
      <c r="T69" s="62">
        <f t="shared" ref="T69:T132" si="88">$T$3</f>
        <v>388.05195847800502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9.4285240971984052</v>
      </c>
      <c r="AB69" s="23">
        <f>EXP(-LN(2)/2)*AB68+(1-EXP(-LN(2)/2))/(LN(2)/2)*V69*Y69*VLOOKUP('Données projet'!$B$9,Paramètres!$A$1:$I$89,3,0)*0.475*44/12</f>
        <v>6.9681198435417714E-5</v>
      </c>
      <c r="AC69" s="24">
        <f t="shared" si="57"/>
        <v>9.4285937783968414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8.1999999999999993</v>
      </c>
      <c r="AI69" s="14">
        <f>IF('Données projet'!$A$62&gt;35,AI68+AH69-AQ68,IF(A69&lt;'Données projet'!$A$62,$AF$205^A69,IF(A69='Données projet'!$A$62,'Données projet'!$B$62,AI68+AH69-AQ68)))</f>
        <v>269.2</v>
      </c>
      <c r="AJ69" s="14">
        <f>AI69*VLOOKUP('Données projet'!$B$10,Paramètres!$A$1:$I$89,3,0)*VLOOKUP('Données projet'!$B$10,Paramètres!$A$1:$I$89,5,0)</f>
        <v>243.57216</v>
      </c>
      <c r="AK69" s="14">
        <f t="shared" ref="AK69:AK132" si="89">EXP(-1.0587+0.8836*LN(AJ69)+0.284)</f>
        <v>59.207435995642292</v>
      </c>
      <c r="AL69" s="22">
        <f t="shared" si="58"/>
        <v>527.34112969241028</v>
      </c>
      <c r="AM69" s="62">
        <f t="shared" si="59"/>
        <v>820.67446302574353</v>
      </c>
      <c r="AN69" s="62">
        <f ca="1">AVERAGE(OFFSET($AM$3,0,0,'Données projet'!$E$10+1,1))-AVERAGE(OFFSET($H$3,0,0,'Données projet'!$E$10+1,1))</f>
        <v>439.19854273764042</v>
      </c>
      <c r="AO69" s="62">
        <f t="shared" ref="AO69:AO132" si="90">$AO$3</f>
        <v>278.21741231699929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3.3651818975276075</v>
      </c>
      <c r="AW69" s="23">
        <f>EXP(-LN(2)/2)*AW68+(1-EXP(-LN(2)/2))/(LN(2)/2)*AQ69*AT69*VLOOKUP('Données projet'!$B$10,Paramètres!$A$1:$I$89,3,0)*0.475*44/12</f>
        <v>5.6876276567679053E-5</v>
      </c>
      <c r="AX69" s="23">
        <f t="shared" si="60"/>
        <v>3.3652387738041751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4.4000000000000004</v>
      </c>
      <c r="BD69" s="13">
        <f>IF('Données projet'!$A$88&gt;35,BD68+BC69-BL68,IF(A69&lt;'Données projet'!$A$88,$BA$205^A69,IF(A69='Données projet'!$A$88,'Données projet'!$B$88,BD68+BC69-BL68)))</f>
        <v>297.39999999999975</v>
      </c>
      <c r="BE69" s="14">
        <f>BD69*VLOOKUP('Données projet'!$B$11,Paramètres!$A$1:$I$89,3,0)*VLOOKUP('Données projet'!$B$11,Paramètres!$A$1:$I$89,5,0)</f>
        <v>236.61143999999979</v>
      </c>
      <c r="BF69" s="14">
        <f t="shared" ref="BF69:BF132" si="91">EXP(-1.0587+0.8836*LN(BE69)+0.284)</f>
        <v>57.70986302809164</v>
      </c>
      <c r="BG69" s="22">
        <f t="shared" si="61"/>
        <v>512.60960277392599</v>
      </c>
      <c r="BH69" s="62">
        <f t="shared" si="62"/>
        <v>805.94293610725936</v>
      </c>
      <c r="BI69" s="62">
        <f ca="1">AVERAGE(OFFSET($BH$3,0,0,'Données projet'!$E$11+1,1))-AVERAGE(OFFSET($H$3,0,0,'Données projet'!$E$11+1,1))</f>
        <v>352.88510024787888</v>
      </c>
      <c r="BJ69" s="62">
        <f t="shared" ref="BJ69:BJ132" si="92">$BJ$3</f>
        <v>343.77208530767069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4.5299455496343422</v>
      </c>
      <c r="BR69" s="23">
        <f>EXP(-LN(2)/2)*BR68+(1-EXP(-LN(2)/2))/(LN(2)/2)*BL69*BO69*VLOOKUP('Données projet'!$B$11,Paramètres!$A$1:$I$89,3,0)*0.475*44/12</f>
        <v>1.5059227481936175E-6</v>
      </c>
      <c r="BS69" s="24">
        <f t="shared" si="63"/>
        <v>4.5299470555570904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4.4000000000000004</v>
      </c>
      <c r="BY69" s="13">
        <f>IF('Données projet'!$A$114&gt;35,BY68+BX69-CG68,IF(A69&lt;'Données projet'!$A$114,$BV$205^A69,IF(A69='Données projet'!$A$114,'Données projet'!$B$114,BY68+BX69-CG68)))</f>
        <v>297.39999999999975</v>
      </c>
      <c r="BZ69" s="14">
        <f>BY69*VLOOKUP('Données projet'!$B$12,Paramètres!$A$1:$I$89,3,0)*VLOOKUP('Données projet'!$B$12,Paramètres!$A$1:$I$89,5,0)</f>
        <v>218.05367999999982</v>
      </c>
      <c r="CA69" s="14">
        <f t="shared" ref="CA69:CA132" si="93">EXP(-1.0587+0.8836*LN(BZ69)+0.284)</f>
        <v>53.691644154151177</v>
      </c>
      <c r="CB69" s="22">
        <f t="shared" si="64"/>
        <v>473.28977290181297</v>
      </c>
      <c r="CC69" s="62">
        <f t="shared" si="65"/>
        <v>766.62310623514622</v>
      </c>
      <c r="CD69" s="62">
        <f ca="1">AVERAGE(OFFSET($CC$3,0,0,'Données projet'!$E$12+1,1))-AVERAGE(OFFSET($H$3,0,0,'Données projet'!$E$12+1,1))</f>
        <v>328.10411227536315</v>
      </c>
      <c r="CE69" s="62">
        <f t="shared" ref="CE69:CE132" si="94">$CE$3</f>
        <v>320.24200483294322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4.4503406297904711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4.4503406297904711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8.6666666666666661</v>
      </c>
      <c r="CT69" s="13">
        <f>IF('Données projet'!$A$140&gt;35,CT68+CS69-DB68,IF(A69&lt;'Données projet'!$A$140,$CQ$205^A69,IF(A69='Données projet'!$A$140,'Données projet'!$B$140,CT68+CS69-DB68)))</f>
        <v>302</v>
      </c>
      <c r="CU69" s="18">
        <f>CT69*VLOOKUP('Données projet'!$B$13,Paramètres!$A$1:$I$89,3,0)*VLOOKUP('Données projet'!$B$13,Paramètres!$A$1:$I$89,5,0)</f>
        <v>235.56</v>
      </c>
      <c r="CV69" s="14">
        <f t="shared" ref="CV69:CV132" si="95">EXP(-1.0587+0.8836*LN(CU69)+0.284)</f>
        <v>57.483207143847721</v>
      </c>
      <c r="CW69" s="22">
        <f t="shared" si="67"/>
        <v>510.38358577553481</v>
      </c>
      <c r="CX69" s="62">
        <f t="shared" si="68"/>
        <v>803.71691910886807</v>
      </c>
      <c r="CY69" s="62">
        <f ca="1">AVERAGE(OFFSET($CX$3,0,0,'Données projet'!$E$13+1,1))-AVERAGE(OFFSET($H$3,0,0,'Données projet'!$E$13+1,1))</f>
        <v>288.82868507674738</v>
      </c>
      <c r="CZ69" s="62">
        <f t="shared" ref="CZ69:CZ132" si="96">$CZ$3</f>
        <v>283.48738729114024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5.0040689451605731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5.0040689451605731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8.1999999999999993</v>
      </c>
      <c r="DO69" s="13">
        <f>IF('Données projet'!$A$166&gt;35,DO68+DN69-DW68,IF(A69&lt;'Données projet'!$A$166,$DL$205^A69,IF(A69='Données projet'!$A$166,'Données projet'!$B$166,DO68+DN69-DW68)))</f>
        <v>269.2</v>
      </c>
      <c r="DP69" s="18">
        <f>DO69*VLOOKUP('Données projet'!$B$14,Paramètres!$A$1:$I$89,3,0)*VLOOKUP('Données projet'!$B$14,Paramètres!$A$1:$I$89,5,0)</f>
        <v>272.96879999999999</v>
      </c>
      <c r="DQ69" s="14">
        <f t="shared" ref="DQ69:DQ132" si="97">EXP(-1.0587+0.8836*LN(DP69)+0.284)</f>
        <v>65.478922017818945</v>
      </c>
      <c r="DR69" s="22">
        <f t="shared" si="70"/>
        <v>589.46311584770126</v>
      </c>
      <c r="DS69" s="62">
        <f t="shared" si="71"/>
        <v>882.79644918103463</v>
      </c>
      <c r="DT69" s="62">
        <f ca="1">AVERAGE(OFFSET($DS$3,0,0,'Données projet'!$E$14+1,1))-AVERAGE(OFFSET($H$3,0,0,'Données projet'!$E$14+1,1))</f>
        <v>487.04124684635974</v>
      </c>
      <c r="DU69" s="62">
        <f t="shared" ref="DU69:DU132" si="98">$DU$3</f>
        <v>306.61893266146666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6.0021564184239926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6.0021564184239926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8.1999999999999993</v>
      </c>
      <c r="EJ69" s="13">
        <f>IF('Données projet'!$A$192&gt;35,EJ68+EI69-ER68,IF(A69&lt;'Données projet'!$A$192,$EG$205^A69,IF(A69='Données projet'!$A$192,'Données projet'!$B$192,EJ68+EI69-ER68)))</f>
        <v>269.2</v>
      </c>
      <c r="EK69" s="18">
        <f>EJ69*VLOOKUP('Données projet'!$B$15,Paramètres!$A$1:$I$89,3,0)*VLOOKUP('Données projet'!$B$15,Paramètres!$A$1:$I$89,5,0)</f>
        <v>256.17072000000002</v>
      </c>
      <c r="EL69" s="14">
        <f t="shared" ref="EL69:EL132" si="99">EXP(-1.0587+0.8836*LN(EK69)+0.284)</f>
        <v>61.905426677256543</v>
      </c>
      <c r="EM69" s="22">
        <f t="shared" si="73"/>
        <v>553.98262212955512</v>
      </c>
      <c r="EN69" s="62">
        <f t="shared" si="74"/>
        <v>847.3159554628885</v>
      </c>
      <c r="EO69" s="62">
        <f ca="1">AVERAGE(OFFSET($EN$3,0,0,'Données projet'!$E$15+1,1))-AVERAGE(OFFSET($H$3,0,0,'Données projet'!$E$15+1,1))</f>
        <v>459.64120566196812</v>
      </c>
      <c r="EP69" s="62">
        <f t="shared" ref="EP69:EP132" si="100">$EP$3</f>
        <v>290.39826583283588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5.6327929465209756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5.6327929465209756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8.1999999999999993</v>
      </c>
      <c r="FE69" s="13">
        <f>IF('Données projet'!$A$218&gt;35,FE68+FD69-FM68,IF(A69&lt;'Données projet'!$A$218,$FB$205^A69,IF(A69='Données projet'!$A$218,'Données projet'!$B$218,FE68+FD69-FM68)))</f>
        <v>269.2</v>
      </c>
      <c r="FF69" s="18">
        <f>FE69*VLOOKUP('Données projet'!$B$16,Paramètres!$A$1:$I$89,3,0)*VLOOKUP('Données projet'!$B$16,Paramètres!$A$1:$I$89,5,0)</f>
        <v>180.57936000000001</v>
      </c>
      <c r="FG69" s="14">
        <f t="shared" ref="FG69:FG132" si="101">EXP(-1.0587+0.8836*LN(FF69)+0.284)</f>
        <v>45.45105897556433</v>
      </c>
      <c r="FH69" s="22">
        <f t="shared" si="76"/>
        <v>393.66964638244121</v>
      </c>
      <c r="FI69" s="62">
        <f t="shared" si="77"/>
        <v>687.00297971577447</v>
      </c>
      <c r="FJ69" s="62">
        <f ca="1">AVERAGE(OFFSET($FI$3,0,0,'Données projet'!$E$16+1,1))-AVERAGE(OFFSET($H$3,0,0,'Données projet'!$E$16+1,1))</f>
        <v>335.83558218229564</v>
      </c>
      <c r="FK69" s="62">
        <f t="shared" ref="FK69:FK132" si="102">$FK$3</f>
        <v>217.08423061559648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0</v>
      </c>
      <c r="FR69" s="23">
        <f>EXP(-LN(2)/25)*FR68+(1-EXP(-LN(2)/25))/(LN(2)/25)*Calculateur!FM69*Calculateur!FO69*VLOOKUP('Données projet'!$B$16,Paramètres!$A$1:$I$89,3,0)*0.475*44/12</f>
        <v>3.0750800098097115</v>
      </c>
      <c r="FS69" s="23">
        <f>EXP(-LN(2)/2)*FS68+(1-EXP(-LN(2)/2))/(LN(2)/2)*FM69*FP69*VLOOKUP('Données projet'!$B$16,Paramètres!$A$1:$I$89,3,0)*0.475*44/12</f>
        <v>4.2166894696727623E-5</v>
      </c>
      <c r="FT69" s="24">
        <f t="shared" si="78"/>
        <v>3.0751221767044083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5.2</v>
      </c>
      <c r="N70" s="14">
        <f>IF('Données projet'!$A$36&gt;35,N69+M70-V69,IF(A70&lt;'Données projet'!$A$36,$K$205^A70,IF(A70='Données projet'!$A$36,'Données projet'!$B$36,N69+M70-V69)))</f>
        <v>233.40000000000023</v>
      </c>
      <c r="O70" s="14">
        <f>N70*VLOOKUP('Données projet'!$B$9,Paramètres!$A$1:$I$89,3,0)*VLOOKUP('Données projet'!$B$9,Paramètres!$A$1:$I$89,5,0)</f>
        <v>203.89824000000024</v>
      </c>
      <c r="P70" s="14">
        <f t="shared" si="87"/>
        <v>50.599918019430255</v>
      </c>
      <c r="Q70" s="22">
        <f t="shared" si="54"/>
        <v>443.25095855050807</v>
      </c>
      <c r="R70" s="62">
        <f t="shared" si="55"/>
        <v>736.58429188384139</v>
      </c>
      <c r="S70" s="62">
        <f ca="1">AVERAGE(OFFSET($R$3,0,0,'Données projet'!$E$9+1,1))-AVERAGE(OFFSET($H$3,0,0,'Données projet'!$E$9+1,1))</f>
        <v>321.23599968992932</v>
      </c>
      <c r="T70" s="62">
        <f t="shared" si="88"/>
        <v>388.05195847800502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9.1707006099359809</v>
      </c>
      <c r="AB70" s="23">
        <f>EXP(-LN(2)/2)*AB69+(1-EXP(-LN(2)/2))/(LN(2)/2)*V70*Y70*VLOOKUP('Données projet'!$B$9,Paramètres!$A$1:$I$89,3,0)*0.475*44/12</f>
        <v>4.9272047934889312E-5</v>
      </c>
      <c r="AC70" s="24">
        <f t="shared" si="57"/>
        <v>9.1707498819839159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8.1999999999999993</v>
      </c>
      <c r="AI70" s="14">
        <f>IF('Données projet'!$A$62&gt;35,AI69+AH70-AQ69,IF(A70&lt;'Données projet'!$A$62,$AF$205^A70,IF(A70='Données projet'!$A$62,'Données projet'!$B$62,AI69+AH70-AQ69)))</f>
        <v>277.39999999999998</v>
      </c>
      <c r="AJ70" s="14">
        <f>AI70*VLOOKUP('Données projet'!$B$10,Paramètres!$A$1:$I$89,3,0)*VLOOKUP('Données projet'!$B$10,Paramètres!$A$1:$I$89,5,0)</f>
        <v>250.99151999999995</v>
      </c>
      <c r="AK70" s="14">
        <f t="shared" si="89"/>
        <v>60.798211000769406</v>
      </c>
      <c r="AL70" s="22">
        <f t="shared" si="58"/>
        <v>543.03378149300659</v>
      </c>
      <c r="AM70" s="62">
        <f t="shared" si="59"/>
        <v>836.36711482633996</v>
      </c>
      <c r="AN70" s="62">
        <f ca="1">AVERAGE(OFFSET($AM$3,0,0,'Données projet'!$E$10+1,1))-AVERAGE(OFFSET($H$3,0,0,'Données projet'!$E$10+1,1))</f>
        <v>439.19854273764042</v>
      </c>
      <c r="AO70" s="62">
        <f t="shared" si="90"/>
        <v>278.21741231699929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3.2731608215724903</v>
      </c>
      <c r="AW70" s="23">
        <f>EXP(-LN(2)/2)*AW69+(1-EXP(-LN(2)/2))/(LN(2)/2)*AQ70*AT70*VLOOKUP('Données projet'!$B$10,Paramètres!$A$1:$I$89,3,0)*0.475*44/12</f>
        <v>4.0217600849647392E-5</v>
      </c>
      <c r="AX70" s="23">
        <f t="shared" si="60"/>
        <v>3.2732010391733399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4.4000000000000004</v>
      </c>
      <c r="BD70" s="13">
        <f>IF('Données projet'!$A$88&gt;35,BD69+BC70-BL69,IF(A70&lt;'Données projet'!$A$88,$BA$205^A70,IF(A70='Données projet'!$A$88,'Données projet'!$B$88,BD69+BC70-BL69)))</f>
        <v>301.79999999999973</v>
      </c>
      <c r="BE70" s="14">
        <f>BD70*VLOOKUP('Données projet'!$B$11,Paramètres!$A$1:$I$89,3,0)*VLOOKUP('Données projet'!$B$11,Paramètres!$A$1:$I$89,5,0)</f>
        <v>240.11207999999979</v>
      </c>
      <c r="BF70" s="14">
        <f t="shared" si="91"/>
        <v>58.463644384894735</v>
      </c>
      <c r="BG70" s="22">
        <f t="shared" si="61"/>
        <v>520.0193866370247</v>
      </c>
      <c r="BH70" s="62">
        <f t="shared" si="62"/>
        <v>813.35271997035807</v>
      </c>
      <c r="BI70" s="62">
        <f ca="1">AVERAGE(OFFSET($BH$3,0,0,'Données projet'!$E$11+1,1))-AVERAGE(OFFSET($H$3,0,0,'Données projet'!$E$11+1,1))</f>
        <v>352.88510024787888</v>
      </c>
      <c r="BJ70" s="62">
        <f t="shared" si="92"/>
        <v>343.77208530767069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4.4060739503601081</v>
      </c>
      <c r="BR70" s="23">
        <f>EXP(-LN(2)/2)*BR69+(1-EXP(-LN(2)/2))/(LN(2)/2)*BL70*BO70*VLOOKUP('Données projet'!$B$11,Paramètres!$A$1:$I$89,3,0)*0.475*44/12</f>
        <v>1.0648481871907886E-6</v>
      </c>
      <c r="BS70" s="24">
        <f t="shared" si="63"/>
        <v>4.4060750152082955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4.4000000000000004</v>
      </c>
      <c r="BY70" s="13">
        <f>IF('Données projet'!$A$114&gt;35,BY69+BX70-CG69,IF(A70&lt;'Données projet'!$A$114,$BV$205^A70,IF(A70='Données projet'!$A$114,'Données projet'!$B$114,BY69+BX70-CG69)))</f>
        <v>301.79999999999973</v>
      </c>
      <c r="BZ70" s="14">
        <f>BY70*VLOOKUP('Données projet'!$B$12,Paramètres!$A$1:$I$89,3,0)*VLOOKUP('Données projet'!$B$12,Paramètres!$A$1:$I$89,5,0)</f>
        <v>221.27975999999978</v>
      </c>
      <c r="CA70" s="14">
        <f t="shared" si="93"/>
        <v>54.392941267953155</v>
      </c>
      <c r="CB70" s="22">
        <f t="shared" si="64"/>
        <v>480.12995470835148</v>
      </c>
      <c r="CC70" s="62">
        <f t="shared" si="65"/>
        <v>773.46328804168479</v>
      </c>
      <c r="CD70" s="62">
        <f ca="1">AVERAGE(OFFSET($CC$3,0,0,'Données projet'!$E$12+1,1))-AVERAGE(OFFSET($H$3,0,0,'Données projet'!$E$12+1,1))</f>
        <v>328.10411227536315</v>
      </c>
      <c r="CE70" s="62">
        <f t="shared" si="94"/>
        <v>320.24200483294322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4.3630721644800357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4.3630721644800357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8.6666666666666661</v>
      </c>
      <c r="CT70" s="13">
        <f>IF('Données projet'!$A$140&gt;35,CT69+CS70-DB69,IF(A70&lt;'Données projet'!$A$140,$CQ$205^A70,IF(A70='Données projet'!$A$140,'Données projet'!$B$140,CT69+CS70-DB69)))</f>
        <v>310.66666666666669</v>
      </c>
      <c r="CU70" s="18">
        <f>CT70*VLOOKUP('Données projet'!$B$13,Paramètres!$A$1:$I$89,3,0)*VLOOKUP('Données projet'!$B$13,Paramètres!$A$1:$I$89,5,0)</f>
        <v>242.32000000000002</v>
      </c>
      <c r="CV70" s="14">
        <f t="shared" si="95"/>
        <v>58.938409961900859</v>
      </c>
      <c r="CW70" s="22">
        <f t="shared" si="67"/>
        <v>524.69173068364398</v>
      </c>
      <c r="CX70" s="62">
        <f t="shared" si="68"/>
        <v>818.02506401697724</v>
      </c>
      <c r="CY70" s="62">
        <f ca="1">AVERAGE(OFFSET($CX$3,0,0,'Données projet'!$E$13+1,1))-AVERAGE(OFFSET($H$3,0,0,'Données projet'!$E$13+1,1))</f>
        <v>288.82868507674738</v>
      </c>
      <c r="CZ70" s="62">
        <f t="shared" si="96"/>
        <v>283.48738729114024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4.905942205326653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4.905942205326653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8.1999999999999993</v>
      </c>
      <c r="DO70" s="13">
        <f>IF('Données projet'!$A$166&gt;35,DO69+DN70-DW69,IF(A70&lt;'Données projet'!$A$166,$DL$205^A70,IF(A70='Données projet'!$A$166,'Données projet'!$B$166,DO69+DN70-DW69)))</f>
        <v>277.39999999999998</v>
      </c>
      <c r="DP70" s="18">
        <f>DO70*VLOOKUP('Données projet'!$B$14,Paramètres!$A$1:$I$89,3,0)*VLOOKUP('Données projet'!$B$14,Paramètres!$A$1:$I$89,5,0)</f>
        <v>281.28360000000004</v>
      </c>
      <c r="DQ70" s="14">
        <f t="shared" si="97"/>
        <v>67.238198209347928</v>
      </c>
      <c r="DR70" s="22">
        <f t="shared" si="70"/>
        <v>607.00879854794766</v>
      </c>
      <c r="DS70" s="62">
        <f t="shared" si="71"/>
        <v>900.34213188128092</v>
      </c>
      <c r="DT70" s="62">
        <f ca="1">AVERAGE(OFFSET($DS$3,0,0,'Données projet'!$E$14+1,1))-AVERAGE(OFFSET($H$3,0,0,'Données projet'!$E$14+1,1))</f>
        <v>487.04124684635974</v>
      </c>
      <c r="DU70" s="62">
        <f t="shared" si="98"/>
        <v>306.61893266146666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5.8844577920126238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5.8844577920126238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8.1999999999999993</v>
      </c>
      <c r="EJ70" s="13">
        <f>IF('Données projet'!$A$192&gt;35,EJ69+EI70-ER69,IF(A70&lt;'Données projet'!$A$192,$EG$205^A70,IF(A70='Données projet'!$A$192,'Données projet'!$B$192,EJ69+EI70-ER69)))</f>
        <v>277.39999999999998</v>
      </c>
      <c r="EK70" s="18">
        <f>EJ70*VLOOKUP('Données projet'!$B$15,Paramètres!$A$1:$I$89,3,0)*VLOOKUP('Données projet'!$B$15,Paramètres!$A$1:$I$89,5,0)</f>
        <v>263.97383999999994</v>
      </c>
      <c r="EL70" s="14">
        <f t="shared" si="99"/>
        <v>63.56869082277958</v>
      </c>
      <c r="EM70" s="22">
        <f t="shared" si="73"/>
        <v>570.46990784967431</v>
      </c>
      <c r="EN70" s="62">
        <f t="shared" si="74"/>
        <v>863.80324118300769</v>
      </c>
      <c r="EO70" s="62">
        <f ca="1">AVERAGE(OFFSET($EN$3,0,0,'Données projet'!$E$15+1,1))-AVERAGE(OFFSET($H$3,0,0,'Données projet'!$E$15+1,1))</f>
        <v>459.64120566196812</v>
      </c>
      <c r="EP70" s="62">
        <f t="shared" si="100"/>
        <v>290.39826583283588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5.5223373125041526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5.5223373125041526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8.1999999999999993</v>
      </c>
      <c r="FE70" s="13">
        <f>IF('Données projet'!$A$218&gt;35,FE69+FD70-FM69,IF(A70&lt;'Données projet'!$A$218,$FB$205^A70,IF(A70='Données projet'!$A$218,'Données projet'!$B$218,FE69+FD70-FM69)))</f>
        <v>277.39999999999998</v>
      </c>
      <c r="FF70" s="18">
        <f>FE70*VLOOKUP('Données projet'!$B$16,Paramètres!$A$1:$I$89,3,0)*VLOOKUP('Données projet'!$B$16,Paramètres!$A$1:$I$89,5,0)</f>
        <v>186.07991999999999</v>
      </c>
      <c r="FG70" s="14">
        <f t="shared" si="101"/>
        <v>46.672230055835435</v>
      </c>
      <c r="FH70" s="22">
        <f t="shared" si="76"/>
        <v>405.37666134724668</v>
      </c>
      <c r="FI70" s="62">
        <f t="shared" si="77"/>
        <v>698.70999468057994</v>
      </c>
      <c r="FJ70" s="62">
        <f ca="1">AVERAGE(OFFSET($FI$3,0,0,'Données projet'!$E$16+1,1))-AVERAGE(OFFSET($H$3,0,0,'Données projet'!$E$16+1,1))</f>
        <v>335.83558218229564</v>
      </c>
      <c r="FK70" s="62">
        <f t="shared" si="102"/>
        <v>217.08423061559648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0</v>
      </c>
      <c r="FR70" s="23">
        <f>EXP(-LN(2)/25)*FR69+(1-EXP(-LN(2)/25))/(LN(2)/25)*Calculateur!FM70*Calculateur!FO70*VLOOKUP('Données projet'!$B$16,Paramètres!$A$1:$I$89,3,0)*0.475*44/12</f>
        <v>2.9909917852300354</v>
      </c>
      <c r="FS70" s="23">
        <f>EXP(-LN(2)/2)*FS69+(1-EXP(-LN(2)/2))/(LN(2)/2)*FM70*FP70*VLOOKUP('Données projet'!$B$16,Paramètres!$A$1:$I$89,3,0)*0.475*44/12</f>
        <v>2.9816497181635174E-5</v>
      </c>
      <c r="FT70" s="24">
        <f t="shared" si="78"/>
        <v>2.9910216017272169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5.2</v>
      </c>
      <c r="N71" s="14">
        <f>IF('Données projet'!$A$36&gt;35,N70+M71-V70,IF(A71&lt;'Données projet'!$A$36,$K$205^A71,IF(A71='Données projet'!$A$36,'Données projet'!$B$36,N70+M71-V70)))</f>
        <v>238.60000000000022</v>
      </c>
      <c r="O71" s="14">
        <f>N71*VLOOKUP('Données projet'!$B$9,Paramètres!$A$1:$I$89,3,0)*VLOOKUP('Données projet'!$B$9,Paramètres!$A$1:$I$89,5,0)</f>
        <v>208.44096000000022</v>
      </c>
      <c r="P71" s="14">
        <f t="shared" si="87"/>
        <v>51.594748621124261</v>
      </c>
      <c r="Q71" s="22">
        <f t="shared" si="54"/>
        <v>452.89552584845842</v>
      </c>
      <c r="R71" s="62">
        <f t="shared" si="55"/>
        <v>746.22885918179168</v>
      </c>
      <c r="S71" s="62">
        <f ca="1">AVERAGE(OFFSET($R$3,0,0,'Données projet'!$E$9+1,1))-AVERAGE(OFFSET($H$3,0,0,'Données projet'!$E$9+1,1))</f>
        <v>321.23599968992932</v>
      </c>
      <c r="T71" s="62">
        <f t="shared" si="88"/>
        <v>388.05195847800502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8.9199273194910962</v>
      </c>
      <c r="AB71" s="23">
        <f>EXP(-LN(2)/2)*AB70+(1-EXP(-LN(2)/2))/(LN(2)/2)*V71*Y71*VLOOKUP('Données projet'!$B$9,Paramètres!$A$1:$I$89,3,0)*0.475*44/12</f>
        <v>3.4840599217708857E-5</v>
      </c>
      <c r="AC71" s="24">
        <f t="shared" si="57"/>
        <v>8.9199621600903143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8.1999999999999993</v>
      </c>
      <c r="AI71" s="14">
        <f>IF('Données projet'!$A$62&gt;35,AI70+AH71-AQ70,IF(A71&lt;'Données projet'!$A$62,$AF$205^A71,IF(A71='Données projet'!$A$62,'Données projet'!$B$62,AI70+AH71-AQ70)))</f>
        <v>285.59999999999997</v>
      </c>
      <c r="AJ71" s="14">
        <f>AI71*VLOOKUP('Données projet'!$B$10,Paramètres!$A$1:$I$89,3,0)*VLOOKUP('Données projet'!$B$10,Paramètres!$A$1:$I$89,5,0)</f>
        <v>258.41087999999996</v>
      </c>
      <c r="AK71" s="14">
        <f t="shared" si="89"/>
        <v>62.383521020316756</v>
      </c>
      <c r="AL71" s="22">
        <f t="shared" si="58"/>
        <v>558.71691511038489</v>
      </c>
      <c r="AM71" s="62">
        <f t="shared" si="59"/>
        <v>852.05024844371815</v>
      </c>
      <c r="AN71" s="62">
        <f ca="1">AVERAGE(OFFSET($AM$3,0,0,'Données projet'!$E$10+1,1))-AVERAGE(OFFSET($H$3,0,0,'Données projet'!$E$10+1,1))</f>
        <v>439.19854273764042</v>
      </c>
      <c r="AO71" s="62">
        <f t="shared" si="90"/>
        <v>278.21741231699929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3.1836560667785441</v>
      </c>
      <c r="AW71" s="23">
        <f>EXP(-LN(2)/2)*AW70+(1-EXP(-LN(2)/2))/(LN(2)/2)*AQ71*AT71*VLOOKUP('Données projet'!$B$10,Paramètres!$A$1:$I$89,3,0)*0.475*44/12</f>
        <v>2.8438138283839526E-5</v>
      </c>
      <c r="AX71" s="23">
        <f t="shared" si="60"/>
        <v>3.1836845049168279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4.4000000000000004</v>
      </c>
      <c r="BD71" s="13">
        <f>IF('Données projet'!$A$88&gt;35,BD70+BC71-BL70,IF(A71&lt;'Données projet'!$A$88,$BA$205^A71,IF(A71='Données projet'!$A$88,'Données projet'!$B$88,BD70+BC71-BL70)))</f>
        <v>306.1999999999997</v>
      </c>
      <c r="BE71" s="14">
        <f>BD71*VLOOKUP('Données projet'!$B$11,Paramètres!$A$1:$I$89,3,0)*VLOOKUP('Données projet'!$B$11,Paramètres!$A$1:$I$89,5,0)</f>
        <v>243.6127199999998</v>
      </c>
      <c r="BF71" s="14">
        <f t="shared" si="91"/>
        <v>59.216147598154699</v>
      </c>
      <c r="BG71" s="22">
        <f t="shared" si="61"/>
        <v>527.42694440011905</v>
      </c>
      <c r="BH71" s="62">
        <f t="shared" si="62"/>
        <v>820.76027773345231</v>
      </c>
      <c r="BI71" s="62">
        <f ca="1">AVERAGE(OFFSET($BH$3,0,0,'Données projet'!$E$11+1,1))-AVERAGE(OFFSET($H$3,0,0,'Données projet'!$E$11+1,1))</f>
        <v>352.88510024787888</v>
      </c>
      <c r="BJ71" s="62">
        <f t="shared" si="92"/>
        <v>343.77208530767069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4.2855896264821522</v>
      </c>
      <c r="BR71" s="23">
        <f>EXP(-LN(2)/2)*BR70+(1-EXP(-LN(2)/2))/(LN(2)/2)*BL71*BO71*VLOOKUP('Données projet'!$B$11,Paramètres!$A$1:$I$89,3,0)*0.475*44/12</f>
        <v>7.5296137409680877E-7</v>
      </c>
      <c r="BS71" s="24">
        <f t="shared" si="63"/>
        <v>4.2855903794435264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4.4000000000000004</v>
      </c>
      <c r="BY71" s="13">
        <f>IF('Données projet'!$A$114&gt;35,BY70+BX71-CG70,IF(A71&lt;'Données projet'!$A$114,$BV$205^A71,IF(A71='Données projet'!$A$114,'Données projet'!$B$114,BY70+BX71-CG70)))</f>
        <v>306.1999999999997</v>
      </c>
      <c r="BZ71" s="14">
        <f>BY71*VLOOKUP('Données projet'!$B$12,Paramètres!$A$1:$I$89,3,0)*VLOOKUP('Données projet'!$B$12,Paramètres!$A$1:$I$89,5,0)</f>
        <v>224.50583999999978</v>
      </c>
      <c r="CA71" s="14">
        <f t="shared" si="93"/>
        <v>55.093049232713739</v>
      </c>
      <c r="CB71" s="22">
        <f t="shared" si="64"/>
        <v>486.96806541364276</v>
      </c>
      <c r="CC71" s="62">
        <f t="shared" si="65"/>
        <v>780.30139874697602</v>
      </c>
      <c r="CD71" s="62">
        <f ca="1">AVERAGE(OFFSET($CC$3,0,0,'Données projet'!$E$12+1,1))-AVERAGE(OFFSET($H$3,0,0,'Données projet'!$E$12+1,1))</f>
        <v>328.10411227536315</v>
      </c>
      <c r="CE71" s="62">
        <f t="shared" si="94"/>
        <v>320.24200483294322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4.2775149805458295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4.2775149805458295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8.6666666666666661</v>
      </c>
      <c r="CT71" s="13">
        <f>IF('Données projet'!$A$140&gt;35,CT70+CS71-DB70,IF(A71&lt;'Données projet'!$A$140,$CQ$205^A71,IF(A71='Données projet'!$A$140,'Données projet'!$B$140,CT70+CS71-DB70)))</f>
        <v>319.33333333333337</v>
      </c>
      <c r="CU71" s="18">
        <f>CT71*VLOOKUP('Données projet'!$B$13,Paramètres!$A$1:$I$89,3,0)*VLOOKUP('Données projet'!$B$13,Paramètres!$A$1:$I$89,5,0)</f>
        <v>249.08000000000004</v>
      </c>
      <c r="CV71" s="14">
        <f t="shared" si="95"/>
        <v>60.388894447487807</v>
      </c>
      <c r="CW71" s="22">
        <f t="shared" si="67"/>
        <v>538.99165782937473</v>
      </c>
      <c r="CX71" s="62">
        <f t="shared" si="68"/>
        <v>832.3249911627081</v>
      </c>
      <c r="CY71" s="62">
        <f ca="1">AVERAGE(OFFSET($CX$3,0,0,'Données projet'!$E$13+1,1))-AVERAGE(OFFSET($H$3,0,0,'Données projet'!$E$13+1,1))</f>
        <v>288.82868507674738</v>
      </c>
      <c r="CZ71" s="62">
        <f t="shared" si="96"/>
        <v>283.48738729114024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4.8097396710094751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4.8097396710094751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8.1999999999999993</v>
      </c>
      <c r="DO71" s="13">
        <f>IF('Données projet'!$A$166&gt;35,DO70+DN71-DW70,IF(A71&lt;'Données projet'!$A$166,$DL$205^A71,IF(A71='Données projet'!$A$166,'Données projet'!$B$166,DO70+DN71-DW70)))</f>
        <v>285.59999999999997</v>
      </c>
      <c r="DP71" s="18">
        <f>DO71*VLOOKUP('Données projet'!$B$14,Paramètres!$A$1:$I$89,3,0)*VLOOKUP('Données projet'!$B$14,Paramètres!$A$1:$I$89,5,0)</f>
        <v>289.59839999999997</v>
      </c>
      <c r="DQ71" s="14">
        <f t="shared" si="97"/>
        <v>68.991430542388798</v>
      </c>
      <c r="DR71" s="22">
        <f t="shared" si="70"/>
        <v>624.54395486132705</v>
      </c>
      <c r="DS71" s="62">
        <f t="shared" si="71"/>
        <v>917.87728819466042</v>
      </c>
      <c r="DT71" s="62">
        <f ca="1">AVERAGE(OFFSET($DS$3,0,0,'Données projet'!$E$14+1,1))-AVERAGE(OFFSET($H$3,0,0,'Données projet'!$E$14+1,1))</f>
        <v>487.04124684635974</v>
      </c>
      <c r="DU71" s="62">
        <f t="shared" si="98"/>
        <v>306.61893266146666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5.7690671638761089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5.7690671638761089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8.1999999999999993</v>
      </c>
      <c r="EJ71" s="13">
        <f>IF('Données projet'!$A$192&gt;35,EJ70+EI71-ER70,IF(A71&lt;'Données projet'!$A$192,$EG$205^A71,IF(A71='Données projet'!$A$192,'Données projet'!$B$192,EJ70+EI71-ER70)))</f>
        <v>285.59999999999997</v>
      </c>
      <c r="EK71" s="18">
        <f>EJ71*VLOOKUP('Données projet'!$B$15,Paramètres!$A$1:$I$89,3,0)*VLOOKUP('Données projet'!$B$15,Paramètres!$A$1:$I$89,5,0)</f>
        <v>271.77695999999997</v>
      </c>
      <c r="EL71" s="14">
        <f t="shared" si="99"/>
        <v>65.226240951838292</v>
      </c>
      <c r="EM71" s="22">
        <f t="shared" si="73"/>
        <v>586.94724165778496</v>
      </c>
      <c r="EN71" s="62">
        <f t="shared" si="74"/>
        <v>880.28057499111833</v>
      </c>
      <c r="EO71" s="62">
        <f ca="1">AVERAGE(OFFSET($EN$3,0,0,'Données projet'!$E$15+1,1))-AVERAGE(OFFSET($H$3,0,0,'Données projet'!$E$15+1,1))</f>
        <v>459.64120566196812</v>
      </c>
      <c r="EP71" s="62">
        <f t="shared" si="100"/>
        <v>290.39826583283588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5.4140476460991156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5.4140476460991156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8.1999999999999993</v>
      </c>
      <c r="FE71" s="13">
        <f>IF('Données projet'!$A$218&gt;35,FE70+FD71-FM70,IF(A71&lt;'Données projet'!$A$218,$FB$205^A71,IF(A71='Données projet'!$A$218,'Données projet'!$B$218,FE70+FD71-FM70)))</f>
        <v>285.59999999999997</v>
      </c>
      <c r="FF71" s="18">
        <f>FE71*VLOOKUP('Données projet'!$B$16,Paramètres!$A$1:$I$89,3,0)*VLOOKUP('Données projet'!$B$16,Paramètres!$A$1:$I$89,5,0)</f>
        <v>191.58047999999997</v>
      </c>
      <c r="FG71" s="14">
        <f t="shared" si="101"/>
        <v>47.889205896476554</v>
      </c>
      <c r="FH71" s="22">
        <f t="shared" si="76"/>
        <v>417.07636960302989</v>
      </c>
      <c r="FI71" s="62">
        <f t="shared" si="77"/>
        <v>710.40970293636315</v>
      </c>
      <c r="FJ71" s="62">
        <f ca="1">AVERAGE(OFFSET($FI$3,0,0,'Données projet'!$E$16+1,1))-AVERAGE(OFFSET($H$3,0,0,'Données projet'!$E$16+1,1))</f>
        <v>335.83558218229564</v>
      </c>
      <c r="FK71" s="62">
        <f t="shared" si="102"/>
        <v>217.08423061559648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0</v>
      </c>
      <c r="FR71" s="23">
        <f>EXP(-LN(2)/25)*FR70+(1-EXP(-LN(2)/25))/(LN(2)/25)*Calculateur!FM71*Calculateur!FO71*VLOOKUP('Données projet'!$B$16,Paramètres!$A$1:$I$89,3,0)*0.475*44/12</f>
        <v>2.9092029575734979</v>
      </c>
      <c r="FS71" s="23">
        <f>EXP(-LN(2)/2)*FS70+(1-EXP(-LN(2)/2))/(LN(2)/2)*FM71*FP71*VLOOKUP('Données projet'!$B$16,Paramètres!$A$1:$I$89,3,0)*0.475*44/12</f>
        <v>2.1083447348363815E-5</v>
      </c>
      <c r="FT71" s="24">
        <f t="shared" si="78"/>
        <v>2.9092240410208463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5.2</v>
      </c>
      <c r="N72" s="14">
        <f>IF('Données projet'!$A$36&gt;35,N71+M72-V71,IF(A72&lt;'Données projet'!$A$36,$K$205^A72,IF(A72='Données projet'!$A$36,'Données projet'!$B$36,N71+M72-V71)))</f>
        <v>243.80000000000021</v>
      </c>
      <c r="O72" s="14">
        <f>N72*VLOOKUP('Données projet'!$B$9,Paramètres!$A$1:$I$89,3,0)*VLOOKUP('Données projet'!$B$9,Paramètres!$A$1:$I$89,5,0)</f>
        <v>212.98368000000022</v>
      </c>
      <c r="P72" s="14">
        <f t="shared" si="87"/>
        <v>52.587058525970413</v>
      </c>
      <c r="Q72" s="22">
        <f t="shared" si="54"/>
        <v>462.53570293273214</v>
      </c>
      <c r="R72" s="62">
        <f t="shared" si="55"/>
        <v>755.86903626606545</v>
      </c>
      <c r="S72" s="62">
        <f ca="1">AVERAGE(OFFSET($R$3,0,0,'Données projet'!$E$9+1,1))-AVERAGE(OFFSET($H$3,0,0,'Données projet'!$E$9+1,1))</f>
        <v>321.23599968992932</v>
      </c>
      <c r="T72" s="62">
        <f t="shared" si="88"/>
        <v>388.05195847800502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8.6760114378610211</v>
      </c>
      <c r="AB72" s="23">
        <f>EXP(-LN(2)/2)*AB71+(1-EXP(-LN(2)/2))/(LN(2)/2)*V72*Y72*VLOOKUP('Données projet'!$B$9,Paramètres!$A$1:$I$89,3,0)*0.475*44/12</f>
        <v>2.4636023967444656E-5</v>
      </c>
      <c r="AC72" s="24">
        <f t="shared" si="57"/>
        <v>8.6760360738849887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8.1999999999999993</v>
      </c>
      <c r="AI72" s="14">
        <f>IF('Données projet'!$A$62&gt;35,AI71+AH72-AQ71,IF(A72&lt;'Données projet'!$A$62,$AF$205^A72,IF(A72='Données projet'!$A$62,'Données projet'!$B$62,AI71+AH72-AQ71)))</f>
        <v>293.79999999999995</v>
      </c>
      <c r="AJ72" s="14">
        <f>AI72*VLOOKUP('Données projet'!$B$10,Paramètres!$A$1:$I$89,3,0)*VLOOKUP('Données projet'!$B$10,Paramètres!$A$1:$I$89,5,0)</f>
        <v>265.83023999999995</v>
      </c>
      <c r="AK72" s="14">
        <f t="shared" si="89"/>
        <v>63.963540982526439</v>
      </c>
      <c r="AL72" s="22">
        <f t="shared" si="58"/>
        <v>574.39083521123348</v>
      </c>
      <c r="AM72" s="62">
        <f t="shared" si="59"/>
        <v>867.72416854456674</v>
      </c>
      <c r="AN72" s="62">
        <f ca="1">AVERAGE(OFFSET($AM$3,0,0,'Données projet'!$E$10+1,1))-AVERAGE(OFFSET($H$3,0,0,'Données projet'!$E$10+1,1))</f>
        <v>439.19854273764042</v>
      </c>
      <c r="AO72" s="62">
        <f t="shared" si="90"/>
        <v>278.21741231699929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3.0965988242112887</v>
      </c>
      <c r="AW72" s="23">
        <f>EXP(-LN(2)/2)*AW71+(1-EXP(-LN(2)/2))/(LN(2)/2)*AQ72*AT72*VLOOKUP('Données projet'!$B$10,Paramètres!$A$1:$I$89,3,0)*0.475*44/12</f>
        <v>2.0108800424823696E-5</v>
      </c>
      <c r="AX72" s="23">
        <f t="shared" si="60"/>
        <v>3.0966189330117135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4.4000000000000004</v>
      </c>
      <c r="BD72" s="13">
        <f>IF('Données projet'!$A$88&gt;35,BD71+BC72-BL71,IF(A72&lt;'Données projet'!$A$88,$BA$205^A72,IF(A72='Données projet'!$A$88,'Données projet'!$B$88,BD71+BC72-BL71)))</f>
        <v>310.59999999999968</v>
      </c>
      <c r="BE72" s="14">
        <f>BD72*VLOOKUP('Données projet'!$B$11,Paramètres!$A$1:$I$89,3,0)*VLOOKUP('Données projet'!$B$11,Paramètres!$A$1:$I$89,5,0)</f>
        <v>247.11335999999974</v>
      </c>
      <c r="BF72" s="14">
        <f t="shared" si="91"/>
        <v>59.967393156546734</v>
      </c>
      <c r="BG72" s="22">
        <f t="shared" si="61"/>
        <v>534.83231174765172</v>
      </c>
      <c r="BH72" s="62">
        <f t="shared" si="62"/>
        <v>828.16564508098509</v>
      </c>
      <c r="BI72" s="62">
        <f ca="1">AVERAGE(OFFSET($BH$3,0,0,'Données projet'!$E$11+1,1))-AVERAGE(OFFSET($H$3,0,0,'Données projet'!$E$11+1,1))</f>
        <v>352.88510024787888</v>
      </c>
      <c r="BJ72" s="62">
        <f t="shared" si="92"/>
        <v>343.77208530767069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4.1683999527766344</v>
      </c>
      <c r="BR72" s="23">
        <f>EXP(-LN(2)/2)*BR71+(1-EXP(-LN(2)/2))/(LN(2)/2)*BL72*BO72*VLOOKUP('Données projet'!$B$11,Paramètres!$A$1:$I$89,3,0)*0.475*44/12</f>
        <v>5.324240935953943E-7</v>
      </c>
      <c r="BS72" s="24">
        <f t="shared" si="63"/>
        <v>4.1684004852007277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4.4000000000000004</v>
      </c>
      <c r="BY72" s="13">
        <f>IF('Données projet'!$A$114&gt;35,BY71+BX72-CG71,IF(A72&lt;'Données projet'!$A$114,$BV$205^A72,IF(A72='Données projet'!$A$114,'Données projet'!$B$114,BY71+BX72-CG71)))</f>
        <v>310.59999999999968</v>
      </c>
      <c r="BZ72" s="14">
        <f>BY72*VLOOKUP('Données projet'!$B$12,Paramètres!$A$1:$I$89,3,0)*VLOOKUP('Données projet'!$B$12,Paramètres!$A$1:$I$89,5,0)</f>
        <v>227.73191999999975</v>
      </c>
      <c r="CA72" s="14">
        <f t="shared" si="93"/>
        <v>55.791987110523941</v>
      </c>
      <c r="CB72" s="22">
        <f t="shared" si="64"/>
        <v>493.80413821749539</v>
      </c>
      <c r="CC72" s="62">
        <f t="shared" si="65"/>
        <v>787.13747155082865</v>
      </c>
      <c r="CD72" s="62">
        <f ca="1">AVERAGE(OFFSET($CC$3,0,0,'Données projet'!$E$12+1,1))-AVERAGE(OFFSET($H$3,0,0,'Données projet'!$E$12+1,1))</f>
        <v>328.10411227536315</v>
      </c>
      <c r="CE72" s="62">
        <f t="shared" si="94"/>
        <v>320.24200483294322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4.1936355208038441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4.1936355208038441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>
        <f>VLOOKUP(A72,'Données projet'!$A$139:$I$159,2,0)</f>
        <v>328</v>
      </c>
      <c r="CR72" s="13">
        <f>VLOOKUP(A72,'Données projet'!$A$139:$I$159,9,0)</f>
        <v>8.6666666666666661</v>
      </c>
      <c r="CS72" s="13">
        <f t="array" ref="CS72">INDEX(CR:CR,MIN(IF(ISNUMBER(CR72:CR268),ROW(CR72:CR268),"")))</f>
        <v>8.6666666666666661</v>
      </c>
      <c r="CT72" s="13">
        <f>IF('Données projet'!$A$140&gt;35,CT71+CS72-DB71,IF(A72&lt;'Données projet'!$A$140,$CQ$205^A72,IF(A72='Données projet'!$A$140,'Données projet'!$B$140,CT71+CS72-DB71)))</f>
        <v>328.00000000000006</v>
      </c>
      <c r="CU72" s="18">
        <f>CT72*VLOOKUP('Données projet'!$B$13,Paramètres!$A$1:$I$89,3,0)*VLOOKUP('Données projet'!$B$13,Paramètres!$A$1:$I$89,5,0)</f>
        <v>255.84000000000006</v>
      </c>
      <c r="CV72" s="14">
        <f t="shared" si="95"/>
        <v>61.834803371075836</v>
      </c>
      <c r="CW72" s="22">
        <f t="shared" si="67"/>
        <v>553.28361587129041</v>
      </c>
      <c r="CX72" s="62">
        <f t="shared" si="68"/>
        <v>846.61694920462378</v>
      </c>
      <c r="CY72" s="62">
        <f ca="1">AVERAGE(OFFSET($CX$3,0,0,'Données projet'!$E$13+1,1))-AVERAGE(OFFSET($H$3,0,0,'Données projet'!$E$13+1,1))</f>
        <v>288.82868507674738</v>
      </c>
      <c r="CZ72" s="62">
        <f t="shared" si="96"/>
        <v>283.48738729114024</v>
      </c>
      <c r="DA72" s="16">
        <f>IF(ISNA(VLOOKUP(A72,'Données projet'!$A$139:$I$159,3,0)),0,VLOOKUP(A72,'Données projet'!$A$139:$I$159,3,0))</f>
        <v>9</v>
      </c>
      <c r="DB72" s="16">
        <f>IF(ISNA(VLOOKUP(A72,'Données projet'!$A$139:$I$159,4,0)),0,VLOOKUP(A72,'Données projet'!$A$139:$I$159,4,0))</f>
        <v>328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4.7154236097125048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4.7154236097125048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8.1999999999999993</v>
      </c>
      <c r="DO72" s="13">
        <f>IF('Données projet'!$A$166&gt;35,DO71+DN72-DW71,IF(A72&lt;'Données projet'!$A$166,$DL$205^A72,IF(A72='Données projet'!$A$166,'Données projet'!$B$166,DO71+DN72-DW71)))</f>
        <v>293.79999999999995</v>
      </c>
      <c r="DP72" s="18">
        <f>DO72*VLOOKUP('Données projet'!$B$14,Paramètres!$A$1:$I$89,3,0)*VLOOKUP('Données projet'!$B$14,Paramètres!$A$1:$I$89,5,0)</f>
        <v>297.91319999999996</v>
      </c>
      <c r="DQ72" s="14">
        <f t="shared" si="97"/>
        <v>70.73881247427552</v>
      </c>
      <c r="DR72" s="22">
        <f t="shared" si="70"/>
        <v>642.06892172602977</v>
      </c>
      <c r="DS72" s="62">
        <f t="shared" si="71"/>
        <v>935.40225505936314</v>
      </c>
      <c r="DT72" s="62">
        <f ca="1">AVERAGE(OFFSET($DS$3,0,0,'Données projet'!$E$14+1,1))-AVERAGE(OFFSET($H$3,0,0,'Données projet'!$E$14+1,1))</f>
        <v>487.04124684635974</v>
      </c>
      <c r="DU72" s="62">
        <f t="shared" si="98"/>
        <v>306.61893266146666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5.6559392755760172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5.6559392755760172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8.1999999999999993</v>
      </c>
      <c r="EJ72" s="13">
        <f>IF('Données projet'!$A$192&gt;35,EJ71+EI72-ER71,IF(A72&lt;'Données projet'!$A$192,$EG$205^A72,IF(A72='Données projet'!$A$192,'Données projet'!$B$192,EJ71+EI72-ER71)))</f>
        <v>293.79999999999995</v>
      </c>
      <c r="EK72" s="18">
        <f>EJ72*VLOOKUP('Données projet'!$B$15,Paramètres!$A$1:$I$89,3,0)*VLOOKUP('Données projet'!$B$15,Paramètres!$A$1:$I$89,5,0)</f>
        <v>279.58007999999995</v>
      </c>
      <c r="EL72" s="14">
        <f t="shared" si="99"/>
        <v>66.878259963882243</v>
      </c>
      <c r="EM72" s="22">
        <f t="shared" si="73"/>
        <v>603.41494210376152</v>
      </c>
      <c r="EN72" s="62">
        <f t="shared" si="74"/>
        <v>896.74827543709489</v>
      </c>
      <c r="EO72" s="62">
        <f ca="1">AVERAGE(OFFSET($EN$3,0,0,'Données projet'!$E$15+1,1))-AVERAGE(OFFSET($H$3,0,0,'Données projet'!$E$15+1,1))</f>
        <v>459.64120566196812</v>
      </c>
      <c r="EP72" s="62">
        <f t="shared" si="100"/>
        <v>290.39826583283588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5.307881474002107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5.307881474002107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8.1999999999999993</v>
      </c>
      <c r="FE72" s="13">
        <f>IF('Données projet'!$A$218&gt;35,FE71+FD72-FM71,IF(A72&lt;'Données projet'!$A$218,$FB$205^A72,IF(A72='Données projet'!$A$218,'Données projet'!$B$218,FE71+FD72-FM71)))</f>
        <v>293.79999999999995</v>
      </c>
      <c r="FF72" s="18">
        <f>FE72*VLOOKUP('Données projet'!$B$16,Paramètres!$A$1:$I$89,3,0)*VLOOKUP('Données projet'!$B$16,Paramètres!$A$1:$I$89,5,0)</f>
        <v>197.08103999999997</v>
      </c>
      <c r="FG72" s="14">
        <f t="shared" si="101"/>
        <v>49.102120782543381</v>
      </c>
      <c r="FH72" s="22">
        <f t="shared" si="76"/>
        <v>428.76900502959637</v>
      </c>
      <c r="FI72" s="62">
        <f t="shared" si="77"/>
        <v>722.10233836292969</v>
      </c>
      <c r="FJ72" s="62">
        <f ca="1">AVERAGE(OFFSET($FI$3,0,0,'Données projet'!$E$16+1,1))-AVERAGE(OFFSET($H$3,0,0,'Données projet'!$E$16+1,1))</f>
        <v>335.83558218229564</v>
      </c>
      <c r="FK72" s="62">
        <f t="shared" si="102"/>
        <v>217.08423061559648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0</v>
      </c>
      <c r="FR72" s="23">
        <f>EXP(-LN(2)/25)*FR71+(1-EXP(-LN(2)/25))/(LN(2)/25)*Calculateur!FM72*Calculateur!FO72*VLOOKUP('Données projet'!$B$16,Paramètres!$A$1:$I$89,3,0)*0.475*44/12</f>
        <v>2.8296506497103162</v>
      </c>
      <c r="FS72" s="23">
        <f>EXP(-LN(2)/2)*FS71+(1-EXP(-LN(2)/2))/(LN(2)/2)*FM72*FP72*VLOOKUP('Données projet'!$B$16,Paramètres!$A$1:$I$89,3,0)*0.475*44/12</f>
        <v>1.4908248590817589E-5</v>
      </c>
      <c r="FT72" s="24">
        <f t="shared" si="78"/>
        <v>2.829665557958907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249</v>
      </c>
      <c r="L73" s="13">
        <f>VLOOKUP(A73,'Données projet'!$A$35:$I$55,9,0)</f>
        <v>5.2</v>
      </c>
      <c r="M73" s="13">
        <f t="array" ref="M73">INDEX(L:L,MIN(IF(ISNUMBER(L73:L269),ROW(L73:L269),"")))</f>
        <v>5.2</v>
      </c>
      <c r="N73" s="14">
        <f>IF('Données projet'!$A$36&gt;35,N72+M73-V72,IF(A73&lt;'Données projet'!$A$36,$K$205^A73,IF(A73='Données projet'!$A$36,'Données projet'!$B$36,N72+M73-V72)))</f>
        <v>249.0000000000002</v>
      </c>
      <c r="O73" s="14">
        <f>N73*VLOOKUP('Données projet'!$B$9,Paramètres!$A$1:$I$89,3,0)*VLOOKUP('Données projet'!$B$9,Paramètres!$A$1:$I$89,5,0)</f>
        <v>217.52640000000019</v>
      </c>
      <c r="P73" s="14">
        <f t="shared" si="87"/>
        <v>53.576907690651304</v>
      </c>
      <c r="Q73" s="22">
        <f t="shared" si="54"/>
        <v>472.17159422788467</v>
      </c>
      <c r="R73" s="62">
        <f t="shared" si="55"/>
        <v>765.50492756121798</v>
      </c>
      <c r="S73" s="62">
        <f ca="1">AVERAGE(OFFSET($R$3,0,0,'Données projet'!$E$9+1,1))-AVERAGE(OFFSET($H$3,0,0,'Données projet'!$E$9+1,1))</f>
        <v>321.23599968992932</v>
      </c>
      <c r="T73" s="62">
        <f t="shared" si="88"/>
        <v>388.05195847800502</v>
      </c>
      <c r="U73" s="16">
        <f>IF(ISNA(VLOOKUP(A73,'Données projet'!$A$35:$I$55,3,0)),0,VLOOKUP(A73,'Données projet'!$A$35:$I$55,3,0))</f>
        <v>12</v>
      </c>
      <c r="V73" s="16">
        <f>IF(ISNA(VLOOKUP(A73,'Données projet'!$A$35:$I$55,4,0)),0,VLOOKUP(A73,'Données projet'!$A$35:$I$55,4,0))</f>
        <v>249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8.4387654488410995</v>
      </c>
      <c r="AB73" s="23">
        <f>EXP(-LN(2)/2)*AB72+(1-EXP(-LN(2)/2))/(LN(2)/2)*V73*Y73*VLOOKUP('Données projet'!$B$9,Paramètres!$A$1:$I$89,3,0)*0.475*44/12</f>
        <v>1.7420299608854429E-5</v>
      </c>
      <c r="AC73" s="24">
        <f t="shared" si="57"/>
        <v>8.4387828691407076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302</v>
      </c>
      <c r="AG73" s="13">
        <f>VLOOKUP(A73,'Données projet'!$A$61:$I$81,9,0)</f>
        <v>8.1999999999999993</v>
      </c>
      <c r="AH73" s="13">
        <f t="array" ref="AH73">INDEX(AG:AG,MIN(IF(ISNUMBER(AG73:AG269),ROW(AG73:AG269),"")))</f>
        <v>8.1999999999999993</v>
      </c>
      <c r="AI73" s="14">
        <f>IF('Données projet'!$A$62&gt;35,AI72+AH73-AQ72,IF(A73&lt;'Données projet'!$A$62,$AF$205^A73,IF(A73='Données projet'!$A$62,'Données projet'!$B$62,AI72+AH73-AQ72)))</f>
        <v>301.99999999999994</v>
      </c>
      <c r="AJ73" s="14">
        <f>AI73*VLOOKUP('Données projet'!$B$10,Paramètres!$A$1:$I$89,3,0)*VLOOKUP('Données projet'!$B$10,Paramètres!$A$1:$I$89,5,0)</f>
        <v>273.24959999999999</v>
      </c>
      <c r="AK73" s="14">
        <f t="shared" si="89"/>
        <v>65.538435495514321</v>
      </c>
      <c r="AL73" s="22">
        <f t="shared" si="58"/>
        <v>590.05582848802067</v>
      </c>
      <c r="AM73" s="62">
        <f t="shared" si="59"/>
        <v>883.38916182135404</v>
      </c>
      <c r="AN73" s="62">
        <f ca="1">AVERAGE(OFFSET($AM$3,0,0,'Données projet'!$E$10+1,1))-AVERAGE(OFFSET($H$3,0,0,'Données projet'!$E$10+1,1))</f>
        <v>439.19854273764042</v>
      </c>
      <c r="AO73" s="62">
        <f t="shared" si="90"/>
        <v>278.21741231699929</v>
      </c>
      <c r="AP73" s="16">
        <f>IF(ISNA(VLOOKUP(A73,'Données projet'!$A$61:$I$81,3,0)),0,VLOOKUP(A73,'Données projet'!$A$61:$I$81,3,0))</f>
        <v>11</v>
      </c>
      <c r="AQ73" s="16">
        <f>IF(ISNA(VLOOKUP(A73,'Données projet'!$A$61:$I$81,4,0)),0,VLOOKUP(A73,'Données projet'!$A$61:$I$81,4,0))</f>
        <v>28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3.0119221665201761</v>
      </c>
      <c r="AW73" s="23">
        <f>EXP(-LN(2)/2)*AW72+(1-EXP(-LN(2)/2))/(LN(2)/2)*AQ73*AT73*VLOOKUP('Données projet'!$B$10,Paramètres!$A$1:$I$89,3,0)*0.475*44/12</f>
        <v>1.4219069141919763E-5</v>
      </c>
      <c r="AX73" s="23">
        <f t="shared" si="60"/>
        <v>3.0119363855893182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315</v>
      </c>
      <c r="BB73" s="13">
        <f>VLOOKUP(A73,'Données projet'!$A$87:$I$107,9,0)</f>
        <v>4.4000000000000004</v>
      </c>
      <c r="BC73" s="13">
        <f t="array" ref="BC73">INDEX(BB:BB,MIN(IF(ISNUMBER(BB73:BB269),ROW(BB73:BB269),"")))</f>
        <v>4.4000000000000004</v>
      </c>
      <c r="BD73" s="13">
        <f>IF('Données projet'!$A$88&gt;35,BD72+BC73-BL72,IF(A73&lt;'Données projet'!$A$88,$BA$205^A73,IF(A73='Données projet'!$A$88,'Données projet'!$B$88,BD72+BC73-BL72)))</f>
        <v>314.99999999999966</v>
      </c>
      <c r="BE73" s="14">
        <f>BD73*VLOOKUP('Données projet'!$B$11,Paramètres!$A$1:$I$89,3,0)*VLOOKUP('Données projet'!$B$11,Paramètres!$A$1:$I$89,5,0)</f>
        <v>250.61399999999975</v>
      </c>
      <c r="BF73" s="14">
        <f t="shared" si="91"/>
        <v>60.717400934915986</v>
      </c>
      <c r="BG73" s="22">
        <f t="shared" si="61"/>
        <v>542.23552329497818</v>
      </c>
      <c r="BH73" s="62">
        <f t="shared" si="62"/>
        <v>835.56885662831155</v>
      </c>
      <c r="BI73" s="62">
        <f ca="1">AVERAGE(OFFSET($BH$3,0,0,'Données projet'!$E$11+1,1))-AVERAGE(OFFSET($H$3,0,0,'Données projet'!$E$11+1,1))</f>
        <v>352.88510024787888</v>
      </c>
      <c r="BJ73" s="62">
        <f t="shared" si="92"/>
        <v>343.77208530767069</v>
      </c>
      <c r="BK73" s="16">
        <f>IF(ISNA(VLOOKUP(A73,'Données projet'!$A$87:$I$107,3,0)),0,VLOOKUP(A73,'Données projet'!$A$87:$I$107,3,0))</f>
        <v>13</v>
      </c>
      <c r="BL73" s="16">
        <f>IF(ISNA(VLOOKUP(A73,'Données projet'!$A$87:$I$107,4,0)),0,VLOOKUP(A73,'Données projet'!$A$87:$I$107,4,0))</f>
        <v>12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4.0544148368613309</v>
      </c>
      <c r="BR73" s="23">
        <f>EXP(-LN(2)/2)*BR72+(1-EXP(-LN(2)/2))/(LN(2)/2)*BL73*BO73*VLOOKUP('Données projet'!$B$11,Paramètres!$A$1:$I$89,3,0)*0.475*44/12</f>
        <v>3.7648068704840438E-7</v>
      </c>
      <c r="BS73" s="24">
        <f t="shared" si="63"/>
        <v>4.0544152133420175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315</v>
      </c>
      <c r="BW73" s="13">
        <f>VLOOKUP(A73,'Données projet'!$A$113:$I$133,9,0)</f>
        <v>4.4000000000000004</v>
      </c>
      <c r="BX73" s="13">
        <f t="array" ref="BX73">INDEX(BW:BW,MIN(IF(ISNUMBER(BW73:BW269),ROW(BW73:BW269),"")))</f>
        <v>4.4000000000000004</v>
      </c>
      <c r="BY73" s="13">
        <f>IF('Données projet'!$A$114&gt;35,BY72+BX73-CG72,IF(A73&lt;'Données projet'!$A$114,$BV$205^A73,IF(A73='Données projet'!$A$114,'Données projet'!$B$114,BY72+BX73-CG72)))</f>
        <v>314.99999999999966</v>
      </c>
      <c r="BZ73" s="14">
        <f>BY73*VLOOKUP('Données projet'!$B$12,Paramètres!$A$1:$I$89,3,0)*VLOOKUP('Données projet'!$B$12,Paramètres!$A$1:$I$89,5,0)</f>
        <v>230.95799999999977</v>
      </c>
      <c r="CA73" s="14">
        <f t="shared" si="93"/>
        <v>56.489773392384379</v>
      </c>
      <c r="CB73" s="22">
        <f t="shared" si="64"/>
        <v>500.63820532506901</v>
      </c>
      <c r="CC73" s="62">
        <f t="shared" si="65"/>
        <v>793.97153865840232</v>
      </c>
      <c r="CD73" s="62">
        <f ca="1">AVERAGE(OFFSET($CC$3,0,0,'Données projet'!$E$12+1,1))-AVERAGE(OFFSET($H$3,0,0,'Données projet'!$E$12+1,1))</f>
        <v>328.10411227536315</v>
      </c>
      <c r="CE73" s="62">
        <f t="shared" si="94"/>
        <v>320.24200483294322</v>
      </c>
      <c r="CF73" s="16">
        <f>IF(ISNA(VLOOKUP(A73,'Données projet'!$A$113:$I$133,3,0)),0,VLOOKUP(A73,'Données projet'!$A$113:$I$133,3,0))</f>
        <v>13</v>
      </c>
      <c r="CG73" s="16">
        <f>IF(ISNA(VLOOKUP(A73,'Données projet'!$A$113:$I$133,4,0)),0,VLOOKUP(A73,'Données projet'!$A$113:$I$133,4,0))</f>
        <v>12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4.1114008861059803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4.1114008861059803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5.6843418860808015E-14</v>
      </c>
      <c r="CU73" s="18">
        <f>CT73*VLOOKUP('Données projet'!$B$13,Paramètres!$A$1:$I$89,3,0)*VLOOKUP('Données projet'!$B$13,Paramètres!$A$1:$I$89,5,0)</f>
        <v>4.4337866711430253E-14</v>
      </c>
      <c r="CV73" s="14">
        <f t="shared" si="95"/>
        <v>7.3222115536967035E-13</v>
      </c>
      <c r="CW73" s="22">
        <f t="shared" si="67"/>
        <v>1.3525069634579169E-12</v>
      </c>
      <c r="CX73" s="62">
        <f t="shared" si="68"/>
        <v>293.33333333333468</v>
      </c>
      <c r="CY73" s="62">
        <f ca="1">AVERAGE(OFFSET($CX$3,0,0,'Données projet'!$E$13+1,1))-AVERAGE(OFFSET($H$3,0,0,'Données projet'!$E$13+1,1))</f>
        <v>288.82868507674738</v>
      </c>
      <c r="CZ73" s="62">
        <f t="shared" si="96"/>
        <v>283.48738729114024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4.6229570288504505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4.6229570288504505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302</v>
      </c>
      <c r="DM73" s="13">
        <f>VLOOKUP(A73,'Données projet'!$A$165:$I$185,9,0)</f>
        <v>8.1999999999999993</v>
      </c>
      <c r="DN73" s="13">
        <f t="array" ref="DN73">INDEX(DM:DM,MIN(IF(ISNUMBER(DM73:DM269),ROW(DM73:DM269),"")))</f>
        <v>8.1999999999999993</v>
      </c>
      <c r="DO73" s="13">
        <f>IF('Données projet'!$A$166&gt;35,DO72+DN73-DW72,IF(A73&lt;'Données projet'!$A$166,$DL$205^A73,IF(A73='Données projet'!$A$166,'Données projet'!$B$166,DO72+DN73-DW72)))</f>
        <v>301.99999999999994</v>
      </c>
      <c r="DP73" s="18">
        <f>DO73*VLOOKUP('Données projet'!$B$14,Paramètres!$A$1:$I$89,3,0)*VLOOKUP('Données projet'!$B$14,Paramètres!$A$1:$I$89,5,0)</f>
        <v>306.22800000000001</v>
      </c>
      <c r="DQ73" s="14">
        <f t="shared" si="97"/>
        <v>72.480526049067294</v>
      </c>
      <c r="DR73" s="22">
        <f t="shared" si="70"/>
        <v>659.58401620212555</v>
      </c>
      <c r="DS73" s="62">
        <f t="shared" si="71"/>
        <v>952.91734953545892</v>
      </c>
      <c r="DT73" s="62">
        <f ca="1">AVERAGE(OFFSET($DS$3,0,0,'Données projet'!$E$14+1,1))-AVERAGE(OFFSET($H$3,0,0,'Données projet'!$E$14+1,1))</f>
        <v>487.04124684635974</v>
      </c>
      <c r="DU73" s="62">
        <f t="shared" si="98"/>
        <v>306.61893266146666</v>
      </c>
      <c r="DV73" s="16">
        <f>IF(ISNA(VLOOKUP(A73,'Données projet'!$A$165:$I$185,3,0)),0,VLOOKUP(A73,'Données projet'!$A$165:$I$185,3,0))</f>
        <v>11</v>
      </c>
      <c r="DW73" s="16">
        <f>IF(ISNA(VLOOKUP(A73,'Données projet'!$A$165:$I$185,4,0)),0,VLOOKUP(A73,'Données projet'!$A$165:$I$185,4,0))</f>
        <v>28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5.5450297561642916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5.5450297561642916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302</v>
      </c>
      <c r="EH73" s="13">
        <f>VLOOKUP(A73,'Données projet'!$A$191:$I$211,9,0)</f>
        <v>8.1999999999999993</v>
      </c>
      <c r="EI73" s="13">
        <f t="array" ref="EI73">INDEX(EH:EH,MIN(IF(ISNUMBER(EH73:EH269),ROW(EH73:EH269),"")))</f>
        <v>8.1999999999999993</v>
      </c>
      <c r="EJ73" s="13">
        <f>IF('Données projet'!$A$192&gt;35,EJ72+EI73-ER72,IF(A73&lt;'Données projet'!$A$192,$EG$205^A73,IF(A73='Données projet'!$A$192,'Données projet'!$B$192,EJ72+EI73-ER72)))</f>
        <v>301.99999999999994</v>
      </c>
      <c r="EK73" s="18">
        <f>EJ73*VLOOKUP('Données projet'!$B$15,Paramètres!$A$1:$I$89,3,0)*VLOOKUP('Données projet'!$B$15,Paramètres!$A$1:$I$89,5,0)</f>
        <v>287.38319999999999</v>
      </c>
      <c r="EL73" s="14">
        <f t="shared" si="99"/>
        <v>68.524919967962759</v>
      </c>
      <c r="EM73" s="22">
        <f t="shared" si="73"/>
        <v>619.87330894420177</v>
      </c>
      <c r="EN73" s="62">
        <f t="shared" si="74"/>
        <v>913.20664227753514</v>
      </c>
      <c r="EO73" s="62">
        <f ca="1">AVERAGE(OFFSET($EN$3,0,0,'Données projet'!$E$15+1,1))-AVERAGE(OFFSET($H$3,0,0,'Données projet'!$E$15+1,1))</f>
        <v>459.64120566196812</v>
      </c>
      <c r="EP73" s="62">
        <f t="shared" si="100"/>
        <v>290.39826583283588</v>
      </c>
      <c r="EQ73" s="16">
        <f>IF(ISNA(VLOOKUP(A73,'Données projet'!$A$191:$I$211,3,0)),0,VLOOKUP(A73,'Données projet'!$A$191:$I$211,3,0))</f>
        <v>11</v>
      </c>
      <c r="ER73" s="16">
        <f>IF(ISNA(VLOOKUP(A73,'Données projet'!$A$191:$I$211,4,0)),0,VLOOKUP(A73,'Données projet'!$A$191:$I$211,4,0))</f>
        <v>28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5.2037971557849492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5.2037971557849492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>
        <f>VLOOKUP(A73,'Données projet'!$A$217:$I$237,2,0)</f>
        <v>302</v>
      </c>
      <c r="FC73" s="13">
        <f>VLOOKUP(A73,'Données projet'!$A$217:$I$237,9,0)</f>
        <v>8.1999999999999993</v>
      </c>
      <c r="FD73" s="13">
        <f t="array" ref="FD73">INDEX(FC:FC,MIN(IF(ISNUMBER(FC73:FC269),ROW(FC73:FC269),"")))</f>
        <v>8.1999999999999993</v>
      </c>
      <c r="FE73" s="13">
        <f>IF('Données projet'!$A$218&gt;35,FE72+FD73-FM72,IF(A73&lt;'Données projet'!$A$218,$FB$205^A73,IF(A73='Données projet'!$A$218,'Données projet'!$B$218,FE72+FD73-FM72)))</f>
        <v>301.99999999999994</v>
      </c>
      <c r="FF73" s="18">
        <f>FE73*VLOOKUP('Données projet'!$B$16,Paramètres!$A$1:$I$89,3,0)*VLOOKUP('Données projet'!$B$16,Paramètres!$A$1:$I$89,5,0)</f>
        <v>202.58159999999998</v>
      </c>
      <c r="FG73" s="14">
        <f t="shared" si="101"/>
        <v>50.311101076764672</v>
      </c>
      <c r="FH73" s="22">
        <f t="shared" si="76"/>
        <v>440.4547877086984</v>
      </c>
      <c r="FI73" s="62">
        <f t="shared" si="77"/>
        <v>733.78812104203166</v>
      </c>
      <c r="FJ73" s="62">
        <f ca="1">AVERAGE(OFFSET($FI$3,0,0,'Données projet'!$E$16+1,1))-AVERAGE(OFFSET($H$3,0,0,'Données projet'!$E$16+1,1))</f>
        <v>335.83558218229564</v>
      </c>
      <c r="FK73" s="62">
        <f t="shared" si="102"/>
        <v>217.08423061559648</v>
      </c>
      <c r="FL73" s="16">
        <f>IF(ISNA(VLOOKUP(A73,'Données projet'!$A$217:$I$237,3,0)),0,VLOOKUP(A73,'Données projet'!$A$217:$I$237,3,0))</f>
        <v>11</v>
      </c>
      <c r="FM73" s="16">
        <f>IF(ISNA(VLOOKUP(A73,'Données projet'!$A$217:$I$237,4,0)),0,VLOOKUP(A73,'Données projet'!$A$217:$I$237,4,0))</f>
        <v>28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0</v>
      </c>
      <c r="FR73" s="23">
        <f>EXP(-LN(2)/25)*FR72+(1-EXP(-LN(2)/25))/(LN(2)/25)*Calculateur!FM73*Calculateur!FO73*VLOOKUP('Données projet'!$B$16,Paramètres!$A$1:$I$89,3,0)*0.475*44/12</f>
        <v>2.7522737038891272</v>
      </c>
      <c r="FS73" s="23">
        <f>EXP(-LN(2)/2)*FS72+(1-EXP(-LN(2)/2))/(LN(2)/2)*FM73*FP73*VLOOKUP('Données projet'!$B$16,Paramètres!$A$1:$I$89,3,0)*0.475*44/12</f>
        <v>1.0541723674181909E-5</v>
      </c>
      <c r="FT73" s="24">
        <f t="shared" si="78"/>
        <v>2.7522842456128012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1.9895196601282805E-13</v>
      </c>
      <c r="O74" s="14">
        <f>N74*VLOOKUP('Données projet'!$B$9,Paramètres!$A$1:$I$89,3,0)*VLOOKUP('Données projet'!$B$9,Paramètres!$A$1:$I$89,5,0)</f>
        <v>1.738044375088066E-13</v>
      </c>
      <c r="P74" s="14">
        <f t="shared" si="87"/>
        <v>2.4483293633950478E-12</v>
      </c>
      <c r="Q74" s="22">
        <f t="shared" si="54"/>
        <v>4.566883036574213E-12</v>
      </c>
      <c r="R74" s="62">
        <f t="shared" si="55"/>
        <v>293.33333333333786</v>
      </c>
      <c r="S74" s="62">
        <f ca="1">AVERAGE(OFFSET($R$3,0,0,'Données projet'!$E$9+1,1))-AVERAGE(OFFSET($H$3,0,0,'Données projet'!$E$9+1,1))</f>
        <v>321.23599968992932</v>
      </c>
      <c r="T74" s="62">
        <f t="shared" si="88"/>
        <v>388.05195847800502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8.2080069638671525</v>
      </c>
      <c r="AB74" s="23">
        <f>EXP(-LN(2)/2)*AB73+(1-EXP(-LN(2)/2))/(LN(2)/2)*V74*Y74*VLOOKUP('Données projet'!$B$9,Paramètres!$A$1:$I$89,3,0)*0.475*44/12</f>
        <v>1.2318011983722328E-5</v>
      </c>
      <c r="AC74" s="24">
        <f t="shared" si="57"/>
        <v>8.2080192818791353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7.6</v>
      </c>
      <c r="AI74" s="14">
        <f>IF('Données projet'!$A$62&gt;35,AI73+AH74-AQ73,IF(A74&lt;'Données projet'!$A$62,$AF$205^A74,IF(A74='Données projet'!$A$62,'Données projet'!$B$62,AI73+AH74-AQ73)))</f>
        <v>281.59999999999997</v>
      </c>
      <c r="AJ74" s="14">
        <f>AI74*VLOOKUP('Données projet'!$B$10,Paramètres!$A$1:$I$89,3,0)*VLOOKUP('Données projet'!$B$10,Paramètres!$A$1:$I$89,5,0)</f>
        <v>254.79167999999996</v>
      </c>
      <c r="AK74" s="14">
        <f t="shared" si="89"/>
        <v>61.610870508448471</v>
      </c>
      <c r="AL74" s="22">
        <f t="shared" si="58"/>
        <v>551.067775468881</v>
      </c>
      <c r="AM74" s="62">
        <f t="shared" si="59"/>
        <v>844.40110880221437</v>
      </c>
      <c r="AN74" s="62">
        <f ca="1">AVERAGE(OFFSET($AM$3,0,0,'Données projet'!$E$10+1,1))-AVERAGE(OFFSET($H$3,0,0,'Données projet'!$E$10+1,1))</f>
        <v>439.19854273764042</v>
      </c>
      <c r="AO74" s="62">
        <f t="shared" si="90"/>
        <v>278.21741231699929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2.929560996486579</v>
      </c>
      <c r="AW74" s="23">
        <f>EXP(-LN(2)/2)*AW73+(1-EXP(-LN(2)/2))/(LN(2)/2)*AQ74*AT74*VLOOKUP('Données projet'!$B$10,Paramètres!$A$1:$I$89,3,0)*0.475*44/12</f>
        <v>1.0054400212411848E-5</v>
      </c>
      <c r="AX74" s="23">
        <f t="shared" si="60"/>
        <v>2.9295710508867914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4.2</v>
      </c>
      <c r="BD74" s="13">
        <f>IF('Données projet'!$A$88&gt;35,BD73+BC74-BL73,IF(A74&lt;'Données projet'!$A$88,$BA$205^A74,IF(A74='Données projet'!$A$88,'Données projet'!$B$88,BD73+BC74-BL73)))</f>
        <v>307.19999999999965</v>
      </c>
      <c r="BE74" s="14">
        <f>BD74*VLOOKUP('Données projet'!$B$11,Paramètres!$A$1:$I$89,3,0)*VLOOKUP('Données projet'!$B$11,Paramètres!$A$1:$I$89,5,0)</f>
        <v>244.40831999999975</v>
      </c>
      <c r="BF74" s="14">
        <f t="shared" si="91"/>
        <v>59.386994936105353</v>
      </c>
      <c r="BG74" s="22">
        <f t="shared" si="61"/>
        <v>529.1101735137164</v>
      </c>
      <c r="BH74" s="62">
        <f t="shared" si="62"/>
        <v>822.44350684704978</v>
      </c>
      <c r="BI74" s="62">
        <f ca="1">AVERAGE(OFFSET($BH$3,0,0,'Données projet'!$E$11+1,1))-AVERAGE(OFFSET($H$3,0,0,'Données projet'!$E$11+1,1))</f>
        <v>352.88510024787888</v>
      </c>
      <c r="BJ74" s="62">
        <f t="shared" si="92"/>
        <v>343.77208530767069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3.9435466499349481</v>
      </c>
      <c r="BR74" s="23">
        <f>EXP(-LN(2)/2)*BR73+(1-EXP(-LN(2)/2))/(LN(2)/2)*BL74*BO74*VLOOKUP('Données projet'!$B$11,Paramètres!$A$1:$I$89,3,0)*0.475*44/12</f>
        <v>2.6621204679769715E-7</v>
      </c>
      <c r="BS74" s="24">
        <f t="shared" si="63"/>
        <v>3.9435469161469947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4.2</v>
      </c>
      <c r="BY74" s="13">
        <f>IF('Données projet'!$A$114&gt;35,BY73+BX74-CG73,IF(A74&lt;'Données projet'!$A$114,$BV$205^A74,IF(A74='Données projet'!$A$114,'Données projet'!$B$114,BY73+BX74-CG73)))</f>
        <v>307.19999999999965</v>
      </c>
      <c r="BZ74" s="14">
        <f>BY74*VLOOKUP('Données projet'!$B$12,Paramètres!$A$1:$I$89,3,0)*VLOOKUP('Données projet'!$B$12,Paramètres!$A$1:$I$89,5,0)</f>
        <v>225.23903999999973</v>
      </c>
      <c r="CA74" s="14">
        <f t="shared" si="93"/>
        <v>55.252000822487318</v>
      </c>
      <c r="CB74" s="22">
        <f t="shared" si="64"/>
        <v>488.52189609916491</v>
      </c>
      <c r="CC74" s="62">
        <f t="shared" si="65"/>
        <v>781.85522943249816</v>
      </c>
      <c r="CD74" s="62">
        <f ca="1">AVERAGE(OFFSET($CC$3,0,0,'Données projet'!$E$12+1,1))-AVERAGE(OFFSET($H$3,0,0,'Données projet'!$E$12+1,1))</f>
        <v>328.10411227536315</v>
      </c>
      <c r="CE74" s="62">
        <f t="shared" si="94"/>
        <v>320.24200483294322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4.0307788224363668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4.0307788224363668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5.6843418860808015E-14</v>
      </c>
      <c r="CU74" s="18">
        <f>CT74*VLOOKUP('Données projet'!$B$13,Paramètres!$A$1:$I$89,3,0)*VLOOKUP('Données projet'!$B$13,Paramètres!$A$1:$I$89,5,0)</f>
        <v>4.4337866711430253E-14</v>
      </c>
      <c r="CV74" s="14">
        <f t="shared" si="95"/>
        <v>7.3222115536967035E-13</v>
      </c>
      <c r="CW74" s="22">
        <f t="shared" si="67"/>
        <v>1.3525069634579169E-12</v>
      </c>
      <c r="CX74" s="62">
        <f t="shared" si="68"/>
        <v>293.33333333333468</v>
      </c>
      <c r="CY74" s="62">
        <f ca="1">AVERAGE(OFFSET($CX$3,0,0,'Données projet'!$E$13+1,1))-AVERAGE(OFFSET($H$3,0,0,'Données projet'!$E$13+1,1))</f>
        <v>288.82868507674738</v>
      </c>
      <c r="CZ74" s="62">
        <f t="shared" si="96"/>
        <v>283.48738729114024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4.5323036612400562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4.5323036612400562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7.6</v>
      </c>
      <c r="DO74" s="13">
        <f>IF('Données projet'!$A$166&gt;35,DO73+DN74-DW73,IF(A74&lt;'Données projet'!$A$166,$DL$205^A74,IF(A74='Données projet'!$A$166,'Données projet'!$B$166,DO73+DN74-DW73)))</f>
        <v>281.59999999999997</v>
      </c>
      <c r="DP74" s="18">
        <f>DO74*VLOOKUP('Données projet'!$B$14,Paramètres!$A$1:$I$89,3,0)*VLOOKUP('Données projet'!$B$14,Paramètres!$A$1:$I$89,5,0)</f>
        <v>285.54239999999999</v>
      </c>
      <c r="DQ74" s="14">
        <f t="shared" si="97"/>
        <v>68.136937829389524</v>
      </c>
      <c r="DR74" s="22">
        <f t="shared" si="70"/>
        <v>615.99151338618674</v>
      </c>
      <c r="DS74" s="62">
        <f t="shared" si="71"/>
        <v>909.32484671952011</v>
      </c>
      <c r="DT74" s="62">
        <f ca="1">AVERAGE(OFFSET($DS$3,0,0,'Données projet'!$E$14+1,1))-AVERAGE(OFFSET($H$3,0,0,'Données projet'!$E$14+1,1))</f>
        <v>487.04124684635974</v>
      </c>
      <c r="DU74" s="62">
        <f t="shared" si="98"/>
        <v>306.61893266146666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5.4362951047801031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5.4362951047801031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7.6</v>
      </c>
      <c r="EJ74" s="13">
        <f>IF('Données projet'!$A$192&gt;35,EJ73+EI74-ER73,IF(A74&lt;'Données projet'!$A$192,$EG$205^A74,IF(A74='Données projet'!$A$192,'Données projet'!$B$192,EJ73+EI74-ER73)))</f>
        <v>281.59999999999997</v>
      </c>
      <c r="EK74" s="18">
        <f>EJ74*VLOOKUP('Données projet'!$B$15,Paramètres!$A$1:$I$89,3,0)*VLOOKUP('Données projet'!$B$15,Paramètres!$A$1:$I$89,5,0)</f>
        <v>267.97055999999998</v>
      </c>
      <c r="EL74" s="14">
        <f t="shared" si="99"/>
        <v>64.418381959040033</v>
      </c>
      <c r="EM74" s="22">
        <f t="shared" si="73"/>
        <v>578.91074057866138</v>
      </c>
      <c r="EN74" s="62">
        <f t="shared" si="74"/>
        <v>872.24407391199475</v>
      </c>
      <c r="EO74" s="62">
        <f ca="1">AVERAGE(OFFSET($EN$3,0,0,'Données projet'!$E$15+1,1))-AVERAGE(OFFSET($H$3,0,0,'Données projet'!$E$15+1,1))</f>
        <v>459.64120566196812</v>
      </c>
      <c r="EP74" s="62">
        <f t="shared" si="100"/>
        <v>290.39826583283588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5.1017538675628646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5.1017538675628646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7.6</v>
      </c>
      <c r="FE74" s="13">
        <f>IF('Données projet'!$A$218&gt;35,FE73+FD74-FM73,IF(A74&lt;'Données projet'!$A$218,$FB$205^A74,IF(A74='Données projet'!$A$218,'Données projet'!$B$218,FE73+FD74-FM73)))</f>
        <v>281.59999999999997</v>
      </c>
      <c r="FF74" s="18">
        <f>FE74*VLOOKUP('Données projet'!$B$16,Paramètres!$A$1:$I$89,3,0)*VLOOKUP('Données projet'!$B$16,Paramètres!$A$1:$I$89,5,0)</f>
        <v>188.89727999999997</v>
      </c>
      <c r="FG74" s="14">
        <f t="shared" si="101"/>
        <v>47.296074588020467</v>
      </c>
      <c r="FH74" s="22">
        <f t="shared" si="76"/>
        <v>411.37009257413553</v>
      </c>
      <c r="FI74" s="62">
        <f t="shared" si="77"/>
        <v>704.70342590746884</v>
      </c>
      <c r="FJ74" s="62">
        <f ca="1">AVERAGE(OFFSET($FI$3,0,0,'Données projet'!$E$16+1,1))-AVERAGE(OFFSET($H$3,0,0,'Données projet'!$E$16+1,1))</f>
        <v>335.83558218229564</v>
      </c>
      <c r="FK74" s="62">
        <f t="shared" si="102"/>
        <v>217.08423061559648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0</v>
      </c>
      <c r="FR74" s="23">
        <f>EXP(-LN(2)/25)*FR73+(1-EXP(-LN(2)/25))/(LN(2)/25)*Calculateur!FM74*Calculateur!FO74*VLOOKUP('Données projet'!$B$16,Paramètres!$A$1:$I$89,3,0)*0.475*44/12</f>
        <v>2.6770126347204952</v>
      </c>
      <c r="FS74" s="23">
        <f>EXP(-LN(2)/2)*FS73+(1-EXP(-LN(2)/2))/(LN(2)/2)*FM74*FP74*VLOOKUP('Données projet'!$B$16,Paramètres!$A$1:$I$89,3,0)*0.475*44/12</f>
        <v>7.454124295408796E-6</v>
      </c>
      <c r="FT74" s="24">
        <f t="shared" si="78"/>
        <v>2.6770200888447908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1.9895196601282805E-13</v>
      </c>
      <c r="O75" s="14">
        <f>N75*VLOOKUP('Données projet'!$B$9,Paramètres!$A$1:$I$89,3,0)*VLOOKUP('Données projet'!$B$9,Paramètres!$A$1:$I$89,5,0)</f>
        <v>1.738044375088066E-13</v>
      </c>
      <c r="P75" s="14">
        <f t="shared" si="87"/>
        <v>2.4483293633950478E-12</v>
      </c>
      <c r="Q75" s="22">
        <f t="shared" si="54"/>
        <v>4.566883036574213E-12</v>
      </c>
      <c r="R75" s="62">
        <f t="shared" si="55"/>
        <v>293.33333333333786</v>
      </c>
      <c r="S75" s="62">
        <f ca="1">AVERAGE(OFFSET($R$3,0,0,'Données projet'!$E$9+1,1))-AVERAGE(OFFSET($H$3,0,0,'Données projet'!$E$9+1,1))</f>
        <v>321.23599968992932</v>
      </c>
      <c r="T75" s="62">
        <f t="shared" si="88"/>
        <v>388.05195847800502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7.9835585817998789</v>
      </c>
      <c r="AB75" s="23">
        <f>EXP(-LN(2)/2)*AB74+(1-EXP(-LN(2)/2))/(LN(2)/2)*V75*Y75*VLOOKUP('Données projet'!$B$9,Paramètres!$A$1:$I$89,3,0)*0.475*44/12</f>
        <v>8.7101498044272143E-6</v>
      </c>
      <c r="AC75" s="24">
        <f t="shared" si="57"/>
        <v>7.983567291949683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7.6</v>
      </c>
      <c r="AI75" s="14">
        <f>IF('Données projet'!$A$62&gt;35,AI74+AH75-AQ74,IF(A75&lt;'Données projet'!$A$62,$AF$205^A75,IF(A75='Données projet'!$A$62,'Données projet'!$B$62,AI74+AH75-AQ74)))</f>
        <v>289.2</v>
      </c>
      <c r="AJ75" s="14">
        <f>AI75*VLOOKUP('Données projet'!$B$10,Paramètres!$A$1:$I$89,3,0)*VLOOKUP('Données projet'!$B$10,Paramètres!$A$1:$I$89,5,0)</f>
        <v>261.66816</v>
      </c>
      <c r="AK75" s="14">
        <f t="shared" si="89"/>
        <v>63.077829793082856</v>
      </c>
      <c r="AL75" s="22">
        <f t="shared" si="58"/>
        <v>565.5992655562859</v>
      </c>
      <c r="AM75" s="62">
        <f t="shared" si="59"/>
        <v>858.93259888961916</v>
      </c>
      <c r="AN75" s="62">
        <f ca="1">AVERAGE(OFFSET($AM$3,0,0,'Données projet'!$E$10+1,1))-AVERAGE(OFFSET($H$3,0,0,'Données projet'!$E$10+1,1))</f>
        <v>439.19854273764042</v>
      </c>
      <c r="AO75" s="62">
        <f t="shared" si="90"/>
        <v>278.21741231699929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2.8494519969787362</v>
      </c>
      <c r="AW75" s="23">
        <f>EXP(-LN(2)/2)*AW74+(1-EXP(-LN(2)/2))/(LN(2)/2)*AQ75*AT75*VLOOKUP('Données projet'!$B$10,Paramètres!$A$1:$I$89,3,0)*0.475*44/12</f>
        <v>7.1095345709598816E-6</v>
      </c>
      <c r="AX75" s="23">
        <f t="shared" si="60"/>
        <v>2.849459106513307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4.2</v>
      </c>
      <c r="BD75" s="13">
        <f>IF('Données projet'!$A$88&gt;35,BD74+BC75-BL74,IF(A75&lt;'Données projet'!$A$88,$BA$205^A75,IF(A75='Données projet'!$A$88,'Données projet'!$B$88,BD74+BC75-BL74)))</f>
        <v>311.39999999999964</v>
      </c>
      <c r="BE75" s="14">
        <f>BD75*VLOOKUP('Données projet'!$B$11,Paramètres!$A$1:$I$89,3,0)*VLOOKUP('Données projet'!$B$11,Paramètres!$A$1:$I$89,5,0)</f>
        <v>247.74983999999972</v>
      </c>
      <c r="BF75" s="14">
        <f t="shared" si="91"/>
        <v>60.103849700617822</v>
      </c>
      <c r="BG75" s="22">
        <f t="shared" si="61"/>
        <v>536.17850956190898</v>
      </c>
      <c r="BH75" s="62">
        <f t="shared" si="62"/>
        <v>829.51184289524235</v>
      </c>
      <c r="BI75" s="62">
        <f ca="1">AVERAGE(OFFSET($BH$3,0,0,'Données projet'!$E$11+1,1))-AVERAGE(OFFSET($H$3,0,0,'Données projet'!$E$11+1,1))</f>
        <v>352.88510024787888</v>
      </c>
      <c r="BJ75" s="62">
        <f t="shared" si="92"/>
        <v>343.77208530767069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3.8357101594103717</v>
      </c>
      <c r="BR75" s="23">
        <f>EXP(-LN(2)/2)*BR74+(1-EXP(-LN(2)/2))/(LN(2)/2)*BL75*BO75*VLOOKUP('Données projet'!$B$11,Paramètres!$A$1:$I$89,3,0)*0.475*44/12</f>
        <v>1.8824034352420219E-7</v>
      </c>
      <c r="BS75" s="24">
        <f t="shared" si="63"/>
        <v>3.8357103476507151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4.2</v>
      </c>
      <c r="BY75" s="13">
        <f>IF('Données projet'!$A$114&gt;35,BY74+BX75-CG74,IF(A75&lt;'Données projet'!$A$114,$BV$205^A75,IF(A75='Données projet'!$A$114,'Données projet'!$B$114,BY74+BX75-CG74)))</f>
        <v>311.39999999999964</v>
      </c>
      <c r="BZ75" s="14">
        <f>BY75*VLOOKUP('Données projet'!$B$12,Paramètres!$A$1:$I$89,3,0)*VLOOKUP('Données projet'!$B$12,Paramètres!$A$1:$I$89,5,0)</f>
        <v>228.31847999999974</v>
      </c>
      <c r="CA75" s="14">
        <f t="shared" si="93"/>
        <v>55.918942466546937</v>
      </c>
      <c r="CB75" s="22">
        <f t="shared" si="64"/>
        <v>495.04684412923547</v>
      </c>
      <c r="CC75" s="62">
        <f t="shared" si="65"/>
        <v>788.38017746256878</v>
      </c>
      <c r="CD75" s="62">
        <f ca="1">AVERAGE(OFFSET($CC$3,0,0,'Données projet'!$E$12+1,1))-AVERAGE(OFFSET($H$3,0,0,'Données projet'!$E$12+1,1))</f>
        <v>328.10411227536315</v>
      </c>
      <c r="CE75" s="62">
        <f t="shared" si="94"/>
        <v>320.24200483294322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3.9517377082607115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3.9517377082607115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5.6843418860808015E-14</v>
      </c>
      <c r="CU75" s="18">
        <f>CT75*VLOOKUP('Données projet'!$B$13,Paramètres!$A$1:$I$89,3,0)*VLOOKUP('Données projet'!$B$13,Paramètres!$A$1:$I$89,5,0)</f>
        <v>4.4337866711430253E-14</v>
      </c>
      <c r="CV75" s="14">
        <f t="shared" si="95"/>
        <v>7.3222115536967035E-13</v>
      </c>
      <c r="CW75" s="22">
        <f t="shared" si="67"/>
        <v>1.3525069634579169E-12</v>
      </c>
      <c r="CX75" s="62">
        <f t="shared" si="68"/>
        <v>293.33333333333468</v>
      </c>
      <c r="CY75" s="62">
        <f ca="1">AVERAGE(OFFSET($CX$3,0,0,'Données projet'!$E$13+1,1))-AVERAGE(OFFSET($H$3,0,0,'Données projet'!$E$13+1,1))</f>
        <v>288.82868507674738</v>
      </c>
      <c r="CZ75" s="62">
        <f t="shared" si="96"/>
        <v>283.48738729114024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4.4434279508754067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4.4434279508754067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7.6</v>
      </c>
      <c r="DO75" s="13">
        <f>IF('Données projet'!$A$166&gt;35,DO74+DN75-DW74,IF(A75&lt;'Données projet'!$A$166,$DL$205^A75,IF(A75='Données projet'!$A$166,'Données projet'!$B$166,DO74+DN75-DW74)))</f>
        <v>289.2</v>
      </c>
      <c r="DP75" s="18">
        <f>DO75*VLOOKUP('Données projet'!$B$14,Paramètres!$A$1:$I$89,3,0)*VLOOKUP('Données projet'!$B$14,Paramètres!$A$1:$I$89,5,0)</f>
        <v>293.24880000000002</v>
      </c>
      <c r="DQ75" s="14">
        <f t="shared" si="97"/>
        <v>69.759283249126327</v>
      </c>
      <c r="DR75" s="22">
        <f t="shared" si="70"/>
        <v>632.23907832556176</v>
      </c>
      <c r="DS75" s="62">
        <f t="shared" si="71"/>
        <v>925.57241165889513</v>
      </c>
      <c r="DT75" s="62">
        <f ca="1">AVERAGE(OFFSET($DS$3,0,0,'Données projet'!$E$14+1,1))-AVERAGE(OFFSET($H$3,0,0,'Données projet'!$E$14+1,1))</f>
        <v>487.04124684635974</v>
      </c>
      <c r="DU75" s="62">
        <f t="shared" si="98"/>
        <v>306.61893266146666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5.3296926735879699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5.3296926735879699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7.6</v>
      </c>
      <c r="EJ75" s="13">
        <f>IF('Données projet'!$A$192&gt;35,EJ74+EI75-ER74,IF(A75&lt;'Données projet'!$A$192,$EG$205^A75,IF(A75='Données projet'!$A$192,'Données projet'!$B$192,EJ74+EI75-ER74)))</f>
        <v>289.2</v>
      </c>
      <c r="EK75" s="18">
        <f>EJ75*VLOOKUP('Données projet'!$B$15,Paramètres!$A$1:$I$89,3,0)*VLOOKUP('Données projet'!$B$15,Paramètres!$A$1:$I$89,5,0)</f>
        <v>275.20272</v>
      </c>
      <c r="EL75" s="14">
        <f t="shared" si="99"/>
        <v>65.952188294449357</v>
      </c>
      <c r="EM75" s="22">
        <f t="shared" si="73"/>
        <v>594.17813194616588</v>
      </c>
      <c r="EN75" s="62">
        <f t="shared" si="74"/>
        <v>887.51146527949913</v>
      </c>
      <c r="EO75" s="62">
        <f ca="1">AVERAGE(OFFSET($EN$3,0,0,'Données projet'!$E$15+1,1))-AVERAGE(OFFSET($H$3,0,0,'Données projet'!$E$15+1,1))</f>
        <v>459.64120566196812</v>
      </c>
      <c r="EP75" s="62">
        <f t="shared" si="100"/>
        <v>290.39826583283588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5.0017115859825552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5.0017115859825552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7.6</v>
      </c>
      <c r="FE75" s="13">
        <f>IF('Données projet'!$A$218&gt;35,FE74+FD75-FM74,IF(A75&lt;'Données projet'!$A$218,$FB$205^A75,IF(A75='Données projet'!$A$218,'Données projet'!$B$218,FE74+FD75-FM74)))</f>
        <v>289.2</v>
      </c>
      <c r="FF75" s="18">
        <f>FE75*VLOOKUP('Données projet'!$B$16,Paramètres!$A$1:$I$89,3,0)*VLOOKUP('Données projet'!$B$16,Paramètres!$A$1:$I$89,5,0)</f>
        <v>193.99536000000001</v>
      </c>
      <c r="FG75" s="14">
        <f t="shared" si="101"/>
        <v>48.422197546048515</v>
      </c>
      <c r="FH75" s="22">
        <f t="shared" si="76"/>
        <v>422.21057939270116</v>
      </c>
      <c r="FI75" s="62">
        <f t="shared" si="77"/>
        <v>715.54391272603448</v>
      </c>
      <c r="FJ75" s="62">
        <f ca="1">AVERAGE(OFFSET($FI$3,0,0,'Données projet'!$E$16+1,1))-AVERAGE(OFFSET($H$3,0,0,'Données projet'!$E$16+1,1))</f>
        <v>335.83558218229564</v>
      </c>
      <c r="FK75" s="62">
        <f t="shared" si="102"/>
        <v>217.08423061559648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0</v>
      </c>
      <c r="FR75" s="23">
        <f>EXP(-LN(2)/25)*FR74+(1-EXP(-LN(2)/25))/(LN(2)/25)*Calculateur!FM75*Calculateur!FO75*VLOOKUP('Données projet'!$B$16,Paramètres!$A$1:$I$89,3,0)*0.475*44/12</f>
        <v>2.603809583446087</v>
      </c>
      <c r="FS75" s="23">
        <f>EXP(-LN(2)/2)*FS74+(1-EXP(-LN(2)/2))/(LN(2)/2)*FM75*FP75*VLOOKUP('Données projet'!$B$16,Paramètres!$A$1:$I$89,3,0)*0.475*44/12</f>
        <v>5.2708618370909554E-6</v>
      </c>
      <c r="FT75" s="24">
        <f t="shared" si="78"/>
        <v>2.6038148543079243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1.9895196601282805E-13</v>
      </c>
      <c r="O76" s="14">
        <f>N76*VLOOKUP('Données projet'!$B$9,Paramètres!$A$1:$I$89,3,0)*VLOOKUP('Données projet'!$B$9,Paramètres!$A$1:$I$89,5,0)</f>
        <v>1.738044375088066E-13</v>
      </c>
      <c r="P76" s="14">
        <f t="shared" si="87"/>
        <v>2.4483293633950478E-12</v>
      </c>
      <c r="Q76" s="22">
        <f t="shared" si="54"/>
        <v>4.566883036574213E-12</v>
      </c>
      <c r="R76" s="62">
        <f t="shared" si="55"/>
        <v>293.33333333333786</v>
      </c>
      <c r="S76" s="62">
        <f ca="1">AVERAGE(OFFSET($R$3,0,0,'Données projet'!$E$9+1,1))-AVERAGE(OFFSET($H$3,0,0,'Données projet'!$E$9+1,1))</f>
        <v>321.23599968992932</v>
      </c>
      <c r="T76" s="62">
        <f t="shared" si="88"/>
        <v>388.05195847800502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7.7652477525434618</v>
      </c>
      <c r="AB76" s="23">
        <f>EXP(-LN(2)/2)*AB75+(1-EXP(-LN(2)/2))/(LN(2)/2)*V76*Y76*VLOOKUP('Données projet'!$B$9,Paramètres!$A$1:$I$89,3,0)*0.475*44/12</f>
        <v>6.1590059918611641E-6</v>
      </c>
      <c r="AC76" s="24">
        <f t="shared" si="57"/>
        <v>7.7652539115494532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7.6</v>
      </c>
      <c r="AI76" s="14">
        <f>IF('Données projet'!$A$62&gt;35,AI75+AH76-AQ75,IF(A76&lt;'Données projet'!$A$62,$AF$205^A76,IF(A76='Données projet'!$A$62,'Données projet'!$B$62,AI75+AH76-AQ75)))</f>
        <v>296.8</v>
      </c>
      <c r="AJ76" s="14">
        <f>AI76*VLOOKUP('Données projet'!$B$10,Paramètres!$A$1:$I$89,3,0)*VLOOKUP('Données projet'!$B$10,Paramètres!$A$1:$I$89,5,0)</f>
        <v>268.54464000000002</v>
      </c>
      <c r="AK76" s="14">
        <f t="shared" si="89"/>
        <v>64.54030807605065</v>
      </c>
      <c r="AL76" s="22">
        <f t="shared" si="58"/>
        <v>580.12295123245474</v>
      </c>
      <c r="AM76" s="62">
        <f t="shared" si="59"/>
        <v>873.45628456578811</v>
      </c>
      <c r="AN76" s="62">
        <f ca="1">AVERAGE(OFFSET($AM$3,0,0,'Données projet'!$E$10+1,1))-AVERAGE(OFFSET($H$3,0,0,'Données projet'!$E$10+1,1))</f>
        <v>439.19854273764042</v>
      </c>
      <c r="AO76" s="62">
        <f t="shared" si="90"/>
        <v>278.21741231699929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2.7715335822751848</v>
      </c>
      <c r="AW76" s="23">
        <f>EXP(-LN(2)/2)*AW75+(1-EXP(-LN(2)/2))/(LN(2)/2)*AQ76*AT76*VLOOKUP('Données projet'!$B$10,Paramètres!$A$1:$I$89,3,0)*0.475*44/12</f>
        <v>5.027200106205924E-6</v>
      </c>
      <c r="AX76" s="23">
        <f t="shared" si="60"/>
        <v>2.7715386094752912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4.2</v>
      </c>
      <c r="BD76" s="13">
        <f>IF('Données projet'!$A$88&gt;35,BD75+BC76-BL75,IF(A76&lt;'Données projet'!$A$88,$BA$205^A76,IF(A76='Données projet'!$A$88,'Données projet'!$B$88,BD75+BC76-BL75)))</f>
        <v>315.59999999999962</v>
      </c>
      <c r="BE76" s="14">
        <f>BD76*VLOOKUP('Données projet'!$B$11,Paramètres!$A$1:$I$89,3,0)*VLOOKUP('Données projet'!$B$11,Paramètres!$A$1:$I$89,5,0)</f>
        <v>251.09135999999972</v>
      </c>
      <c r="BF76" s="14">
        <f t="shared" si="91"/>
        <v>60.81957989149398</v>
      </c>
      <c r="BG76" s="22">
        <f t="shared" si="61"/>
        <v>543.24488697768481</v>
      </c>
      <c r="BH76" s="62">
        <f t="shared" si="62"/>
        <v>836.57822031101819</v>
      </c>
      <c r="BI76" s="62">
        <f ca="1">AVERAGE(OFFSET($BH$3,0,0,'Données projet'!$E$11+1,1))-AVERAGE(OFFSET($H$3,0,0,'Données projet'!$E$11+1,1))</f>
        <v>352.88510024787888</v>
      </c>
      <c r="BJ76" s="62">
        <f t="shared" si="92"/>
        <v>343.77208530767069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3.7308224633900644</v>
      </c>
      <c r="BR76" s="23">
        <f>EXP(-LN(2)/2)*BR75+(1-EXP(-LN(2)/2))/(LN(2)/2)*BL76*BO76*VLOOKUP('Données projet'!$B$11,Paramètres!$A$1:$I$89,3,0)*0.475*44/12</f>
        <v>1.3310602339884858E-7</v>
      </c>
      <c r="BS76" s="24">
        <f t="shared" si="63"/>
        <v>3.7308225964960879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4.2</v>
      </c>
      <c r="BY76" s="13">
        <f>IF('Données projet'!$A$114&gt;35,BY75+BX76-CG75,IF(A76&lt;'Données projet'!$A$114,$BV$205^A76,IF(A76='Données projet'!$A$114,'Données projet'!$B$114,BY75+BX76-CG75)))</f>
        <v>315.59999999999962</v>
      </c>
      <c r="BZ76" s="14">
        <f>BY76*VLOOKUP('Données projet'!$B$12,Paramètres!$A$1:$I$89,3,0)*VLOOKUP('Données projet'!$B$12,Paramètres!$A$1:$I$89,5,0)</f>
        <v>231.39791999999974</v>
      </c>
      <c r="CA76" s="14">
        <f t="shared" si="93"/>
        <v>56.584837838715757</v>
      </c>
      <c r="CB76" s="22">
        <f t="shared" si="64"/>
        <v>501.56996990242948</v>
      </c>
      <c r="CC76" s="62">
        <f t="shared" si="65"/>
        <v>794.90330323576279</v>
      </c>
      <c r="CD76" s="62">
        <f ca="1">AVERAGE(OFFSET($CC$3,0,0,'Données projet'!$E$12+1,1))-AVERAGE(OFFSET($H$3,0,0,'Données projet'!$E$12+1,1))</f>
        <v>328.10411227536315</v>
      </c>
      <c r="CE76" s="62">
        <f t="shared" si="94"/>
        <v>320.24200483294322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3.8742465421237213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3.8742465421237213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5.6843418860808015E-14</v>
      </c>
      <c r="CU76" s="18">
        <f>CT76*VLOOKUP('Données projet'!$B$13,Paramètres!$A$1:$I$89,3,0)*VLOOKUP('Données projet'!$B$13,Paramètres!$A$1:$I$89,5,0)</f>
        <v>4.4337866711430253E-14</v>
      </c>
      <c r="CV76" s="14">
        <f t="shared" si="95"/>
        <v>7.3222115536967035E-13</v>
      </c>
      <c r="CW76" s="22">
        <f t="shared" si="67"/>
        <v>1.3525069634579169E-12</v>
      </c>
      <c r="CX76" s="62">
        <f t="shared" si="68"/>
        <v>293.33333333333468</v>
      </c>
      <c r="CY76" s="62">
        <f ca="1">AVERAGE(OFFSET($CX$3,0,0,'Données projet'!$E$13+1,1))-AVERAGE(OFFSET($H$3,0,0,'Données projet'!$E$13+1,1))</f>
        <v>288.82868507674738</v>
      </c>
      <c r="CZ76" s="62">
        <f t="shared" si="96"/>
        <v>283.48738729114024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4.3562950389821777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4.3562950389821777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7.6</v>
      </c>
      <c r="DO76" s="13">
        <f>IF('Données projet'!$A$166&gt;35,DO75+DN76-DW75,IF(A76&lt;'Données projet'!$A$166,$DL$205^A76,IF(A76='Données projet'!$A$166,'Données projet'!$B$166,DO75+DN76-DW75)))</f>
        <v>296.8</v>
      </c>
      <c r="DP76" s="18">
        <f>DO76*VLOOKUP('Données projet'!$B$14,Paramètres!$A$1:$I$89,3,0)*VLOOKUP('Données projet'!$B$14,Paramètres!$A$1:$I$89,5,0)</f>
        <v>300.95520000000005</v>
      </c>
      <c r="DQ76" s="14">
        <f t="shared" si="97"/>
        <v>71.376673021759785</v>
      </c>
      <c r="DR76" s="22">
        <f t="shared" si="70"/>
        <v>648.4780121795651</v>
      </c>
      <c r="DS76" s="62">
        <f t="shared" si="71"/>
        <v>941.81134551289847</v>
      </c>
      <c r="DT76" s="62">
        <f ca="1">AVERAGE(OFFSET($DS$3,0,0,'Données projet'!$E$14+1,1))-AVERAGE(OFFSET($H$3,0,0,'Données projet'!$E$14+1,1))</f>
        <v>487.04124684635974</v>
      </c>
      <c r="DU76" s="62">
        <f t="shared" si="98"/>
        <v>306.61893266146666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5.2251806510504517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5.2251806510504517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7.6</v>
      </c>
      <c r="EJ76" s="13">
        <f>IF('Données projet'!$A$192&gt;35,EJ75+EI76-ER75,IF(A76&lt;'Données projet'!$A$192,$EG$205^A76,IF(A76='Données projet'!$A$192,'Données projet'!$B$192,EJ75+EI76-ER75)))</f>
        <v>296.8</v>
      </c>
      <c r="EK76" s="18">
        <f>EJ76*VLOOKUP('Données projet'!$B$15,Paramètres!$A$1:$I$89,3,0)*VLOOKUP('Données projet'!$B$15,Paramètres!$A$1:$I$89,5,0)</f>
        <v>282.43488000000002</v>
      </c>
      <c r="EL76" s="14">
        <f t="shared" si="99"/>
        <v>67.481309435922299</v>
      </c>
      <c r="EM76" s="22">
        <f t="shared" si="73"/>
        <v>609.43736326756471</v>
      </c>
      <c r="EN76" s="62">
        <f t="shared" si="74"/>
        <v>902.77069660089796</v>
      </c>
      <c r="EO76" s="62">
        <f ca="1">AVERAGE(OFFSET($EN$3,0,0,'Données projet'!$E$15+1,1))-AVERAGE(OFFSET($H$3,0,0,'Données projet'!$E$15+1,1))</f>
        <v>459.64120566196812</v>
      </c>
      <c r="EP76" s="62">
        <f t="shared" si="100"/>
        <v>290.39826583283588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4.9036310725242691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4.9036310725242691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7.6</v>
      </c>
      <c r="FE76" s="13">
        <f>IF('Données projet'!$A$218&gt;35,FE75+FD76-FM75,IF(A76&lt;'Données projet'!$A$218,$FB$205^A76,IF(A76='Données projet'!$A$218,'Données projet'!$B$218,FE75+FD76-FM75)))</f>
        <v>296.8</v>
      </c>
      <c r="FF76" s="18">
        <f>FE76*VLOOKUP('Données projet'!$B$16,Paramètres!$A$1:$I$89,3,0)*VLOOKUP('Données projet'!$B$16,Paramètres!$A$1:$I$89,5,0)</f>
        <v>199.09344000000002</v>
      </c>
      <c r="FG76" s="14">
        <f t="shared" si="101"/>
        <v>49.544880627520683</v>
      </c>
      <c r="FH76" s="22">
        <f t="shared" si="76"/>
        <v>433.04507509293188</v>
      </c>
      <c r="FI76" s="62">
        <f t="shared" si="77"/>
        <v>726.3784084262652</v>
      </c>
      <c r="FJ76" s="62">
        <f ca="1">AVERAGE(OFFSET($FI$3,0,0,'Données projet'!$E$16+1,1))-AVERAGE(OFFSET($H$3,0,0,'Données projet'!$E$16+1,1))</f>
        <v>335.83558218229564</v>
      </c>
      <c r="FK76" s="62">
        <f t="shared" si="102"/>
        <v>217.08423061559648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0</v>
      </c>
      <c r="FR76" s="23">
        <f>EXP(-LN(2)/25)*FR75+(1-EXP(-LN(2)/25))/(LN(2)/25)*Calculateur!FM76*Calculateur!FO76*VLOOKUP('Données projet'!$B$16,Paramètres!$A$1:$I$89,3,0)*0.475*44/12</f>
        <v>2.5326082734583588</v>
      </c>
      <c r="FS76" s="23">
        <f>EXP(-LN(2)/2)*FS75+(1-EXP(-LN(2)/2))/(LN(2)/2)*FM76*FP76*VLOOKUP('Données projet'!$B$16,Paramètres!$A$1:$I$89,3,0)*0.475*44/12</f>
        <v>3.7270621477043984E-6</v>
      </c>
      <c r="FT76" s="24">
        <f t="shared" si="78"/>
        <v>2.5326120005205066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1.9895196601282805E-13</v>
      </c>
      <c r="O77" s="14">
        <f>N77*VLOOKUP('Données projet'!$B$9,Paramètres!$A$1:$I$89,3,0)*VLOOKUP('Données projet'!$B$9,Paramètres!$A$1:$I$89,5,0)</f>
        <v>1.738044375088066E-13</v>
      </c>
      <c r="P77" s="14">
        <f t="shared" si="87"/>
        <v>2.4483293633950478E-12</v>
      </c>
      <c r="Q77" s="22">
        <f t="shared" si="54"/>
        <v>4.566883036574213E-12</v>
      </c>
      <c r="R77" s="62">
        <f t="shared" si="55"/>
        <v>293.33333333333786</v>
      </c>
      <c r="S77" s="62">
        <f ca="1">AVERAGE(OFFSET($R$3,0,0,'Données projet'!$E$9+1,1))-AVERAGE(OFFSET($H$3,0,0,'Données projet'!$E$9+1,1))</f>
        <v>321.23599968992932</v>
      </c>
      <c r="T77" s="62">
        <f t="shared" si="88"/>
        <v>388.05195847800502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7.5529066443935289</v>
      </c>
      <c r="AB77" s="23">
        <f>EXP(-LN(2)/2)*AB76+(1-EXP(-LN(2)/2))/(LN(2)/2)*V77*Y77*VLOOKUP('Données projet'!$B$9,Paramètres!$A$1:$I$89,3,0)*0.475*44/12</f>
        <v>4.3550749022136071E-6</v>
      </c>
      <c r="AC77" s="24">
        <f t="shared" si="57"/>
        <v>7.5529109994684314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7.6</v>
      </c>
      <c r="AI77" s="14">
        <f>IF('Données projet'!$A$62&gt;35,AI76+AH77-AQ76,IF(A77&lt;'Données projet'!$A$62,$AF$205^A77,IF(A77='Données projet'!$A$62,'Données projet'!$B$62,AI76+AH77-AQ76)))</f>
        <v>304.40000000000003</v>
      </c>
      <c r="AJ77" s="14">
        <f>AI77*VLOOKUP('Données projet'!$B$10,Paramètres!$A$1:$I$89,3,0)*VLOOKUP('Données projet'!$B$10,Paramètres!$A$1:$I$89,5,0)</f>
        <v>275.42112000000003</v>
      </c>
      <c r="AK77" s="14">
        <f t="shared" si="89"/>
        <v>65.998433293601067</v>
      </c>
      <c r="AL77" s="22">
        <f t="shared" si="58"/>
        <v>594.63905531968851</v>
      </c>
      <c r="AM77" s="62">
        <f t="shared" si="59"/>
        <v>887.97238865302188</v>
      </c>
      <c r="AN77" s="62">
        <f ca="1">AVERAGE(OFFSET($AM$3,0,0,'Données projet'!$E$10+1,1))-AVERAGE(OFFSET($H$3,0,0,'Données projet'!$E$10+1,1))</f>
        <v>439.19854273764042</v>
      </c>
      <c r="AO77" s="62">
        <f t="shared" si="90"/>
        <v>278.21741231699929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2.6957458507192533</v>
      </c>
      <c r="AW77" s="23">
        <f>EXP(-LN(2)/2)*AW76+(1-EXP(-LN(2)/2))/(LN(2)/2)*AQ77*AT77*VLOOKUP('Données projet'!$B$10,Paramètres!$A$1:$I$89,3,0)*0.475*44/12</f>
        <v>3.5547672854799408E-6</v>
      </c>
      <c r="AX77" s="23">
        <f t="shared" si="60"/>
        <v>2.6957494054865387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4.2</v>
      </c>
      <c r="BD77" s="13">
        <f>IF('Données projet'!$A$88&gt;35,BD76+BC77-BL76,IF(A77&lt;'Données projet'!$A$88,$BA$205^A77,IF(A77='Données projet'!$A$88,'Données projet'!$B$88,BD76+BC77-BL76)))</f>
        <v>319.79999999999961</v>
      </c>
      <c r="BE77" s="14">
        <f>BD77*VLOOKUP('Données projet'!$B$11,Paramètres!$A$1:$I$89,3,0)*VLOOKUP('Données projet'!$B$11,Paramètres!$A$1:$I$89,5,0)</f>
        <v>254.43287999999973</v>
      </c>
      <c r="BF77" s="14">
        <f t="shared" si="91"/>
        <v>61.534202204620335</v>
      </c>
      <c r="BG77" s="22">
        <f t="shared" si="61"/>
        <v>550.3093348397133</v>
      </c>
      <c r="BH77" s="62">
        <f t="shared" si="62"/>
        <v>843.64266817304656</v>
      </c>
      <c r="BI77" s="62">
        <f ca="1">AVERAGE(OFFSET($BH$3,0,0,'Données projet'!$E$11+1,1))-AVERAGE(OFFSET($H$3,0,0,'Données projet'!$E$11+1,1))</f>
        <v>352.88510024787888</v>
      </c>
      <c r="BJ77" s="62">
        <f t="shared" si="92"/>
        <v>343.77208530767069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3.6288029269332367</v>
      </c>
      <c r="BR77" s="23">
        <f>EXP(-LN(2)/2)*BR76+(1-EXP(-LN(2)/2))/(LN(2)/2)*BL77*BO77*VLOOKUP('Données projet'!$B$11,Paramètres!$A$1:$I$89,3,0)*0.475*44/12</f>
        <v>9.4120171762101096E-8</v>
      </c>
      <c r="BS77" s="24">
        <f t="shared" si="63"/>
        <v>3.6288030210534084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4.2</v>
      </c>
      <c r="BY77" s="13">
        <f>IF('Données projet'!$A$114&gt;35,BY76+BX77-CG76,IF(A77&lt;'Données projet'!$A$114,$BV$205^A77,IF(A77='Données projet'!$A$114,'Données projet'!$B$114,BY76+BX77-CG76)))</f>
        <v>319.79999999999961</v>
      </c>
      <c r="BZ77" s="14">
        <f>BY77*VLOOKUP('Données projet'!$B$12,Paramètres!$A$1:$I$89,3,0)*VLOOKUP('Données projet'!$B$12,Paramètres!$A$1:$I$89,5,0)</f>
        <v>234.47735999999972</v>
      </c>
      <c r="CA77" s="14">
        <f t="shared" si="93"/>
        <v>57.249702472380243</v>
      </c>
      <c r="CB77" s="22">
        <f t="shared" si="64"/>
        <v>508.09130047272839</v>
      </c>
      <c r="CC77" s="62">
        <f t="shared" si="65"/>
        <v>801.42463380606171</v>
      </c>
      <c r="CD77" s="62">
        <f ca="1">AVERAGE(OFFSET($CC$3,0,0,'Données projet'!$E$12+1,1))-AVERAGE(OFFSET($H$3,0,0,'Données projet'!$E$12+1,1))</f>
        <v>328.10411227536315</v>
      </c>
      <c r="CE77" s="62">
        <f t="shared" si="94"/>
        <v>320.24200483294322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3.7982749304897334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3.7982749304897334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5.6843418860808015E-14</v>
      </c>
      <c r="CU77" s="18">
        <f>CT77*VLOOKUP('Données projet'!$B$13,Paramètres!$A$1:$I$89,3,0)*VLOOKUP('Données projet'!$B$13,Paramètres!$A$1:$I$89,5,0)</f>
        <v>4.4337866711430253E-14</v>
      </c>
      <c r="CV77" s="14">
        <f t="shared" si="95"/>
        <v>7.3222115536967035E-13</v>
      </c>
      <c r="CW77" s="22">
        <f t="shared" si="67"/>
        <v>1.3525069634579169E-12</v>
      </c>
      <c r="CX77" s="62">
        <f t="shared" si="68"/>
        <v>293.33333333333468</v>
      </c>
      <c r="CY77" s="62">
        <f ca="1">AVERAGE(OFFSET($CX$3,0,0,'Données projet'!$E$13+1,1))-AVERAGE(OFFSET($H$3,0,0,'Données projet'!$E$13+1,1))</f>
        <v>288.82868507674738</v>
      </c>
      <c r="CZ77" s="62">
        <f t="shared" si="96"/>
        <v>283.48738729114024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4.2708707503453462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4.2708707503453462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7.6</v>
      </c>
      <c r="DO77" s="13">
        <f>IF('Données projet'!$A$166&gt;35,DO76+DN77-DW76,IF(A77&lt;'Données projet'!$A$166,$DL$205^A77,IF(A77='Données projet'!$A$166,'Données projet'!$B$166,DO76+DN77-DW76)))</f>
        <v>304.40000000000003</v>
      </c>
      <c r="DP77" s="18">
        <f>DO77*VLOOKUP('Données projet'!$B$14,Paramètres!$A$1:$I$89,3,0)*VLOOKUP('Données projet'!$B$14,Paramètres!$A$1:$I$89,5,0)</f>
        <v>308.66160000000008</v>
      </c>
      <c r="DQ77" s="14">
        <f t="shared" si="97"/>
        <v>72.98924863505313</v>
      </c>
      <c r="DR77" s="22">
        <f t="shared" si="70"/>
        <v>664.70856137271755</v>
      </c>
      <c r="DS77" s="62">
        <f t="shared" si="71"/>
        <v>958.04189470605093</v>
      </c>
      <c r="DT77" s="62">
        <f ca="1">AVERAGE(OFFSET($DS$3,0,0,'Données projet'!$E$14+1,1))-AVERAGE(OFFSET($H$3,0,0,'Données projet'!$E$14+1,1))</f>
        <v>487.04124684635974</v>
      </c>
      <c r="DU77" s="62">
        <f t="shared" si="98"/>
        <v>306.61893266146666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5.1227180455288552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5.1227180455288552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7.6</v>
      </c>
      <c r="EJ77" s="13">
        <f>IF('Données projet'!$A$192&gt;35,EJ76+EI77-ER76,IF(A77&lt;'Données projet'!$A$192,$EG$205^A77,IF(A77='Données projet'!$A$192,'Données projet'!$B$192,EJ76+EI77-ER76)))</f>
        <v>304.40000000000003</v>
      </c>
      <c r="EK77" s="18">
        <f>EJ77*VLOOKUP('Données projet'!$B$15,Paramètres!$A$1:$I$89,3,0)*VLOOKUP('Données projet'!$B$15,Paramètres!$A$1:$I$89,5,0)</f>
        <v>289.66704000000004</v>
      </c>
      <c r="EL77" s="14">
        <f t="shared" si="99"/>
        <v>69.005879149563839</v>
      </c>
      <c r="EM77" s="22">
        <f t="shared" si="73"/>
        <v>624.68866751882376</v>
      </c>
      <c r="EN77" s="62">
        <f t="shared" si="74"/>
        <v>918.02200085215713</v>
      </c>
      <c r="EO77" s="62">
        <f ca="1">AVERAGE(OFFSET($EN$3,0,0,'Données projet'!$E$15+1,1))-AVERAGE(OFFSET($H$3,0,0,'Données projet'!$E$15+1,1))</f>
        <v>459.64120566196812</v>
      </c>
      <c r="EP77" s="62">
        <f t="shared" si="100"/>
        <v>290.39826583283588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4.8074738581116936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4.8074738581116936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7.6</v>
      </c>
      <c r="FE77" s="13">
        <f>IF('Données projet'!$A$218&gt;35,FE76+FD77-FM76,IF(A77&lt;'Données projet'!$A$218,$FB$205^A77,IF(A77='Données projet'!$A$218,'Données projet'!$B$218,FE76+FD77-FM76)))</f>
        <v>304.40000000000003</v>
      </c>
      <c r="FF77" s="18">
        <f>FE77*VLOOKUP('Données projet'!$B$16,Paramètres!$A$1:$I$89,3,0)*VLOOKUP('Données projet'!$B$16,Paramètres!$A$1:$I$89,5,0)</f>
        <v>204.19152000000005</v>
      </c>
      <c r="FG77" s="14">
        <f t="shared" si="101"/>
        <v>50.66422204371576</v>
      </c>
      <c r="FH77" s="22">
        <f t="shared" si="76"/>
        <v>443.87375072613833</v>
      </c>
      <c r="FI77" s="62">
        <f t="shared" si="77"/>
        <v>737.20708405947164</v>
      </c>
      <c r="FJ77" s="62">
        <f ca="1">AVERAGE(OFFSET($FI$3,0,0,'Données projet'!$E$16+1,1))-AVERAGE(OFFSET($H$3,0,0,'Données projet'!$E$16+1,1))</f>
        <v>335.83558218229564</v>
      </c>
      <c r="FK77" s="62">
        <f t="shared" si="102"/>
        <v>217.08423061559648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0</v>
      </c>
      <c r="FR77" s="23">
        <f>EXP(-LN(2)/25)*FR76+(1-EXP(-LN(2)/25))/(LN(2)/25)*Calculateur!FM77*Calculateur!FO77*VLOOKUP('Données projet'!$B$16,Paramètres!$A$1:$I$89,3,0)*0.475*44/12</f>
        <v>2.4633539670365594</v>
      </c>
      <c r="FS77" s="23">
        <f>EXP(-LN(2)/2)*FS76+(1-EXP(-LN(2)/2))/(LN(2)/2)*FM77*FP77*VLOOKUP('Données projet'!$B$16,Paramètres!$A$1:$I$89,3,0)*0.475*44/12</f>
        <v>2.6354309185454781E-6</v>
      </c>
      <c r="FT77" s="24">
        <f t="shared" si="78"/>
        <v>2.4633566024674778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1.9895196601282805E-13</v>
      </c>
      <c r="O78" s="14">
        <f>N78*VLOOKUP('Données projet'!$B$9,Paramètres!$A$1:$I$89,3,0)*VLOOKUP('Données projet'!$B$9,Paramètres!$A$1:$I$89,5,0)</f>
        <v>1.738044375088066E-13</v>
      </c>
      <c r="P78" s="14">
        <f t="shared" si="87"/>
        <v>2.4483293633950478E-12</v>
      </c>
      <c r="Q78" s="22">
        <f t="shared" si="54"/>
        <v>4.566883036574213E-12</v>
      </c>
      <c r="R78" s="62">
        <f t="shared" si="55"/>
        <v>293.33333333333786</v>
      </c>
      <c r="S78" s="62">
        <f ca="1">AVERAGE(OFFSET($R$3,0,0,'Données projet'!$E$9+1,1))-AVERAGE(OFFSET($H$3,0,0,'Données projet'!$E$9+1,1))</f>
        <v>321.23599968992932</v>
      </c>
      <c r="T78" s="62">
        <f t="shared" si="88"/>
        <v>388.05195847800502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7.3463720150124896</v>
      </c>
      <c r="AB78" s="23">
        <f>EXP(-LN(2)/2)*AB77+(1-EXP(-LN(2)/2))/(LN(2)/2)*V78*Y78*VLOOKUP('Données projet'!$B$9,Paramètres!$A$1:$I$89,3,0)*0.475*44/12</f>
        <v>3.079502995930582E-6</v>
      </c>
      <c r="AC78" s="24">
        <f t="shared" si="57"/>
        <v>7.3463750945154853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312</v>
      </c>
      <c r="AG78" s="13">
        <f>VLOOKUP(A78,'Données projet'!$A$61:$I$81,9,0)</f>
        <v>7.6</v>
      </c>
      <c r="AH78" s="13">
        <f t="array" ref="AH78">INDEX(AG:AG,MIN(IF(ISNUMBER(AG78:AG274),ROW(AG78:AG274),"")))</f>
        <v>7.6</v>
      </c>
      <c r="AI78" s="14">
        <f>IF('Données projet'!$A$62&gt;35,AI77+AH78-AQ77,IF(A78&lt;'Données projet'!$A$62,$AF$205^A78,IF(A78='Données projet'!$A$62,'Données projet'!$B$62,AI77+AH78-AQ77)))</f>
        <v>312.00000000000006</v>
      </c>
      <c r="AJ78" s="14">
        <f>AI78*VLOOKUP('Données projet'!$B$10,Paramètres!$A$1:$I$89,3,0)*VLOOKUP('Données projet'!$B$10,Paramètres!$A$1:$I$89,5,0)</f>
        <v>282.29760000000005</v>
      </c>
      <c r="AK78" s="14">
        <f t="shared" si="89"/>
        <v>67.452326629470178</v>
      </c>
      <c r="AL78" s="22">
        <f t="shared" si="58"/>
        <v>609.14778887966054</v>
      </c>
      <c r="AM78" s="62">
        <f t="shared" si="59"/>
        <v>902.4811222129938</v>
      </c>
      <c r="AN78" s="62">
        <f ca="1">AVERAGE(OFFSET($AM$3,0,0,'Données projet'!$E$10+1,1))-AVERAGE(OFFSET($H$3,0,0,'Données projet'!$E$10+1,1))</f>
        <v>439.19854273764042</v>
      </c>
      <c r="AO78" s="62">
        <f t="shared" si="90"/>
        <v>278.21741231699929</v>
      </c>
      <c r="AP78" s="16">
        <f>IF(ISNA(VLOOKUP(A78,'Données projet'!$A$61:$I$81,3,0)),0,VLOOKUP(A78,'Données projet'!$A$61:$I$81,3,0))</f>
        <v>12</v>
      </c>
      <c r="AQ78" s="16">
        <f>IF(ISNA(VLOOKUP(A78,'Données projet'!$A$61:$I$81,4,0)),0,VLOOKUP(A78,'Données projet'!$A$61:$I$81,4,0))</f>
        <v>28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2.6220305386682221</v>
      </c>
      <c r="AW78" s="23">
        <f>EXP(-LN(2)/2)*AW77+(1-EXP(-LN(2)/2))/(LN(2)/2)*AQ78*AT78*VLOOKUP('Données projet'!$B$10,Paramètres!$A$1:$I$89,3,0)*0.475*44/12</f>
        <v>2.513600053102962E-6</v>
      </c>
      <c r="AX78" s="23">
        <f t="shared" si="60"/>
        <v>2.6220330522682751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324</v>
      </c>
      <c r="BB78" s="13">
        <f>VLOOKUP(A78,'Données projet'!$A$87:$I$107,9,0)</f>
        <v>4.2</v>
      </c>
      <c r="BC78" s="13">
        <f t="array" ref="BC78">INDEX(BB:BB,MIN(IF(ISNUMBER(BB78:BB274),ROW(BB78:BB274),"")))</f>
        <v>4.2</v>
      </c>
      <c r="BD78" s="13">
        <f>IF('Données projet'!$A$88&gt;35,BD77+BC78-BL77,IF(A78&lt;'Données projet'!$A$88,$BA$205^A78,IF(A78='Données projet'!$A$88,'Données projet'!$B$88,BD77+BC78-BL77)))</f>
        <v>323.9999999999996</v>
      </c>
      <c r="BE78" s="14">
        <f>BD78*VLOOKUP('Données projet'!$B$11,Paramètres!$A$1:$I$89,3,0)*VLOOKUP('Données projet'!$B$11,Paramètres!$A$1:$I$89,5,0)</f>
        <v>257.77439999999973</v>
      </c>
      <c r="BF78" s="14">
        <f t="shared" si="91"/>
        <v>62.247732872134243</v>
      </c>
      <c r="BG78" s="22">
        <f t="shared" si="61"/>
        <v>557.37188141896661</v>
      </c>
      <c r="BH78" s="62">
        <f t="shared" si="62"/>
        <v>850.70521475229998</v>
      </c>
      <c r="BI78" s="62">
        <f ca="1">AVERAGE(OFFSET($BH$3,0,0,'Données projet'!$E$11+1,1))-AVERAGE(OFFSET($H$3,0,0,'Données projet'!$E$11+1,1))</f>
        <v>352.88510024787888</v>
      </c>
      <c r="BJ78" s="62">
        <f t="shared" si="92"/>
        <v>343.77208530767069</v>
      </c>
      <c r="BK78" s="16">
        <f>IF(ISNA(VLOOKUP(A78,'Données projet'!$A$87:$I$107,3,0)),0,VLOOKUP(A78,'Données projet'!$A$87:$I$107,3,0))</f>
        <v>14</v>
      </c>
      <c r="BL78" s="16">
        <f>IF(ISNA(VLOOKUP(A78,'Données projet'!$A$87:$I$107,4,0)),0,VLOOKUP(A78,'Données projet'!$A$87:$I$107,4,0))</f>
        <v>11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3.5295731200657952</v>
      </c>
      <c r="BR78" s="23">
        <f>EXP(-LN(2)/2)*BR77+(1-EXP(-LN(2)/2))/(LN(2)/2)*BL78*BO78*VLOOKUP('Données projet'!$B$11,Paramètres!$A$1:$I$89,3,0)*0.475*44/12</f>
        <v>6.6553011699424288E-8</v>
      </c>
      <c r="BS78" s="24">
        <f t="shared" si="63"/>
        <v>3.5295731866188067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324</v>
      </c>
      <c r="BW78" s="13">
        <f>VLOOKUP(A78,'Données projet'!$A$113:$I$133,9,0)</f>
        <v>4.2</v>
      </c>
      <c r="BX78" s="13">
        <f t="array" ref="BX78">INDEX(BW:BW,MIN(IF(ISNUMBER(BW78:BW274),ROW(BW78:BW274),"")))</f>
        <v>4.2</v>
      </c>
      <c r="BY78" s="13">
        <f>IF('Données projet'!$A$114&gt;35,BY77+BX78-CG77,IF(A78&lt;'Données projet'!$A$114,$BV$205^A78,IF(A78='Données projet'!$A$114,'Données projet'!$B$114,BY77+BX78-CG77)))</f>
        <v>323.9999999999996</v>
      </c>
      <c r="BZ78" s="14">
        <f>BY78*VLOOKUP('Données projet'!$B$12,Paramètres!$A$1:$I$89,3,0)*VLOOKUP('Données projet'!$B$12,Paramètres!$A$1:$I$89,5,0)</f>
        <v>237.5567999999997</v>
      </c>
      <c r="CA78" s="14">
        <f t="shared" si="93"/>
        <v>57.913551469467258</v>
      </c>
      <c r="CB78" s="22">
        <f t="shared" si="64"/>
        <v>514.61086214265481</v>
      </c>
      <c r="CC78" s="62">
        <f t="shared" si="65"/>
        <v>807.94419547598818</v>
      </c>
      <c r="CD78" s="62">
        <f ca="1">AVERAGE(OFFSET($CC$3,0,0,'Données projet'!$E$12+1,1))-AVERAGE(OFFSET($H$3,0,0,'Données projet'!$E$12+1,1))</f>
        <v>328.10411227536315</v>
      </c>
      <c r="CE78" s="62">
        <f t="shared" si="94"/>
        <v>320.24200483294322</v>
      </c>
      <c r="CF78" s="16">
        <f>IF(ISNA(VLOOKUP(A78,'Données projet'!$A$113:$I$133,3,0)),0,VLOOKUP(A78,'Données projet'!$A$113:$I$133,3,0))</f>
        <v>14</v>
      </c>
      <c r="CG78" s="16">
        <f>IF(ISNA(VLOOKUP(A78,'Données projet'!$A$113:$I$133,4,0)),0,VLOOKUP(A78,'Données projet'!$A$113:$I$133,4,0))</f>
        <v>11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3.7237930758217805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3.7237930758217805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5.6843418860808015E-14</v>
      </c>
      <c r="CU78" s="18">
        <f>CT78*VLOOKUP('Données projet'!$B$13,Paramètres!$A$1:$I$89,3,0)*VLOOKUP('Données projet'!$B$13,Paramètres!$A$1:$I$89,5,0)</f>
        <v>4.4337866711430253E-14</v>
      </c>
      <c r="CV78" s="14">
        <f t="shared" si="95"/>
        <v>7.3222115536967035E-13</v>
      </c>
      <c r="CW78" s="22">
        <f t="shared" si="67"/>
        <v>1.3525069634579169E-12</v>
      </c>
      <c r="CX78" s="62">
        <f t="shared" si="68"/>
        <v>293.33333333333468</v>
      </c>
      <c r="CY78" s="62">
        <f ca="1">AVERAGE(OFFSET($CX$3,0,0,'Données projet'!$E$13+1,1))-AVERAGE(OFFSET($H$3,0,0,'Données projet'!$E$13+1,1))</f>
        <v>288.82868507674738</v>
      </c>
      <c r="CZ78" s="62">
        <f t="shared" si="96"/>
        <v>283.48738729114024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4.1871215799050123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4.1871215799050123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312</v>
      </c>
      <c r="DM78" s="13">
        <f>VLOOKUP(A78,'Données projet'!$A$165:$I$185,9,0)</f>
        <v>7.6</v>
      </c>
      <c r="DN78" s="13">
        <f t="array" ref="DN78">INDEX(DM:DM,MIN(IF(ISNUMBER(DM78:DM274),ROW(DM78:DM274),"")))</f>
        <v>7.6</v>
      </c>
      <c r="DO78" s="13">
        <f>IF('Données projet'!$A$166&gt;35,DO77+DN78-DW77,IF(A78&lt;'Données projet'!$A$166,$DL$205^A78,IF(A78='Données projet'!$A$166,'Données projet'!$B$166,DO77+DN78-DW77)))</f>
        <v>312.00000000000006</v>
      </c>
      <c r="DP78" s="18">
        <f>DO78*VLOOKUP('Données projet'!$B$14,Paramètres!$A$1:$I$89,3,0)*VLOOKUP('Données projet'!$B$14,Paramètres!$A$1:$I$89,5,0)</f>
        <v>316.36800000000005</v>
      </c>
      <c r="DQ78" s="14">
        <f t="shared" si="97"/>
        <v>74.597144109003438</v>
      </c>
      <c r="DR78" s="22">
        <f t="shared" si="70"/>
        <v>680.93095932318113</v>
      </c>
      <c r="DS78" s="62">
        <f t="shared" si="71"/>
        <v>974.2642926565145</v>
      </c>
      <c r="DT78" s="62">
        <f ca="1">AVERAGE(OFFSET($DS$3,0,0,'Données projet'!$E$14+1,1))-AVERAGE(OFFSET($H$3,0,0,'Données projet'!$E$14+1,1))</f>
        <v>487.04124684635974</v>
      </c>
      <c r="DU78" s="62">
        <f t="shared" si="98"/>
        <v>306.61893266146666</v>
      </c>
      <c r="DV78" s="16">
        <f>IF(ISNA(VLOOKUP(A78,'Données projet'!$A$165:$I$185,3,0)),0,VLOOKUP(A78,'Données projet'!$A$165:$I$185,3,0))</f>
        <v>12</v>
      </c>
      <c r="DW78" s="16">
        <f>IF(ISNA(VLOOKUP(A78,'Données projet'!$A$165:$I$185,4,0)),0,VLOOKUP(A78,'Données projet'!$A$165:$I$185,4,0))</f>
        <v>28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5.0222646692055184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5.0222646692055184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312</v>
      </c>
      <c r="EH78" s="13">
        <f>VLOOKUP(A78,'Données projet'!$A$191:$I$211,9,0)</f>
        <v>7.6</v>
      </c>
      <c r="EI78" s="13">
        <f t="array" ref="EI78">INDEX(EH:EH,MIN(IF(ISNUMBER(EH78:EH274),ROW(EH78:EH274),"")))</f>
        <v>7.6</v>
      </c>
      <c r="EJ78" s="13">
        <f>IF('Données projet'!$A$192&gt;35,EJ77+EI78-ER77,IF(A78&lt;'Données projet'!$A$192,$EG$205^A78,IF(A78='Données projet'!$A$192,'Données projet'!$B$192,EJ77+EI78-ER77)))</f>
        <v>312.00000000000006</v>
      </c>
      <c r="EK78" s="18">
        <f>EJ78*VLOOKUP('Données projet'!$B$15,Paramètres!$A$1:$I$89,3,0)*VLOOKUP('Données projet'!$B$15,Paramètres!$A$1:$I$89,5,0)</f>
        <v>296.89920000000006</v>
      </c>
      <c r="EL78" s="14">
        <f t="shared" si="99"/>
        <v>70.526024141264159</v>
      </c>
      <c r="EM78" s="22">
        <f t="shared" si="73"/>
        <v>639.93226537936846</v>
      </c>
      <c r="EN78" s="62">
        <f t="shared" si="74"/>
        <v>933.26559871270183</v>
      </c>
      <c r="EO78" s="62">
        <f ca="1">AVERAGE(OFFSET($EN$3,0,0,'Données projet'!$E$15+1,1))-AVERAGE(OFFSET($H$3,0,0,'Données projet'!$E$15+1,1))</f>
        <v>459.64120566196812</v>
      </c>
      <c r="EP78" s="62">
        <f t="shared" si="100"/>
        <v>290.39826583283588</v>
      </c>
      <c r="EQ78" s="16">
        <f>IF(ISNA(VLOOKUP(A78,'Données projet'!$A$191:$I$211,3,0)),0,VLOOKUP(A78,'Données projet'!$A$191:$I$211,3,0))</f>
        <v>12</v>
      </c>
      <c r="ER78" s="16">
        <f>IF(ISNA(VLOOKUP(A78,'Données projet'!$A$191:$I$211,4,0)),0,VLOOKUP(A78,'Données projet'!$A$191:$I$211,4,0))</f>
        <v>28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4.713202228023639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4.713202228023639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>
        <f>VLOOKUP(A78,'Données projet'!$A$217:$I$237,2,0)</f>
        <v>312</v>
      </c>
      <c r="FC78" s="13">
        <f>VLOOKUP(A78,'Données projet'!$A$217:$I$237,9,0)</f>
        <v>7.6</v>
      </c>
      <c r="FD78" s="13">
        <f t="array" ref="FD78">INDEX(FC:FC,MIN(IF(ISNUMBER(FC78:FC274),ROW(FC78:FC274),"")))</f>
        <v>7.6</v>
      </c>
      <c r="FE78" s="13">
        <f>IF('Données projet'!$A$218&gt;35,FE77+FD78-FM77,IF(A78&lt;'Données projet'!$A$218,$FB$205^A78,IF(A78='Données projet'!$A$218,'Données projet'!$B$218,FE77+FD78-FM77)))</f>
        <v>312.00000000000006</v>
      </c>
      <c r="FF78" s="18">
        <f>FE78*VLOOKUP('Données projet'!$B$16,Paramètres!$A$1:$I$89,3,0)*VLOOKUP('Données projet'!$B$16,Paramètres!$A$1:$I$89,5,0)</f>
        <v>209.28960000000004</v>
      </c>
      <c r="FG78" s="14">
        <f t="shared" si="101"/>
        <v>51.780314822292212</v>
      </c>
      <c r="FH78" s="22">
        <f t="shared" si="76"/>
        <v>454.69676831549236</v>
      </c>
      <c r="FI78" s="62">
        <f t="shared" si="77"/>
        <v>748.03010164882562</v>
      </c>
      <c r="FJ78" s="62">
        <f ca="1">AVERAGE(OFFSET($FI$3,0,0,'Données projet'!$E$16+1,1))-AVERAGE(OFFSET($H$3,0,0,'Données projet'!$E$16+1,1))</f>
        <v>335.83558218229564</v>
      </c>
      <c r="FK78" s="62">
        <f t="shared" si="102"/>
        <v>217.08423061559648</v>
      </c>
      <c r="FL78" s="16">
        <f>IF(ISNA(VLOOKUP(A78,'Données projet'!$A$217:$I$237,3,0)),0,VLOOKUP(A78,'Données projet'!$A$217:$I$237,3,0))</f>
        <v>12</v>
      </c>
      <c r="FM78" s="16">
        <f>IF(ISNA(VLOOKUP(A78,'Données projet'!$A$217:$I$237,4,0)),0,VLOOKUP(A78,'Données projet'!$A$217:$I$237,4,0))</f>
        <v>28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0</v>
      </c>
      <c r="FR78" s="23">
        <f>EXP(-LN(2)/25)*FR77+(1-EXP(-LN(2)/25))/(LN(2)/25)*Calculateur!FM78*Calculateur!FO78*VLOOKUP('Données projet'!$B$16,Paramètres!$A$1:$I$89,3,0)*0.475*44/12</f>
        <v>2.3959934232657898</v>
      </c>
      <c r="FS78" s="23">
        <f>EXP(-LN(2)/2)*FS77+(1-EXP(-LN(2)/2))/(LN(2)/2)*FM78*FP78*VLOOKUP('Données projet'!$B$16,Paramètres!$A$1:$I$89,3,0)*0.475*44/12</f>
        <v>1.8635310738521994E-6</v>
      </c>
      <c r="FT78" s="24">
        <f t="shared" si="78"/>
        <v>2.3959952867968637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1.9895196601282805E-13</v>
      </c>
      <c r="O79" s="14">
        <f>N79*VLOOKUP('Données projet'!$B$9,Paramètres!$A$1:$I$89,3,0)*VLOOKUP('Données projet'!$B$9,Paramètres!$A$1:$I$89,5,0)</f>
        <v>1.738044375088066E-13</v>
      </c>
      <c r="P79" s="14">
        <f t="shared" si="87"/>
        <v>2.4483293633950478E-12</v>
      </c>
      <c r="Q79" s="22">
        <f t="shared" si="54"/>
        <v>4.566883036574213E-12</v>
      </c>
      <c r="R79" s="62">
        <f t="shared" si="55"/>
        <v>293.33333333333786</v>
      </c>
      <c r="S79" s="62">
        <f ca="1">AVERAGE(OFFSET($R$3,0,0,'Données projet'!$E$9+1,1))-AVERAGE(OFFSET($H$3,0,0,'Données projet'!$E$9+1,1))</f>
        <v>321.23599968992932</v>
      </c>
      <c r="T79" s="62">
        <f t="shared" si="88"/>
        <v>388.05195847800502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7.1454850859330588</v>
      </c>
      <c r="AB79" s="23">
        <f>EXP(-LN(2)/2)*AB78+(1-EXP(-LN(2)/2))/(LN(2)/2)*V79*Y79*VLOOKUP('Données projet'!$B$9,Paramètres!$A$1:$I$89,3,0)*0.475*44/12</f>
        <v>2.1775374511068036E-6</v>
      </c>
      <c r="AC79" s="24">
        <f t="shared" si="57"/>
        <v>7.1454872634705096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7.2</v>
      </c>
      <c r="AI79" s="14">
        <f>IF('Données projet'!$A$62&gt;35,AI78+AH79-AQ78,IF(A79&lt;'Données projet'!$A$62,$AF$205^A79,IF(A79='Données projet'!$A$62,'Données projet'!$B$62,AI78+AH79-AQ78)))</f>
        <v>291.20000000000005</v>
      </c>
      <c r="AJ79" s="14">
        <f>AI79*VLOOKUP('Données projet'!$B$10,Paramètres!$A$1:$I$89,3,0)*VLOOKUP('Données projet'!$B$10,Paramètres!$A$1:$I$89,5,0)</f>
        <v>263.47776000000005</v>
      </c>
      <c r="AK79" s="14">
        <f t="shared" si="89"/>
        <v>63.46312159763346</v>
      </c>
      <c r="AL79" s="22">
        <f t="shared" si="58"/>
        <v>569.42203544921165</v>
      </c>
      <c r="AM79" s="62">
        <f t="shared" si="59"/>
        <v>862.75536878254502</v>
      </c>
      <c r="AN79" s="62">
        <f ca="1">AVERAGE(OFFSET($AM$3,0,0,'Données projet'!$E$10+1,1))-AVERAGE(OFFSET($H$3,0,0,'Données projet'!$E$10+1,1))</f>
        <v>439.19854273764042</v>
      </c>
      <c r="AO79" s="62">
        <f t="shared" si="90"/>
        <v>278.21741231699929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2.5503309757017463</v>
      </c>
      <c r="AW79" s="23">
        <f>EXP(-LN(2)/2)*AW78+(1-EXP(-LN(2)/2))/(LN(2)/2)*AQ79*AT79*VLOOKUP('Données projet'!$B$10,Paramètres!$A$1:$I$89,3,0)*0.475*44/12</f>
        <v>1.7773836427399704E-6</v>
      </c>
      <c r="AX79" s="23">
        <f t="shared" si="60"/>
        <v>2.5503327530853892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3.6</v>
      </c>
      <c r="BD79" s="13">
        <f>IF('Données projet'!$A$88&gt;35,BD78+BC79-BL78,IF(A79&lt;'Données projet'!$A$88,$BA$205^A79,IF(A79='Données projet'!$A$88,'Données projet'!$B$88,BD78+BC79-BL78)))</f>
        <v>316.59999999999962</v>
      </c>
      <c r="BE79" s="14">
        <f>BD79*VLOOKUP('Données projet'!$B$11,Paramètres!$A$1:$I$89,3,0)*VLOOKUP('Données projet'!$B$11,Paramètres!$A$1:$I$89,5,0)</f>
        <v>251.8869599999997</v>
      </c>
      <c r="BF79" s="14">
        <f t="shared" si="91"/>
        <v>60.989827933941932</v>
      </c>
      <c r="BG79" s="22">
        <f t="shared" si="61"/>
        <v>544.9270723182816</v>
      </c>
      <c r="BH79" s="62">
        <f t="shared" si="62"/>
        <v>838.26040565161497</v>
      </c>
      <c r="BI79" s="62">
        <f ca="1">AVERAGE(OFFSET($BH$3,0,0,'Données projet'!$E$11+1,1))-AVERAGE(OFFSET($H$3,0,0,'Données projet'!$E$11+1,1))</f>
        <v>352.88510024787888</v>
      </c>
      <c r="BJ79" s="62">
        <f t="shared" si="92"/>
        <v>343.77208530767069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3.4330567574854127</v>
      </c>
      <c r="BR79" s="23">
        <f>EXP(-LN(2)/2)*BR78+(1-EXP(-LN(2)/2))/(LN(2)/2)*BL79*BO79*VLOOKUP('Données projet'!$B$11,Paramètres!$A$1:$I$89,3,0)*0.475*44/12</f>
        <v>4.7060085881050548E-8</v>
      </c>
      <c r="BS79" s="24">
        <f t="shared" si="63"/>
        <v>3.4330568045454988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3.6</v>
      </c>
      <c r="BY79" s="13">
        <f>IF('Données projet'!$A$114&gt;35,BY78+BX79-CG78,IF(A79&lt;'Données projet'!$A$114,$BV$205^A79,IF(A79='Données projet'!$A$114,'Données projet'!$B$114,BY78+BX79-CG78)))</f>
        <v>316.59999999999962</v>
      </c>
      <c r="BZ79" s="14">
        <f>BY79*VLOOKUP('Données projet'!$B$12,Paramètres!$A$1:$I$89,3,0)*VLOOKUP('Données projet'!$B$12,Paramètres!$A$1:$I$89,5,0)</f>
        <v>232.13111999999973</v>
      </c>
      <c r="CA79" s="14">
        <f t="shared" si="93"/>
        <v>56.743231860697918</v>
      </c>
      <c r="CB79" s="22">
        <f t="shared" si="64"/>
        <v>503.12282949071505</v>
      </c>
      <c r="CC79" s="62">
        <f t="shared" si="65"/>
        <v>796.45616282404831</v>
      </c>
      <c r="CD79" s="62">
        <f ca="1">AVERAGE(OFFSET($CC$3,0,0,'Données projet'!$E$12+1,1))-AVERAGE(OFFSET($H$3,0,0,'Données projet'!$E$12+1,1))</f>
        <v>328.10411227536315</v>
      </c>
      <c r="CE79" s="62">
        <f t="shared" si="94"/>
        <v>320.24200483294322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3.6507717648944205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3.6507717648944205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5.6843418860808015E-14</v>
      </c>
      <c r="CU79" s="18">
        <f>CT79*VLOOKUP('Données projet'!$B$13,Paramètres!$A$1:$I$89,3,0)*VLOOKUP('Données projet'!$B$13,Paramètres!$A$1:$I$89,5,0)</f>
        <v>4.4337866711430253E-14</v>
      </c>
      <c r="CV79" s="14">
        <f t="shared" si="95"/>
        <v>7.3222115536967035E-13</v>
      </c>
      <c r="CW79" s="22">
        <f t="shared" si="67"/>
        <v>1.3525069634579169E-12</v>
      </c>
      <c r="CX79" s="62">
        <f t="shared" si="68"/>
        <v>293.33333333333468</v>
      </c>
      <c r="CY79" s="62">
        <f ca="1">AVERAGE(OFFSET($CX$3,0,0,'Données projet'!$E$13+1,1))-AVERAGE(OFFSET($H$3,0,0,'Données projet'!$E$13+1,1))</f>
        <v>288.82868507674738</v>
      </c>
      <c r="CZ79" s="62">
        <f t="shared" si="96"/>
        <v>283.48738729114024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4.1050146796150626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4.1050146796150626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7.2</v>
      </c>
      <c r="DO79" s="13">
        <f>IF('Données projet'!$A$166&gt;35,DO78+DN79-DW78,IF(A79&lt;'Données projet'!$A$166,$DL$205^A79,IF(A79='Données projet'!$A$166,'Données projet'!$B$166,DO78+DN79-DW78)))</f>
        <v>291.20000000000005</v>
      </c>
      <c r="DP79" s="18">
        <f>DO79*VLOOKUP('Données projet'!$B$14,Paramètres!$A$1:$I$89,3,0)*VLOOKUP('Données projet'!$B$14,Paramètres!$A$1:$I$89,5,0)</f>
        <v>295.27680000000004</v>
      </c>
      <c r="DQ79" s="14">
        <f t="shared" si="97"/>
        <v>70.185386686980493</v>
      </c>
      <c r="DR79" s="22">
        <f t="shared" si="70"/>
        <v>636.51330847982445</v>
      </c>
      <c r="DS79" s="62">
        <f t="shared" si="71"/>
        <v>929.8466418131577</v>
      </c>
      <c r="DT79" s="62">
        <f ca="1">AVERAGE(OFFSET($DS$3,0,0,'Données projet'!$E$14+1,1))-AVERAGE(OFFSET($H$3,0,0,'Données projet'!$E$14+1,1))</f>
        <v>487.04124684635974</v>
      </c>
      <c r="DU79" s="62">
        <f t="shared" si="98"/>
        <v>306.61893266146666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4.9237811223213725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4.9237811223213725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7.2</v>
      </c>
      <c r="EJ79" s="13">
        <f>IF('Données projet'!$A$192&gt;35,EJ78+EI79-ER78,IF(A79&lt;'Données projet'!$A$192,$EG$205^A79,IF(A79='Données projet'!$A$192,'Données projet'!$B$192,EJ78+EI79-ER78)))</f>
        <v>291.20000000000005</v>
      </c>
      <c r="EK79" s="18">
        <f>EJ79*VLOOKUP('Données projet'!$B$15,Paramètres!$A$1:$I$89,3,0)*VLOOKUP('Données projet'!$B$15,Paramètres!$A$1:$I$89,5,0)</f>
        <v>277.10592000000008</v>
      </c>
      <c r="EL79" s="14">
        <f t="shared" si="99"/>
        <v>66.355037246694323</v>
      </c>
      <c r="EM79" s="22">
        <f t="shared" si="73"/>
        <v>598.19450053799278</v>
      </c>
      <c r="EN79" s="62">
        <f t="shared" si="74"/>
        <v>891.52783387132604</v>
      </c>
      <c r="EO79" s="62">
        <f ca="1">AVERAGE(OFFSET($EN$3,0,0,'Données projet'!$E$15+1,1))-AVERAGE(OFFSET($H$3,0,0,'Données projet'!$E$15+1,1))</f>
        <v>459.64120566196812</v>
      </c>
      <c r="EP79" s="62">
        <f t="shared" si="100"/>
        <v>290.39826583283588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4.6207792071015943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4.6207792071015943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7.2</v>
      </c>
      <c r="FE79" s="13">
        <f>IF('Données projet'!$A$218&gt;35,FE78+FD79-FM78,IF(A79&lt;'Données projet'!$A$218,$FB$205^A79,IF(A79='Données projet'!$A$218,'Données projet'!$B$218,FE78+FD79-FM78)))</f>
        <v>291.20000000000005</v>
      </c>
      <c r="FF79" s="18">
        <f>FE79*VLOOKUP('Données projet'!$B$16,Paramètres!$A$1:$I$89,3,0)*VLOOKUP('Données projet'!$B$16,Paramètres!$A$1:$I$89,5,0)</f>
        <v>195.33696000000003</v>
      </c>
      <c r="FG79" s="14">
        <f t="shared" si="101"/>
        <v>48.717969863105488</v>
      </c>
      <c r="FH79" s="22">
        <f t="shared" si="76"/>
        <v>425.06233617824211</v>
      </c>
      <c r="FI79" s="62">
        <f t="shared" si="77"/>
        <v>718.39566951157542</v>
      </c>
      <c r="FJ79" s="62">
        <f ca="1">AVERAGE(OFFSET($FI$3,0,0,'Données projet'!$E$16+1,1))-AVERAGE(OFFSET($H$3,0,0,'Données projet'!$E$16+1,1))</f>
        <v>335.83558218229564</v>
      </c>
      <c r="FK79" s="62">
        <f t="shared" si="102"/>
        <v>217.08423061559648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0</v>
      </c>
      <c r="FR79" s="23">
        <f>EXP(-LN(2)/25)*FR78+(1-EXP(-LN(2)/25))/(LN(2)/25)*Calculateur!FM79*Calculateur!FO79*VLOOKUP('Données projet'!$B$16,Paramètres!$A$1:$I$89,3,0)*0.475*44/12</f>
        <v>2.3304748571067688</v>
      </c>
      <c r="FS79" s="23">
        <f>EXP(-LN(2)/2)*FS78+(1-EXP(-LN(2)/2))/(LN(2)/2)*FM79*FP79*VLOOKUP('Données projet'!$B$16,Paramètres!$A$1:$I$89,3,0)*0.475*44/12</f>
        <v>1.3177154592727393E-6</v>
      </c>
      <c r="FT79" s="24">
        <f t="shared" si="78"/>
        <v>2.3304761748222282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1.9895196601282805E-13</v>
      </c>
      <c r="O80" s="14">
        <f>N80*VLOOKUP('Données projet'!$B$9,Paramètres!$A$1:$I$89,3,0)*VLOOKUP('Données projet'!$B$9,Paramètres!$A$1:$I$89,5,0)</f>
        <v>1.738044375088066E-13</v>
      </c>
      <c r="P80" s="14">
        <f t="shared" si="87"/>
        <v>2.4483293633950478E-12</v>
      </c>
      <c r="Q80" s="22">
        <f t="shared" si="54"/>
        <v>4.566883036574213E-12</v>
      </c>
      <c r="R80" s="62">
        <f t="shared" si="55"/>
        <v>293.33333333333786</v>
      </c>
      <c r="S80" s="62">
        <f ca="1">AVERAGE(OFFSET($R$3,0,0,'Données projet'!$E$9+1,1))-AVERAGE(OFFSET($H$3,0,0,'Données projet'!$E$9+1,1))</f>
        <v>321.23599968992932</v>
      </c>
      <c r="T80" s="62">
        <f t="shared" si="88"/>
        <v>388.05195847800502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6.9500914204934894</v>
      </c>
      <c r="AB80" s="23">
        <f>EXP(-LN(2)/2)*AB79+(1-EXP(-LN(2)/2))/(LN(2)/2)*V80*Y80*VLOOKUP('Données projet'!$B$9,Paramètres!$A$1:$I$89,3,0)*0.475*44/12</f>
        <v>1.539751497965291E-6</v>
      </c>
      <c r="AC80" s="24">
        <f t="shared" si="57"/>
        <v>6.9500929602449872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7.2</v>
      </c>
      <c r="AI80" s="14">
        <f>IF('Données projet'!$A$62&gt;35,AI79+AH80-AQ79,IF(A80&lt;'Données projet'!$A$62,$AF$205^A80,IF(A80='Données projet'!$A$62,'Données projet'!$B$62,AI79+AH80-AQ79)))</f>
        <v>298.40000000000003</v>
      </c>
      <c r="AJ80" s="14">
        <f>AI80*VLOOKUP('Données projet'!$B$10,Paramètres!$A$1:$I$89,3,0)*VLOOKUP('Données projet'!$B$10,Paramètres!$A$1:$I$89,5,0)</f>
        <v>269.99232000000001</v>
      </c>
      <c r="AK80" s="14">
        <f t="shared" si="89"/>
        <v>64.847639395310296</v>
      </c>
      <c r="AL80" s="22">
        <f t="shared" si="58"/>
        <v>583.17959594683214</v>
      </c>
      <c r="AM80" s="62">
        <f t="shared" si="59"/>
        <v>876.51292928016551</v>
      </c>
      <c r="AN80" s="62">
        <f ca="1">AVERAGE(OFFSET($AM$3,0,0,'Données projet'!$E$10+1,1))-AVERAGE(OFFSET($H$3,0,0,'Données projet'!$E$10+1,1))</f>
        <v>439.19854273764042</v>
      </c>
      <c r="AO80" s="62">
        <f t="shared" si="90"/>
        <v>278.21741231699929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2.4805920410551048</v>
      </c>
      <c r="AW80" s="23">
        <f>EXP(-LN(2)/2)*AW79+(1-EXP(-LN(2)/2))/(LN(2)/2)*AQ80*AT80*VLOOKUP('Données projet'!$B$10,Paramètres!$A$1:$I$89,3,0)*0.475*44/12</f>
        <v>1.256800026551481E-6</v>
      </c>
      <c r="AX80" s="23">
        <f t="shared" si="60"/>
        <v>2.4805932978551315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3.6</v>
      </c>
      <c r="BD80" s="13">
        <f>IF('Données projet'!$A$88&gt;35,BD79+BC80-BL79,IF(A80&lt;'Données projet'!$A$88,$BA$205^A80,IF(A80='Données projet'!$A$88,'Données projet'!$B$88,BD79+BC80-BL79)))</f>
        <v>320.19999999999965</v>
      </c>
      <c r="BE80" s="14">
        <f>BD80*VLOOKUP('Données projet'!$B$11,Paramètres!$A$1:$I$89,3,0)*VLOOKUP('Données projet'!$B$11,Paramètres!$A$1:$I$89,5,0)</f>
        <v>254.75111999999973</v>
      </c>
      <c r="BF80" s="14">
        <f t="shared" si="91"/>
        <v>61.602204287046753</v>
      </c>
      <c r="BG80" s="22">
        <f t="shared" si="61"/>
        <v>550.98203979993923</v>
      </c>
      <c r="BH80" s="62">
        <f t="shared" si="62"/>
        <v>844.31537313327249</v>
      </c>
      <c r="BI80" s="62">
        <f ca="1">AVERAGE(OFFSET($BH$3,0,0,'Données projet'!$E$11+1,1))-AVERAGE(OFFSET($H$3,0,0,'Données projet'!$E$11+1,1))</f>
        <v>352.88510024787888</v>
      </c>
      <c r="BJ80" s="62">
        <f t="shared" si="92"/>
        <v>343.77208530767069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3.3391796399153657</v>
      </c>
      <c r="BR80" s="23">
        <f>EXP(-LN(2)/2)*BR79+(1-EXP(-LN(2)/2))/(LN(2)/2)*BL80*BO80*VLOOKUP('Données projet'!$B$11,Paramètres!$A$1:$I$89,3,0)*0.475*44/12</f>
        <v>3.3276505849712144E-8</v>
      </c>
      <c r="BS80" s="24">
        <f t="shared" si="63"/>
        <v>3.3391796731918717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3.6</v>
      </c>
      <c r="BY80" s="13">
        <f>IF('Données projet'!$A$114&gt;35,BY79+BX80-CG79,IF(A80&lt;'Données projet'!$A$114,$BV$205^A80,IF(A80='Données projet'!$A$114,'Données projet'!$B$114,BY79+BX80-CG79)))</f>
        <v>320.19999999999965</v>
      </c>
      <c r="BZ80" s="14">
        <f>BY80*VLOOKUP('Données projet'!$B$12,Paramètres!$A$1:$I$89,3,0)*VLOOKUP('Données projet'!$B$12,Paramètres!$A$1:$I$89,5,0)</f>
        <v>234.77063999999973</v>
      </c>
      <c r="CA80" s="14">
        <f t="shared" si="93"/>
        <v>57.312969709899072</v>
      </c>
      <c r="CB80" s="22">
        <f t="shared" si="64"/>
        <v>508.71228691140703</v>
      </c>
      <c r="CC80" s="62">
        <f t="shared" si="65"/>
        <v>802.04562024474035</v>
      </c>
      <c r="CD80" s="62">
        <f ca="1">AVERAGE(OFFSET($CC$3,0,0,'Données projet'!$E$12+1,1))-AVERAGE(OFFSET($H$3,0,0,'Données projet'!$E$12+1,1))</f>
        <v>328.10411227536315</v>
      </c>
      <c r="CE80" s="62">
        <f t="shared" si="94"/>
        <v>320.24200483294322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3.579182357335744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3.579182357335744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5.6843418860808015E-14</v>
      </c>
      <c r="CU80" s="18">
        <f>CT80*VLOOKUP('Données projet'!$B$13,Paramètres!$A$1:$I$89,3,0)*VLOOKUP('Données projet'!$B$13,Paramètres!$A$1:$I$89,5,0)</f>
        <v>4.4337866711430253E-14</v>
      </c>
      <c r="CV80" s="14">
        <f t="shared" si="95"/>
        <v>7.3222115536967035E-13</v>
      </c>
      <c r="CW80" s="22">
        <f t="shared" si="67"/>
        <v>1.3525069634579169E-12</v>
      </c>
      <c r="CX80" s="62">
        <f t="shared" si="68"/>
        <v>293.33333333333468</v>
      </c>
      <c r="CY80" s="62">
        <f ca="1">AVERAGE(OFFSET($CX$3,0,0,'Données projet'!$E$13+1,1))-AVERAGE(OFFSET($H$3,0,0,'Données projet'!$E$13+1,1))</f>
        <v>288.82868507674738</v>
      </c>
      <c r="CZ80" s="62">
        <f t="shared" si="96"/>
        <v>283.48738729114024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4.0245178455595347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4.0245178455595347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7.2</v>
      </c>
      <c r="DO80" s="13">
        <f>IF('Données projet'!$A$166&gt;35,DO79+DN80-DW79,IF(A80&lt;'Données projet'!$A$166,$DL$205^A80,IF(A80='Données projet'!$A$166,'Données projet'!$B$166,DO79+DN80-DW79)))</f>
        <v>298.40000000000003</v>
      </c>
      <c r="DP80" s="18">
        <f>DO80*VLOOKUP('Données projet'!$B$14,Paramètres!$A$1:$I$89,3,0)*VLOOKUP('Données projet'!$B$14,Paramètres!$A$1:$I$89,5,0)</f>
        <v>302.57760000000007</v>
      </c>
      <c r="DQ80" s="14">
        <f t="shared" si="97"/>
        <v>71.716558091076294</v>
      </c>
      <c r="DR80" s="22">
        <f t="shared" si="70"/>
        <v>651.89565867529132</v>
      </c>
      <c r="DS80" s="62">
        <f t="shared" si="71"/>
        <v>945.22899200862457</v>
      </c>
      <c r="DT80" s="62">
        <f ca="1">AVERAGE(OFFSET($DS$3,0,0,'Données projet'!$E$14+1,1))-AVERAGE(OFFSET($H$3,0,0,'Données projet'!$E$14+1,1))</f>
        <v>487.04124684635974</v>
      </c>
      <c r="DU80" s="62">
        <f t="shared" si="98"/>
        <v>306.61893266146666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4.8272287777225928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4.8272287777225928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7.2</v>
      </c>
      <c r="EJ80" s="13">
        <f>IF('Données projet'!$A$192&gt;35,EJ79+EI80-ER79,IF(A80&lt;'Données projet'!$A$192,$EG$205^A80,IF(A80='Données projet'!$A$192,'Données projet'!$B$192,EJ79+EI80-ER79)))</f>
        <v>298.40000000000003</v>
      </c>
      <c r="EK80" s="18">
        <f>EJ80*VLOOKUP('Données projet'!$B$15,Paramètres!$A$1:$I$89,3,0)*VLOOKUP('Données projet'!$B$15,Paramètres!$A$1:$I$89,5,0)</f>
        <v>283.95744000000008</v>
      </c>
      <c r="EL80" s="14">
        <f t="shared" si="99"/>
        <v>67.802645364933795</v>
      </c>
      <c r="EM80" s="22">
        <f t="shared" si="73"/>
        <v>612.64881534392646</v>
      </c>
      <c r="EN80" s="62">
        <f t="shared" si="74"/>
        <v>905.98214867725983</v>
      </c>
      <c r="EO80" s="62">
        <f ca="1">AVERAGE(OFFSET($EN$3,0,0,'Données projet'!$E$15+1,1))-AVERAGE(OFFSET($H$3,0,0,'Données projet'!$E$15+1,1))</f>
        <v>459.64120566196812</v>
      </c>
      <c r="EP80" s="62">
        <f t="shared" si="100"/>
        <v>290.39826583283588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4.5301685452473546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4.5301685452473546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7.2</v>
      </c>
      <c r="FE80" s="13">
        <f>IF('Données projet'!$A$218&gt;35,FE79+FD80-FM79,IF(A80&lt;'Données projet'!$A$218,$FB$205^A80,IF(A80='Données projet'!$A$218,'Données projet'!$B$218,FE79+FD80-FM79)))</f>
        <v>298.40000000000003</v>
      </c>
      <c r="FF80" s="18">
        <f>FE80*VLOOKUP('Données projet'!$B$16,Paramètres!$A$1:$I$89,3,0)*VLOOKUP('Données projet'!$B$16,Paramètres!$A$1:$I$89,5,0)</f>
        <v>200.16672000000003</v>
      </c>
      <c r="FG80" s="14">
        <f t="shared" si="101"/>
        <v>49.780805958212774</v>
      </c>
      <c r="FH80" s="22">
        <f t="shared" si="76"/>
        <v>435.32527437722064</v>
      </c>
      <c r="FI80" s="62">
        <f t="shared" si="77"/>
        <v>728.65860771055395</v>
      </c>
      <c r="FJ80" s="62">
        <f ca="1">AVERAGE(OFFSET($FI$3,0,0,'Données projet'!$E$16+1,1))-AVERAGE(OFFSET($H$3,0,0,'Données projet'!$E$16+1,1))</f>
        <v>335.83558218229564</v>
      </c>
      <c r="FK80" s="62">
        <f t="shared" si="102"/>
        <v>217.08423061559648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0</v>
      </c>
      <c r="FR80" s="23">
        <f>EXP(-LN(2)/25)*FR79+(1-EXP(-LN(2)/25))/(LN(2)/25)*Calculateur!FM80*Calculateur!FO80*VLOOKUP('Données projet'!$B$16,Paramètres!$A$1:$I$89,3,0)*0.475*44/12</f>
        <v>2.2667478995848378</v>
      </c>
      <c r="FS80" s="23">
        <f>EXP(-LN(2)/2)*FS79+(1-EXP(-LN(2)/2))/(LN(2)/2)*FM80*FP80*VLOOKUP('Données projet'!$B$16,Paramètres!$A$1:$I$89,3,0)*0.475*44/12</f>
        <v>9.3176553692609992E-7</v>
      </c>
      <c r="FT80" s="24">
        <f t="shared" si="78"/>
        <v>2.2667488313503745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1.9895196601282805E-13</v>
      </c>
      <c r="O81" s="14">
        <f>N81*VLOOKUP('Données projet'!$B$9,Paramètres!$A$1:$I$89,3,0)*VLOOKUP('Données projet'!$B$9,Paramètres!$A$1:$I$89,5,0)</f>
        <v>1.738044375088066E-13</v>
      </c>
      <c r="P81" s="14">
        <f t="shared" si="87"/>
        <v>2.4483293633950478E-12</v>
      </c>
      <c r="Q81" s="22">
        <f t="shared" si="54"/>
        <v>4.566883036574213E-12</v>
      </c>
      <c r="R81" s="62">
        <f t="shared" si="55"/>
        <v>293.33333333333786</v>
      </c>
      <c r="S81" s="62">
        <f ca="1">AVERAGE(OFFSET($R$3,0,0,'Données projet'!$E$9+1,1))-AVERAGE(OFFSET($H$3,0,0,'Données projet'!$E$9+1,1))</f>
        <v>321.23599968992932</v>
      </c>
      <c r="T81" s="62">
        <f t="shared" si="88"/>
        <v>388.05195847800502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6.7600408051106715</v>
      </c>
      <c r="AB81" s="23">
        <f>EXP(-LN(2)/2)*AB80+(1-EXP(-LN(2)/2))/(LN(2)/2)*V81*Y81*VLOOKUP('Données projet'!$B$9,Paramètres!$A$1:$I$89,3,0)*0.475*44/12</f>
        <v>1.0887687255534018E-6</v>
      </c>
      <c r="AC81" s="24">
        <f t="shared" si="57"/>
        <v>6.7600418938793974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7.2</v>
      </c>
      <c r="AI81" s="14">
        <f>IF('Données projet'!$A$62&gt;35,AI80+AH81-AQ80,IF(A81&lt;'Données projet'!$A$62,$AF$205^A81,IF(A81='Données projet'!$A$62,'Données projet'!$B$62,AI80+AH81-AQ80)))</f>
        <v>305.60000000000002</v>
      </c>
      <c r="AJ81" s="14">
        <f>AI81*VLOOKUP('Données projet'!$B$10,Paramètres!$A$1:$I$89,3,0)*VLOOKUP('Données projet'!$B$10,Paramètres!$A$1:$I$89,5,0)</f>
        <v>276.50687999999997</v>
      </c>
      <c r="AK81" s="14">
        <f t="shared" si="89"/>
        <v>66.228273722513677</v>
      </c>
      <c r="AL81" s="22">
        <f t="shared" si="58"/>
        <v>596.93039273337797</v>
      </c>
      <c r="AM81" s="62">
        <f t="shared" si="59"/>
        <v>890.26372606671134</v>
      </c>
      <c r="AN81" s="62">
        <f ca="1">AVERAGE(OFFSET($AM$3,0,0,'Données projet'!$E$10+1,1))-AVERAGE(OFFSET($H$3,0,0,'Données projet'!$E$10+1,1))</f>
        <v>439.19854273764042</v>
      </c>
      <c r="AO81" s="62">
        <f t="shared" si="90"/>
        <v>278.21741231699929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2.412760121243787</v>
      </c>
      <c r="AW81" s="23">
        <f>EXP(-LN(2)/2)*AW80+(1-EXP(-LN(2)/2))/(LN(2)/2)*AQ81*AT81*VLOOKUP('Données projet'!$B$10,Paramètres!$A$1:$I$89,3,0)*0.475*44/12</f>
        <v>8.886918213699852E-7</v>
      </c>
      <c r="AX81" s="23">
        <f t="shared" si="60"/>
        <v>2.4127610099356085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3.6</v>
      </c>
      <c r="BD81" s="13">
        <f>IF('Données projet'!$A$88&gt;35,BD80+BC81-BL80,IF(A81&lt;'Données projet'!$A$88,$BA$205^A81,IF(A81='Données projet'!$A$88,'Données projet'!$B$88,BD80+BC81-BL80)))</f>
        <v>323.79999999999967</v>
      </c>
      <c r="BE81" s="14">
        <f>BD81*VLOOKUP('Données projet'!$B$11,Paramètres!$A$1:$I$89,3,0)*VLOOKUP('Données projet'!$B$11,Paramètres!$A$1:$I$89,5,0)</f>
        <v>257.61527999999976</v>
      </c>
      <c r="BF81" s="14">
        <f t="shared" si="91"/>
        <v>62.213779740516244</v>
      </c>
      <c r="BG81" s="22">
        <f t="shared" si="61"/>
        <v>557.03561238139866</v>
      </c>
      <c r="BH81" s="62">
        <f t="shared" si="62"/>
        <v>850.36894571473204</v>
      </c>
      <c r="BI81" s="62">
        <f ca="1">AVERAGE(OFFSET($BH$3,0,0,'Données projet'!$E$11+1,1))-AVERAGE(OFFSET($H$3,0,0,'Données projet'!$E$11+1,1))</f>
        <v>352.88510024787888</v>
      </c>
      <c r="BJ81" s="62">
        <f t="shared" si="92"/>
        <v>343.77208530767069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3.2478695970620546</v>
      </c>
      <c r="BR81" s="23">
        <f>EXP(-LN(2)/2)*BR80+(1-EXP(-LN(2)/2))/(LN(2)/2)*BL81*BO81*VLOOKUP('Données projet'!$B$11,Paramètres!$A$1:$I$89,3,0)*0.475*44/12</f>
        <v>2.3530042940525274E-8</v>
      </c>
      <c r="BS81" s="24">
        <f t="shared" si="63"/>
        <v>3.2478696205920974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3.6</v>
      </c>
      <c r="BY81" s="13">
        <f>IF('Données projet'!$A$114&gt;35,BY80+BX81-CG80,IF(A81&lt;'Données projet'!$A$114,$BV$205^A81,IF(A81='Données projet'!$A$114,'Données projet'!$B$114,BY80+BX81-CG80)))</f>
        <v>323.79999999999967</v>
      </c>
      <c r="BZ81" s="14">
        <f>BY81*VLOOKUP('Données projet'!$B$12,Paramètres!$A$1:$I$89,3,0)*VLOOKUP('Données projet'!$B$12,Paramètres!$A$1:$I$89,5,0)</f>
        <v>237.41015999999976</v>
      </c>
      <c r="CA81" s="14">
        <f t="shared" si="93"/>
        <v>57.881962424456667</v>
      </c>
      <c r="CB81" s="22">
        <f t="shared" si="64"/>
        <v>514.30044655592826</v>
      </c>
      <c r="CC81" s="62">
        <f t="shared" si="65"/>
        <v>807.63377988926163</v>
      </c>
      <c r="CD81" s="62">
        <f ca="1">AVERAGE(OFFSET($CC$3,0,0,'Données projet'!$E$12+1,1))-AVERAGE(OFFSET($H$3,0,0,'Données projet'!$E$12+1,1))</f>
        <v>328.10411227536315</v>
      </c>
      <c r="CE81" s="62">
        <f t="shared" si="94"/>
        <v>320.24200483294322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3.508996774394066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3.508996774394066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5.6843418860808015E-14</v>
      </c>
      <c r="CU81" s="18">
        <f>CT81*VLOOKUP('Données projet'!$B$13,Paramètres!$A$1:$I$89,3,0)*VLOOKUP('Données projet'!$B$13,Paramètres!$A$1:$I$89,5,0)</f>
        <v>4.4337866711430253E-14</v>
      </c>
      <c r="CV81" s="14">
        <f t="shared" si="95"/>
        <v>7.3222115536967035E-13</v>
      </c>
      <c r="CW81" s="22">
        <f t="shared" si="67"/>
        <v>1.3525069634579169E-12</v>
      </c>
      <c r="CX81" s="62">
        <f t="shared" si="68"/>
        <v>293.33333333333468</v>
      </c>
      <c r="CY81" s="62">
        <f ca="1">AVERAGE(OFFSET($CX$3,0,0,'Données projet'!$E$13+1,1))-AVERAGE(OFFSET($H$3,0,0,'Données projet'!$E$13+1,1))</f>
        <v>288.82868507674738</v>
      </c>
      <c r="CZ81" s="62">
        <f t="shared" si="96"/>
        <v>283.48738729114024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3.9455995053216153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3.9455995053216153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7.2</v>
      </c>
      <c r="DO81" s="13">
        <f>IF('Données projet'!$A$166&gt;35,DO80+DN81-DW80,IF(A81&lt;'Données projet'!$A$166,$DL$205^A81,IF(A81='Données projet'!$A$166,'Données projet'!$B$166,DO80+DN81-DW80)))</f>
        <v>305.60000000000002</v>
      </c>
      <c r="DP81" s="18">
        <f>DO81*VLOOKUP('Données projet'!$B$14,Paramètres!$A$1:$I$89,3,0)*VLOOKUP('Données projet'!$B$14,Paramètres!$A$1:$I$89,5,0)</f>
        <v>309.87840000000006</v>
      </c>
      <c r="DQ81" s="14">
        <f t="shared" si="97"/>
        <v>73.243434672131556</v>
      </c>
      <c r="DR81" s="22">
        <f t="shared" si="70"/>
        <v>667.27052872062916</v>
      </c>
      <c r="DS81" s="62">
        <f t="shared" si="71"/>
        <v>960.60386205396253</v>
      </c>
      <c r="DT81" s="62">
        <f ca="1">AVERAGE(OFFSET($DS$3,0,0,'Données projet'!$E$14+1,1))-AVERAGE(OFFSET($H$3,0,0,'Données projet'!$E$14+1,1))</f>
        <v>487.04124684635974</v>
      </c>
      <c r="DU81" s="62">
        <f t="shared" si="98"/>
        <v>306.61893266146666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4.7325697657102799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4.7325697657102799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7.2</v>
      </c>
      <c r="EJ81" s="13">
        <f>IF('Données projet'!$A$192&gt;35,EJ80+EI81-ER80,IF(A81&lt;'Données projet'!$A$192,$EG$205^A81,IF(A81='Données projet'!$A$192,'Données projet'!$B$192,EJ80+EI81-ER80)))</f>
        <v>305.60000000000002</v>
      </c>
      <c r="EK81" s="18">
        <f>EJ81*VLOOKUP('Données projet'!$B$15,Paramètres!$A$1:$I$89,3,0)*VLOOKUP('Données projet'!$B$15,Paramètres!$A$1:$I$89,5,0)</f>
        <v>290.80896000000001</v>
      </c>
      <c r="EL81" s="14">
        <f t="shared" si="99"/>
        <v>69.246193048996375</v>
      </c>
      <c r="EM81" s="22">
        <f t="shared" si="73"/>
        <v>627.096058227002</v>
      </c>
      <c r="EN81" s="62">
        <f t="shared" si="74"/>
        <v>920.42939156033526</v>
      </c>
      <c r="EO81" s="62">
        <f ca="1">AVERAGE(OFFSET($EN$3,0,0,'Données projet'!$E$15+1,1))-AVERAGE(OFFSET($H$3,0,0,'Données projet'!$E$15+1,1))</f>
        <v>459.64120566196812</v>
      </c>
      <c r="EP81" s="62">
        <f t="shared" si="100"/>
        <v>290.39826583283588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4.4413347032050305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4.4413347032050305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7.2</v>
      </c>
      <c r="FE81" s="13">
        <f>IF('Données projet'!$A$218&gt;35,FE80+FD81-FM80,IF(A81&lt;'Données projet'!$A$218,$FB$205^A81,IF(A81='Données projet'!$A$218,'Données projet'!$B$218,FE80+FD81-FM80)))</f>
        <v>305.60000000000002</v>
      </c>
      <c r="FF81" s="18">
        <f>FE81*VLOOKUP('Données projet'!$B$16,Paramètres!$A$1:$I$89,3,0)*VLOOKUP('Données projet'!$B$16,Paramètres!$A$1:$I$89,5,0)</f>
        <v>204.99648000000002</v>
      </c>
      <c r="FG81" s="14">
        <f t="shared" si="101"/>
        <v>50.840660876335356</v>
      </c>
      <c r="FH81" s="22">
        <f t="shared" si="76"/>
        <v>445.58302035961742</v>
      </c>
      <c r="FI81" s="62">
        <f t="shared" si="77"/>
        <v>738.91635369295068</v>
      </c>
      <c r="FJ81" s="62">
        <f ca="1">AVERAGE(OFFSET($FI$3,0,0,'Données projet'!$E$16+1,1))-AVERAGE(OFFSET($H$3,0,0,'Données projet'!$E$16+1,1))</f>
        <v>335.83558218229564</v>
      </c>
      <c r="FK81" s="62">
        <f t="shared" si="102"/>
        <v>217.08423061559648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0</v>
      </c>
      <c r="FR81" s="23">
        <f>EXP(-LN(2)/25)*FR80+(1-EXP(-LN(2)/25))/(LN(2)/25)*Calculateur!FM81*Calculateur!FO81*VLOOKUP('Données projet'!$B$16,Paramètres!$A$1:$I$89,3,0)*0.475*44/12</f>
        <v>2.2047635590675991</v>
      </c>
      <c r="FS81" s="23">
        <f>EXP(-LN(2)/2)*FS80+(1-EXP(-LN(2)/2))/(LN(2)/2)*FM81*FP81*VLOOKUP('Données projet'!$B$16,Paramètres!$A$1:$I$89,3,0)*0.475*44/12</f>
        <v>6.5885772963636974E-7</v>
      </c>
      <c r="FT81" s="24">
        <f t="shared" si="78"/>
        <v>2.2047642179253288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1.9895196601282805E-13</v>
      </c>
      <c r="O82" s="14">
        <f>N82*VLOOKUP('Données projet'!$B$9,Paramètres!$A$1:$I$89,3,0)*VLOOKUP('Données projet'!$B$9,Paramètres!$A$1:$I$89,5,0)</f>
        <v>1.738044375088066E-13</v>
      </c>
      <c r="P82" s="14">
        <f t="shared" si="87"/>
        <v>2.4483293633950478E-12</v>
      </c>
      <c r="Q82" s="22">
        <f t="shared" si="54"/>
        <v>4.566883036574213E-12</v>
      </c>
      <c r="R82" s="62">
        <f t="shared" si="55"/>
        <v>293.33333333333786</v>
      </c>
      <c r="S82" s="62">
        <f ca="1">AVERAGE(OFFSET($R$3,0,0,'Données projet'!$E$9+1,1))-AVERAGE(OFFSET($H$3,0,0,'Données projet'!$E$9+1,1))</f>
        <v>321.23599968992932</v>
      </c>
      <c r="T82" s="62">
        <f t="shared" si="88"/>
        <v>388.05195847800502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6.5751871337998242</v>
      </c>
      <c r="AB82" s="23">
        <f>EXP(-LN(2)/2)*AB81+(1-EXP(-LN(2)/2))/(LN(2)/2)*V82*Y82*VLOOKUP('Données projet'!$B$9,Paramètres!$A$1:$I$89,3,0)*0.475*44/12</f>
        <v>7.6987574898264551E-7</v>
      </c>
      <c r="AC82" s="24">
        <f t="shared" si="57"/>
        <v>6.5751879036755732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7.2</v>
      </c>
      <c r="AI82" s="14">
        <f>IF('Données projet'!$A$62&gt;35,AI81+AH82-AQ81,IF(A82&lt;'Données projet'!$A$62,$AF$205^A82,IF(A82='Données projet'!$A$62,'Données projet'!$B$62,AI81+AH82-AQ81)))</f>
        <v>312.8</v>
      </c>
      <c r="AJ82" s="14">
        <f>AI82*VLOOKUP('Données projet'!$B$10,Paramètres!$A$1:$I$89,3,0)*VLOOKUP('Données projet'!$B$10,Paramètres!$A$1:$I$89,5,0)</f>
        <v>283.02144000000004</v>
      </c>
      <c r="AK82" s="14">
        <f t="shared" si="89"/>
        <v>67.605126603830598</v>
      </c>
      <c r="AL82" s="22">
        <f t="shared" si="58"/>
        <v>610.67460350167164</v>
      </c>
      <c r="AM82" s="62">
        <f t="shared" si="59"/>
        <v>904.00793683500501</v>
      </c>
      <c r="AN82" s="62">
        <f ca="1">AVERAGE(OFFSET($AM$3,0,0,'Données projet'!$E$10+1,1))-AVERAGE(OFFSET($H$3,0,0,'Données projet'!$E$10+1,1))</f>
        <v>439.19854273764042</v>
      </c>
      <c r="AO82" s="62">
        <f t="shared" si="90"/>
        <v>278.21741231699929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2.3467830688468352</v>
      </c>
      <c r="AW82" s="23">
        <f>EXP(-LN(2)/2)*AW81+(1-EXP(-LN(2)/2))/(LN(2)/2)*AQ82*AT82*VLOOKUP('Données projet'!$B$10,Paramètres!$A$1:$I$89,3,0)*0.475*44/12</f>
        <v>6.2840001327574049E-7</v>
      </c>
      <c r="AX82" s="23">
        <f t="shared" si="60"/>
        <v>2.3467836972468485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3.6</v>
      </c>
      <c r="BD82" s="13">
        <f>IF('Données projet'!$A$88&gt;35,BD81+BC82-BL81,IF(A82&lt;'Données projet'!$A$88,$BA$205^A82,IF(A82='Données projet'!$A$88,'Données projet'!$B$88,BD81+BC82-BL81)))</f>
        <v>327.39999999999969</v>
      </c>
      <c r="BE82" s="14">
        <f>BD82*VLOOKUP('Données projet'!$B$11,Paramètres!$A$1:$I$89,3,0)*VLOOKUP('Données projet'!$B$11,Paramètres!$A$1:$I$89,5,0)</f>
        <v>260.47943999999978</v>
      </c>
      <c r="BF82" s="14">
        <f t="shared" si="91"/>
        <v>62.82456422918365</v>
      </c>
      <c r="BG82" s="22">
        <f t="shared" si="61"/>
        <v>563.08780736582776</v>
      </c>
      <c r="BH82" s="62">
        <f t="shared" si="62"/>
        <v>856.42114069916101</v>
      </c>
      <c r="BI82" s="62">
        <f ca="1">AVERAGE(OFFSET($BH$3,0,0,'Données projet'!$E$11+1,1))-AVERAGE(OFFSET($H$3,0,0,'Données projet'!$E$11+1,1))</f>
        <v>352.88510024787888</v>
      </c>
      <c r="BJ82" s="62">
        <f t="shared" si="92"/>
        <v>343.77208530767069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3.1590564321323535</v>
      </c>
      <c r="BR82" s="23">
        <f>EXP(-LN(2)/2)*BR81+(1-EXP(-LN(2)/2))/(LN(2)/2)*BL82*BO82*VLOOKUP('Données projet'!$B$11,Paramètres!$A$1:$I$89,3,0)*0.475*44/12</f>
        <v>1.6638252924856072E-8</v>
      </c>
      <c r="BS82" s="24">
        <f t="shared" si="63"/>
        <v>3.1590564487706065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3.6</v>
      </c>
      <c r="BY82" s="13">
        <f>IF('Données projet'!$A$114&gt;35,BY81+BX82-CG81,IF(A82&lt;'Données projet'!$A$114,$BV$205^A82,IF(A82='Données projet'!$A$114,'Données projet'!$B$114,BY81+BX82-CG81)))</f>
        <v>327.39999999999969</v>
      </c>
      <c r="BZ82" s="14">
        <f>BY82*VLOOKUP('Données projet'!$B$12,Paramètres!$A$1:$I$89,3,0)*VLOOKUP('Données projet'!$B$12,Paramètres!$A$1:$I$89,5,0)</f>
        <v>240.04967999999977</v>
      </c>
      <c r="CA82" s="14">
        <f t="shared" si="93"/>
        <v>58.45021924746176</v>
      </c>
      <c r="CB82" s="22">
        <f t="shared" si="64"/>
        <v>519.8873245226622</v>
      </c>
      <c r="CC82" s="62">
        <f t="shared" si="65"/>
        <v>813.22065785599557</v>
      </c>
      <c r="CD82" s="62">
        <f ca="1">AVERAGE(OFFSET($CC$3,0,0,'Données projet'!$E$12+1,1))-AVERAGE(OFFSET($H$3,0,0,'Données projet'!$E$12+1,1))</f>
        <v>328.10411227536315</v>
      </c>
      <c r="CE82" s="62">
        <f t="shared" si="94"/>
        <v>320.24200483294322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3.4401874879248959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3.4401874879248959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5.6843418860808015E-14</v>
      </c>
      <c r="CU82" s="18">
        <f>CT82*VLOOKUP('Données projet'!$B$13,Paramètres!$A$1:$I$89,3,0)*VLOOKUP('Données projet'!$B$13,Paramètres!$A$1:$I$89,5,0)</f>
        <v>4.4337866711430253E-14</v>
      </c>
      <c r="CV82" s="14">
        <f t="shared" si="95"/>
        <v>7.3222115536967035E-13</v>
      </c>
      <c r="CW82" s="22">
        <f t="shared" si="67"/>
        <v>1.3525069634579169E-12</v>
      </c>
      <c r="CX82" s="62">
        <f t="shared" si="68"/>
        <v>293.33333333333468</v>
      </c>
      <c r="CY82" s="62">
        <f ca="1">AVERAGE(OFFSET($CX$3,0,0,'Données projet'!$E$13+1,1))-AVERAGE(OFFSET($H$3,0,0,'Données projet'!$E$13+1,1))</f>
        <v>288.82868507674738</v>
      </c>
      <c r="CZ82" s="62">
        <f t="shared" si="96"/>
        <v>283.48738729114024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3.8682287056003268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3.8682287056003268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7.2</v>
      </c>
      <c r="DO82" s="13">
        <f>IF('Données projet'!$A$166&gt;35,DO81+DN82-DW81,IF(A82&lt;'Données projet'!$A$166,$DL$205^A82,IF(A82='Données projet'!$A$166,'Données projet'!$B$166,DO81+DN82-DW81)))</f>
        <v>312.8</v>
      </c>
      <c r="DP82" s="18">
        <f>DO82*VLOOKUP('Données projet'!$B$14,Paramètres!$A$1:$I$89,3,0)*VLOOKUP('Données projet'!$B$14,Paramètres!$A$1:$I$89,5,0)</f>
        <v>317.17920000000004</v>
      </c>
      <c r="DQ82" s="14">
        <f t="shared" si="97"/>
        <v>74.766129261581426</v>
      </c>
      <c r="DR82" s="22">
        <f t="shared" si="70"/>
        <v>682.63811513058772</v>
      </c>
      <c r="DS82" s="62">
        <f t="shared" si="71"/>
        <v>975.97144846392098</v>
      </c>
      <c r="DT82" s="62">
        <f ca="1">AVERAGE(OFFSET($DS$3,0,0,'Données projet'!$E$14+1,1))-AVERAGE(OFFSET($H$3,0,0,'Données projet'!$E$14+1,1))</f>
        <v>487.04124684635974</v>
      </c>
      <c r="DU82" s="62">
        <f t="shared" si="98"/>
        <v>306.61893266146666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4.6397669591872317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4.6397669591872317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7.2</v>
      </c>
      <c r="EJ82" s="13">
        <f>IF('Données projet'!$A$192&gt;35,EJ81+EI82-ER81,IF(A82&lt;'Données projet'!$A$192,$EG$205^A82,IF(A82='Données projet'!$A$192,'Données projet'!$B$192,EJ81+EI82-ER81)))</f>
        <v>312.8</v>
      </c>
      <c r="EK82" s="18">
        <f>EJ82*VLOOKUP('Données projet'!$B$15,Paramètres!$A$1:$I$89,3,0)*VLOOKUP('Données projet'!$B$15,Paramètres!$A$1:$I$89,5,0)</f>
        <v>297.66048000000001</v>
      </c>
      <c r="EL82" s="14">
        <f t="shared" si="99"/>
        <v>70.685786972570611</v>
      </c>
      <c r="EM82" s="22">
        <f t="shared" si="73"/>
        <v>641.53641497722708</v>
      </c>
      <c r="EN82" s="62">
        <f t="shared" si="74"/>
        <v>934.86974831056045</v>
      </c>
      <c r="EO82" s="62">
        <f ca="1">AVERAGE(OFFSET($EN$3,0,0,'Données projet'!$E$15+1,1))-AVERAGE(OFFSET($H$3,0,0,'Données projet'!$E$15+1,1))</f>
        <v>459.64120566196812</v>
      </c>
      <c r="EP82" s="62">
        <f t="shared" si="100"/>
        <v>290.39826583283588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4.3542428386218628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4.3542428386218628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7.2</v>
      </c>
      <c r="FE82" s="13">
        <f>IF('Données projet'!$A$218&gt;35,FE81+FD82-FM81,IF(A82&lt;'Données projet'!$A$218,$FB$205^A82,IF(A82='Données projet'!$A$218,'Données projet'!$B$218,FE81+FD82-FM81)))</f>
        <v>312.8</v>
      </c>
      <c r="FF82" s="18">
        <f>FE82*VLOOKUP('Données projet'!$B$16,Paramètres!$A$1:$I$89,3,0)*VLOOKUP('Données projet'!$B$16,Paramètres!$A$1:$I$89,5,0)</f>
        <v>209.82623999999998</v>
      </c>
      <c r="FG82" s="14">
        <f t="shared" si="101"/>
        <v>51.897612937458547</v>
      </c>
      <c r="FH82" s="22">
        <f t="shared" si="76"/>
        <v>455.83571053274028</v>
      </c>
      <c r="FI82" s="62">
        <f t="shared" si="77"/>
        <v>749.16904386607359</v>
      </c>
      <c r="FJ82" s="62">
        <f ca="1">AVERAGE(OFFSET($FI$3,0,0,'Données projet'!$E$16+1,1))-AVERAGE(OFFSET($H$3,0,0,'Données projet'!$E$16+1,1))</f>
        <v>335.83558218229564</v>
      </c>
      <c r="FK82" s="62">
        <f t="shared" si="102"/>
        <v>217.08423061559648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0</v>
      </c>
      <c r="FR82" s="23">
        <f>EXP(-LN(2)/25)*FR81+(1-EXP(-LN(2)/25))/(LN(2)/25)*Calculateur!FM82*Calculateur!FO82*VLOOKUP('Données projet'!$B$16,Paramètres!$A$1:$I$89,3,0)*0.475*44/12</f>
        <v>2.1444741836014192</v>
      </c>
      <c r="FS82" s="23">
        <f>EXP(-LN(2)/2)*FS81+(1-EXP(-LN(2)/2))/(LN(2)/2)*FM82*FP82*VLOOKUP('Données projet'!$B$16,Paramètres!$A$1:$I$89,3,0)*0.475*44/12</f>
        <v>4.6588276846305001E-7</v>
      </c>
      <c r="FT82" s="24">
        <f t="shared" si="78"/>
        <v>2.1444746494841875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1.9895196601282805E-13</v>
      </c>
      <c r="O83" s="14">
        <f>N83*VLOOKUP('Données projet'!$B$9,Paramètres!$A$1:$I$89,3,0)*VLOOKUP('Données projet'!$B$9,Paramètres!$A$1:$I$89,5,0)</f>
        <v>1.738044375088066E-13</v>
      </c>
      <c r="P83" s="14">
        <f t="shared" si="87"/>
        <v>2.4483293633950478E-12</v>
      </c>
      <c r="Q83" s="22">
        <f t="shared" si="54"/>
        <v>4.566883036574213E-12</v>
      </c>
      <c r="R83" s="62">
        <f t="shared" si="55"/>
        <v>293.33333333333786</v>
      </c>
      <c r="S83" s="62">
        <f ca="1">AVERAGE(OFFSET($R$3,0,0,'Données projet'!$E$9+1,1))-AVERAGE(OFFSET($H$3,0,0,'Données projet'!$E$9+1,1))</f>
        <v>321.23599968992932</v>
      </c>
      <c r="T83" s="62">
        <f t="shared" si="88"/>
        <v>388.05195847800502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6.3953882958520047</v>
      </c>
      <c r="AB83" s="23">
        <f>EXP(-LN(2)/2)*AB82+(1-EXP(-LN(2)/2))/(LN(2)/2)*V83*Y83*VLOOKUP('Données projet'!$B$9,Paramètres!$A$1:$I$89,3,0)*0.475*44/12</f>
        <v>5.4438436277670089E-7</v>
      </c>
      <c r="AC83" s="24">
        <f t="shared" si="57"/>
        <v>6.3953888402363672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320</v>
      </c>
      <c r="AG83" s="13">
        <f>VLOOKUP(A83,'Données projet'!$A$61:$I$81,9,0)</f>
        <v>7.2</v>
      </c>
      <c r="AH83" s="13">
        <f t="array" ref="AH83">INDEX(AG:AG,MIN(IF(ISNUMBER(AG83:AG279),ROW(AG83:AG279),"")))</f>
        <v>7.2</v>
      </c>
      <c r="AI83" s="14">
        <f>IF('Données projet'!$A$62&gt;35,AI82+AH83-AQ82,IF(A83&lt;'Données projet'!$A$62,$AF$205^A83,IF(A83='Données projet'!$A$62,'Données projet'!$B$62,AI82+AH83-AQ82)))</f>
        <v>320</v>
      </c>
      <c r="AJ83" s="14">
        <f>AI83*VLOOKUP('Données projet'!$B$10,Paramètres!$A$1:$I$89,3,0)*VLOOKUP('Données projet'!$B$10,Paramètres!$A$1:$I$89,5,0)</f>
        <v>289.536</v>
      </c>
      <c r="AK83" s="14">
        <f t="shared" si="89"/>
        <v>68.97829509904436</v>
      </c>
      <c r="AL83" s="22">
        <f t="shared" si="58"/>
        <v>624.41239729750225</v>
      </c>
      <c r="AM83" s="62">
        <f t="shared" si="59"/>
        <v>917.74573063083562</v>
      </c>
      <c r="AN83" s="62">
        <f ca="1">AVERAGE(OFFSET($AM$3,0,0,'Données projet'!$E$10+1,1))-AVERAGE(OFFSET($H$3,0,0,'Données projet'!$E$10+1,1))</f>
        <v>439.19854273764042</v>
      </c>
      <c r="AO83" s="62">
        <f t="shared" si="90"/>
        <v>278.21741231699929</v>
      </c>
      <c r="AP83" s="16">
        <f>IF(ISNA(VLOOKUP(A83,'Données projet'!$A$61:$I$81,3,0)),0,VLOOKUP(A83,'Données projet'!$A$61:$I$81,3,0))</f>
        <v>13</v>
      </c>
      <c r="AQ83" s="16">
        <f>IF(ISNA(VLOOKUP(A83,'Données projet'!$A$61:$I$81,4,0)),0,VLOOKUP(A83,'Données projet'!$A$61:$I$81,4,0))</f>
        <v>28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2.2826101624172606</v>
      </c>
      <c r="AW83" s="23">
        <f>EXP(-LN(2)/2)*AW82+(1-EXP(-LN(2)/2))/(LN(2)/2)*AQ83*AT83*VLOOKUP('Données projet'!$B$10,Paramètres!$A$1:$I$89,3,0)*0.475*44/12</f>
        <v>4.443459106849926E-7</v>
      </c>
      <c r="AX83" s="23">
        <f t="shared" si="60"/>
        <v>2.2826106067631713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331</v>
      </c>
      <c r="BB83" s="13">
        <f>VLOOKUP(A83,'Données projet'!$A$87:$I$107,9,0)</f>
        <v>3.6</v>
      </c>
      <c r="BC83" s="13">
        <f t="array" ref="BC83">INDEX(BB:BB,MIN(IF(ISNUMBER(BB83:BB279),ROW(BB83:BB279),"")))</f>
        <v>3.6</v>
      </c>
      <c r="BD83" s="13">
        <f>IF('Données projet'!$A$88&gt;35,BD82+BC83-BL82,IF(A83&lt;'Données projet'!$A$88,$BA$205^A83,IF(A83='Données projet'!$A$88,'Données projet'!$B$88,BD82+BC83-BL82)))</f>
        <v>330.99999999999972</v>
      </c>
      <c r="BE83" s="14">
        <f>BD83*VLOOKUP('Données projet'!$B$11,Paramètres!$A$1:$I$89,3,0)*VLOOKUP('Données projet'!$B$11,Paramètres!$A$1:$I$89,5,0)</f>
        <v>263.34359999999981</v>
      </c>
      <c r="BF83" s="14">
        <f t="shared" si="91"/>
        <v>63.434567456819053</v>
      </c>
      <c r="BG83" s="22">
        <f t="shared" si="61"/>
        <v>569.13864165395955</v>
      </c>
      <c r="BH83" s="62">
        <f t="shared" si="62"/>
        <v>862.47197498729292</v>
      </c>
      <c r="BI83" s="62">
        <f ca="1">AVERAGE(OFFSET($BH$3,0,0,'Données projet'!$E$11+1,1))-AVERAGE(OFFSET($H$3,0,0,'Données projet'!$E$11+1,1))</f>
        <v>352.88510024787888</v>
      </c>
      <c r="BJ83" s="62">
        <f t="shared" si="92"/>
        <v>343.77208530767069</v>
      </c>
      <c r="BK83" s="16">
        <f>IF(ISNA(VLOOKUP(A83,'Données projet'!$A$87:$I$107,3,0)),0,VLOOKUP(A83,'Données projet'!$A$87:$I$107,3,0))</f>
        <v>15</v>
      </c>
      <c r="BL83" s="23">
        <f>IF(ISNA(VLOOKUP(A83,'Données projet'!$A$87:$I$107,4,0)),0,VLOOKUP(A83,'Données projet'!$A$87:$I$107,4,0))</f>
        <v>331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3.0726718678681366</v>
      </c>
      <c r="BR83" s="23">
        <f>EXP(-LN(2)/2)*BR82+(1-EXP(-LN(2)/2))/(LN(2)/2)*BL83*BO83*VLOOKUP('Données projet'!$B$11,Paramètres!$A$1:$I$89,3,0)*0.475*44/12</f>
        <v>1.1765021470262637E-8</v>
      </c>
      <c r="BS83" s="24">
        <f t="shared" si="63"/>
        <v>3.072671879633158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331</v>
      </c>
      <c r="BW83" s="13">
        <f>VLOOKUP(A83,'Données projet'!$A$113:$I$133,9,0)</f>
        <v>3.6</v>
      </c>
      <c r="BX83" s="13">
        <f t="array" ref="BX83">INDEX(BW:BW,MIN(IF(ISNUMBER(BW83:BW279),ROW(BW83:BW279),"")))</f>
        <v>3.6</v>
      </c>
      <c r="BY83" s="13">
        <f>IF('Données projet'!$A$114&gt;35,BY82+BX83-CG82,IF(A83&lt;'Données projet'!$A$114,$BV$205^A83,IF(A83='Données projet'!$A$114,'Données projet'!$B$114,BY82+BX83-CG82)))</f>
        <v>330.99999999999972</v>
      </c>
      <c r="BZ83" s="14">
        <f>BY83*VLOOKUP('Données projet'!$B$12,Paramètres!$A$1:$I$89,3,0)*VLOOKUP('Données projet'!$B$12,Paramètres!$A$1:$I$89,5,0)</f>
        <v>242.68919999999977</v>
      </c>
      <c r="CA83" s="14">
        <f t="shared" si="93"/>
        <v>59.017749207031081</v>
      </c>
      <c r="CB83" s="22">
        <f t="shared" si="64"/>
        <v>525.4729365355787</v>
      </c>
      <c r="CC83" s="62">
        <f t="shared" si="65"/>
        <v>818.80626986891207</v>
      </c>
      <c r="CD83" s="62">
        <f ca="1">AVERAGE(OFFSET($CC$3,0,0,'Données projet'!$E$12+1,1))-AVERAGE(OFFSET($H$3,0,0,'Données projet'!$E$12+1,1))</f>
        <v>328.10411227536315</v>
      </c>
      <c r="CE83" s="62">
        <f t="shared" si="94"/>
        <v>320.24200483294322</v>
      </c>
      <c r="CF83" s="16">
        <f>IF(ISNA(VLOOKUP(A83,'Données projet'!$A$113:$I$133,3,0)),0,VLOOKUP(A83,'Données projet'!$A$113:$I$133,3,0))</f>
        <v>15</v>
      </c>
      <c r="CG83" s="16">
        <f>IF(ISNA(VLOOKUP(A83,'Données projet'!$A$113:$I$133,4,0)),0,VLOOKUP(A83,'Données projet'!$A$113:$I$133,4,0))</f>
        <v>331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3.3727275095938656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3.3727275095938656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5.6843418860808015E-14</v>
      </c>
      <c r="CU83" s="18">
        <f>CT83*VLOOKUP('Données projet'!$B$13,Paramètres!$A$1:$I$89,3,0)*VLOOKUP('Données projet'!$B$13,Paramètres!$A$1:$I$89,5,0)</f>
        <v>4.4337866711430253E-14</v>
      </c>
      <c r="CV83" s="14">
        <f t="shared" si="95"/>
        <v>7.3222115536967035E-13</v>
      </c>
      <c r="CW83" s="22">
        <f t="shared" si="67"/>
        <v>1.3525069634579169E-12</v>
      </c>
      <c r="CX83" s="62">
        <f t="shared" si="68"/>
        <v>293.33333333333468</v>
      </c>
      <c r="CY83" s="62">
        <f ca="1">AVERAGE(OFFSET($CX$3,0,0,'Données projet'!$E$13+1,1))-AVERAGE(OFFSET($H$3,0,0,'Données projet'!$E$13+1,1))</f>
        <v>288.82868507674738</v>
      </c>
      <c r="CZ83" s="62">
        <f t="shared" si="96"/>
        <v>283.48738729114024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3.792375100070045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3.792375100070045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320</v>
      </c>
      <c r="DM83" s="13">
        <f>VLOOKUP(A83,'Données projet'!$A$165:$I$185,9,0)</f>
        <v>7.2</v>
      </c>
      <c r="DN83" s="13">
        <f t="array" ref="DN83">INDEX(DM:DM,MIN(IF(ISNUMBER(DM83:DM279),ROW(DM83:DM279),"")))</f>
        <v>7.2</v>
      </c>
      <c r="DO83" s="13">
        <f>IF('Données projet'!$A$166&gt;35,DO82+DN83-DW82,IF(A83&lt;'Données projet'!$A$166,$DL$205^A83,IF(A83='Données projet'!$A$166,'Données projet'!$B$166,DO82+DN83-DW82)))</f>
        <v>320</v>
      </c>
      <c r="DP83" s="18">
        <f>DO83*VLOOKUP('Données projet'!$B$14,Paramètres!$A$1:$I$89,3,0)*VLOOKUP('Données projet'!$B$14,Paramètres!$A$1:$I$89,5,0)</f>
        <v>324.48</v>
      </c>
      <c r="DQ83" s="14">
        <f t="shared" si="97"/>
        <v>76.284749200165578</v>
      </c>
      <c r="DR83" s="22">
        <f t="shared" si="70"/>
        <v>697.99860485695501</v>
      </c>
      <c r="DS83" s="62">
        <f t="shared" si="71"/>
        <v>991.33193819028838</v>
      </c>
      <c r="DT83" s="62">
        <f ca="1">AVERAGE(OFFSET($DS$3,0,0,'Données projet'!$E$14+1,1))-AVERAGE(OFFSET($H$3,0,0,'Données projet'!$E$14+1,1))</f>
        <v>487.04124684635974</v>
      </c>
      <c r="DU83" s="62">
        <f t="shared" si="98"/>
        <v>306.61893266146666</v>
      </c>
      <c r="DV83" s="16">
        <f>IF(ISNA(VLOOKUP(A83,'Données projet'!$A$165:$I$185,3,0)),0,VLOOKUP(A83,'Données projet'!$A$165:$I$185,3,0))</f>
        <v>13</v>
      </c>
      <c r="DW83" s="16">
        <f>IF(ISNA(VLOOKUP(A83,'Données projet'!$A$165:$I$185,4,0)),0,VLOOKUP(A83,'Données projet'!$A$165:$I$185,4,0))</f>
        <v>28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4.548783959095978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4.548783959095978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320</v>
      </c>
      <c r="EH83" s="13">
        <f>VLOOKUP(A83,'Données projet'!$A$191:$I$211,9,0)</f>
        <v>7.2</v>
      </c>
      <c r="EI83" s="13">
        <f t="array" ref="EI83">INDEX(EH:EH,MIN(IF(ISNUMBER(EH83:EH279),ROW(EH83:EH279),"")))</f>
        <v>7.2</v>
      </c>
      <c r="EJ83" s="13">
        <f>IF('Données projet'!$A$192&gt;35,EJ82+EI83-ER82,IF(A83&lt;'Données projet'!$A$192,$EG$205^A83,IF(A83='Données projet'!$A$192,'Données projet'!$B$192,EJ82+EI83-ER82)))</f>
        <v>320</v>
      </c>
      <c r="EK83" s="18">
        <f>EJ83*VLOOKUP('Données projet'!$B$15,Paramètres!$A$1:$I$89,3,0)*VLOOKUP('Données projet'!$B$15,Paramètres!$A$1:$I$89,5,0)</f>
        <v>304.512</v>
      </c>
      <c r="EL83" s="14">
        <f t="shared" si="99"/>
        <v>72.121528618302861</v>
      </c>
      <c r="EM83" s="22">
        <f t="shared" si="73"/>
        <v>655.97006234354421</v>
      </c>
      <c r="EN83" s="62">
        <f t="shared" si="74"/>
        <v>949.30339567687747</v>
      </c>
      <c r="EO83" s="62">
        <f ca="1">AVERAGE(OFFSET($EN$3,0,0,'Données projet'!$E$15+1,1))-AVERAGE(OFFSET($H$3,0,0,'Données projet'!$E$15+1,1))</f>
        <v>459.64120566196812</v>
      </c>
      <c r="EP83" s="62">
        <f t="shared" si="100"/>
        <v>290.39826583283588</v>
      </c>
      <c r="EQ83" s="16">
        <f>IF(ISNA(VLOOKUP(A83,'Données projet'!$A$191:$I$211,3,0)),0,VLOOKUP(A83,'Données projet'!$A$191:$I$211,3,0))</f>
        <v>13</v>
      </c>
      <c r="ER83" s="16">
        <f>IF(ISNA(VLOOKUP(A83,'Données projet'!$A$191:$I$211,4,0)),0,VLOOKUP(A83,'Données projet'!$A$191:$I$211,4,0))</f>
        <v>28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4.2688587923823782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4.2688587923823782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>
        <f>VLOOKUP(A83,'Données projet'!$A$217:$I$237,2,0)</f>
        <v>320</v>
      </c>
      <c r="FC83" s="13">
        <f>VLOOKUP(A83,'Données projet'!$A$217:$I$237,9,0)</f>
        <v>7.2</v>
      </c>
      <c r="FD83" s="13">
        <f t="array" ref="FD83">INDEX(FC:FC,MIN(IF(ISNUMBER(FC83:FC279),ROW(FC83:FC279),"")))</f>
        <v>7.2</v>
      </c>
      <c r="FE83" s="13">
        <f>IF('Données projet'!$A$218&gt;35,FE82+FD83-FM82,IF(A83&lt;'Données projet'!$A$218,$FB$205^A83,IF(A83='Données projet'!$A$218,'Données projet'!$B$218,FE82+FD83-FM82)))</f>
        <v>320</v>
      </c>
      <c r="FF83" s="18">
        <f>FE83*VLOOKUP('Données projet'!$B$16,Paramètres!$A$1:$I$89,3,0)*VLOOKUP('Données projet'!$B$16,Paramètres!$A$1:$I$89,5,0)</f>
        <v>214.65600000000001</v>
      </c>
      <c r="FG83" s="14">
        <f t="shared" si="101"/>
        <v>52.951736650296596</v>
      </c>
      <c r="FH83" s="22">
        <f t="shared" si="76"/>
        <v>466.08347466593324</v>
      </c>
      <c r="FI83" s="62">
        <f t="shared" si="77"/>
        <v>759.41680799926655</v>
      </c>
      <c r="FJ83" s="62">
        <f ca="1">AVERAGE(OFFSET($FI$3,0,0,'Données projet'!$E$16+1,1))-AVERAGE(OFFSET($H$3,0,0,'Données projet'!$E$16+1,1))</f>
        <v>335.83558218229564</v>
      </c>
      <c r="FK83" s="62">
        <f t="shared" si="102"/>
        <v>217.08423061559648</v>
      </c>
      <c r="FL83" s="16">
        <f>IF(ISNA(VLOOKUP(A83,'Données projet'!$A$217:$I$237,3,0)),0,VLOOKUP(A83,'Données projet'!$A$217:$I$237,3,0))</f>
        <v>13</v>
      </c>
      <c r="FM83" s="16">
        <f>IF(ISNA(VLOOKUP(A83,'Données projet'!$A$217:$I$237,4,0)),0,VLOOKUP(A83,'Données projet'!$A$217:$I$237,4,0))</f>
        <v>28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0</v>
      </c>
      <c r="FR83" s="23">
        <f>EXP(-LN(2)/25)*FR82+(1-EXP(-LN(2)/25))/(LN(2)/25)*Calculateur!FM83*Calculateur!FO83*VLOOKUP('Données projet'!$B$16,Paramètres!$A$1:$I$89,3,0)*0.475*44/12</f>
        <v>2.0858334242778422</v>
      </c>
      <c r="FS83" s="23">
        <f>EXP(-LN(2)/2)*FS82+(1-EXP(-LN(2)/2))/(LN(2)/2)*FM83*FP83*VLOOKUP('Données projet'!$B$16,Paramètres!$A$1:$I$89,3,0)*0.475*44/12</f>
        <v>3.2942886481818493E-7</v>
      </c>
      <c r="FT83" s="24">
        <f t="shared" si="78"/>
        <v>2.0858337537067069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1.9895196601282805E-13</v>
      </c>
      <c r="O84" s="14">
        <f>N84*VLOOKUP('Données projet'!$B$9,Paramètres!$A$1:$I$89,3,0)*VLOOKUP('Données projet'!$B$9,Paramètres!$A$1:$I$89,5,0)</f>
        <v>1.738044375088066E-13</v>
      </c>
      <c r="P84" s="14">
        <f t="shared" si="87"/>
        <v>2.4483293633950478E-12</v>
      </c>
      <c r="Q84" s="22">
        <f t="shared" si="54"/>
        <v>4.566883036574213E-12</v>
      </c>
      <c r="R84" s="62">
        <f t="shared" si="55"/>
        <v>293.33333333333786</v>
      </c>
      <c r="S84" s="62">
        <f ca="1">AVERAGE(OFFSET($R$3,0,0,'Données projet'!$E$9+1,1))-AVERAGE(OFFSET($H$3,0,0,'Données projet'!$E$9+1,1))</f>
        <v>321.23599968992932</v>
      </c>
      <c r="T84" s="62">
        <f t="shared" si="88"/>
        <v>388.05195847800502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6.220506066583078</v>
      </c>
      <c r="AB84" s="23">
        <f>EXP(-LN(2)/2)*AB83+(1-EXP(-LN(2)/2))/(LN(2)/2)*V84*Y84*VLOOKUP('Données projet'!$B$9,Paramètres!$A$1:$I$89,3,0)*0.475*44/12</f>
        <v>3.8493787449132275E-7</v>
      </c>
      <c r="AC84" s="24">
        <f t="shared" si="57"/>
        <v>6.2205064515209525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6.8</v>
      </c>
      <c r="AI84" s="14">
        <f>IF('Données projet'!$A$62&gt;35,AI83+AH84-AQ83,IF(A84&lt;'Données projet'!$A$62,$AF$205^A84,IF(A84='Données projet'!$A$62,'Données projet'!$B$62,AI83+AH84-AQ83)))</f>
        <v>298.8</v>
      </c>
      <c r="AJ84" s="14">
        <f>AI84*VLOOKUP('Données projet'!$B$10,Paramètres!$A$1:$I$89,3,0)*VLOOKUP('Données projet'!$B$10,Paramètres!$A$1:$I$89,5,0)</f>
        <v>270.35424</v>
      </c>
      <c r="AK84" s="14">
        <f t="shared" si="89"/>
        <v>64.924442218534367</v>
      </c>
      <c r="AL84" s="22">
        <f t="shared" si="58"/>
        <v>583.94370486394735</v>
      </c>
      <c r="AM84" s="62">
        <f t="shared" si="59"/>
        <v>877.27703819728072</v>
      </c>
      <c r="AN84" s="62">
        <f ca="1">AVERAGE(OFFSET($AM$3,0,0,'Données projet'!$E$10+1,1))-AVERAGE(OFFSET($H$3,0,0,'Données projet'!$E$10+1,1))</f>
        <v>439.19854273764042</v>
      </c>
      <c r="AO84" s="62">
        <f t="shared" si="90"/>
        <v>278.21741231699929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2.2201920674887092</v>
      </c>
      <c r="AW84" s="23">
        <f>EXP(-LN(2)/2)*AW83+(1-EXP(-LN(2)/2))/(LN(2)/2)*AQ84*AT84*VLOOKUP('Données projet'!$B$10,Paramètres!$A$1:$I$89,3,0)*0.475*44/12</f>
        <v>3.1420000663787025E-7</v>
      </c>
      <c r="AX84" s="23">
        <f t="shared" si="60"/>
        <v>2.2201923816887157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-2.8421709430404007E-13</v>
      </c>
      <c r="BE84" s="14">
        <f>BD84*VLOOKUP('Données projet'!$B$11,Paramètres!$A$1:$I$89,3,0)*VLOOKUP('Données projet'!$B$11,Paramètres!$A$1:$I$89,5,0)</f>
        <v>-2.2612312022829427E-13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352.88510024787888</v>
      </c>
      <c r="BJ84" s="62">
        <f t="shared" si="92"/>
        <v>343.77208530767069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2.9886494940564914</v>
      </c>
      <c r="BR84" s="23">
        <f>EXP(-LN(2)/2)*BR83+(1-EXP(-LN(2)/2))/(LN(2)/2)*BL84*BO84*VLOOKUP('Données projet'!$B$11,Paramètres!$A$1:$I$89,3,0)*0.475*44/12</f>
        <v>8.319126462428036E-9</v>
      </c>
      <c r="BS84" s="24">
        <f t="shared" si="63"/>
        <v>2.9886495023756177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-2.8421709430404007E-13</v>
      </c>
      <c r="BZ84" s="14">
        <f>BY84*VLOOKUP('Données projet'!$B$12,Paramètres!$A$1:$I$89,3,0)*VLOOKUP('Données projet'!$B$12,Paramètres!$A$1:$I$89,5,0)</f>
        <v>-2.0838797354372215E-13</v>
      </c>
      <c r="CA84" s="14" t="e">
        <f t="shared" si="93"/>
        <v>#NUM!</v>
      </c>
      <c r="CB84" s="22" t="e">
        <f t="shared" si="64"/>
        <v>#NUM!</v>
      </c>
      <c r="CC84" s="62" t="e">
        <f t="shared" si="65"/>
        <v>#NUM!</v>
      </c>
      <c r="CD84" s="62">
        <f ca="1">AVERAGE(OFFSET($CC$3,0,0,'Données projet'!$E$12+1,1))-AVERAGE(OFFSET($H$3,0,0,'Données projet'!$E$12+1,1))</f>
        <v>328.10411227536315</v>
      </c>
      <c r="CE84" s="62">
        <f t="shared" si="94"/>
        <v>320.24200483294322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3.3065903802913832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3.3065903802913832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5.6843418860808015E-14</v>
      </c>
      <c r="CU84" s="18">
        <f>CT84*VLOOKUP('Données projet'!$B$13,Paramètres!$A$1:$I$89,3,0)*VLOOKUP('Données projet'!$B$13,Paramètres!$A$1:$I$89,5,0)</f>
        <v>4.4337866711430253E-14</v>
      </c>
      <c r="CV84" s="14">
        <f t="shared" si="95"/>
        <v>7.3222115536967035E-13</v>
      </c>
      <c r="CW84" s="22">
        <f t="shared" si="67"/>
        <v>1.3525069634579169E-12</v>
      </c>
      <c r="CX84" s="62">
        <f t="shared" si="68"/>
        <v>293.33333333333468</v>
      </c>
      <c r="CY84" s="62">
        <f ca="1">AVERAGE(OFFSET($CX$3,0,0,'Données projet'!$E$13+1,1))-AVERAGE(OFFSET($H$3,0,0,'Données projet'!$E$13+1,1))</f>
        <v>288.82868507674738</v>
      </c>
      <c r="CZ84" s="62">
        <f t="shared" si="96"/>
        <v>283.48738729114024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3.7180089374780807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3.7180089374780807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6.8</v>
      </c>
      <c r="DO84" s="13">
        <f>IF('Données projet'!$A$166&gt;35,DO83+DN84-DW83,IF(A84&lt;'Données projet'!$A$166,$DL$205^A84,IF(A84='Données projet'!$A$166,'Données projet'!$B$166,DO83+DN84-DW83)))</f>
        <v>298.8</v>
      </c>
      <c r="DP84" s="18">
        <f>DO84*VLOOKUP('Données projet'!$B$14,Paramètres!$A$1:$I$89,3,0)*VLOOKUP('Données projet'!$B$14,Paramètres!$A$1:$I$89,5,0)</f>
        <v>302.98320000000007</v>
      </c>
      <c r="DQ84" s="14">
        <f t="shared" si="97"/>
        <v>71.801496173397709</v>
      </c>
      <c r="DR84" s="22">
        <f t="shared" si="70"/>
        <v>652.75001250200114</v>
      </c>
      <c r="DS84" s="62">
        <f t="shared" si="71"/>
        <v>946.08334583533451</v>
      </c>
      <c r="DT84" s="62">
        <f ca="1">AVERAGE(OFFSET($DS$3,0,0,'Données projet'!$E$14+1,1))-AVERAGE(OFFSET($H$3,0,0,'Données projet'!$E$14+1,1))</f>
        <v>487.04124684635974</v>
      </c>
      <c r="DU84" s="62">
        <f t="shared" si="98"/>
        <v>306.61893266146666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4.4595850801423635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4.4595850801423635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6.8</v>
      </c>
      <c r="EJ84" s="13">
        <f>IF('Données projet'!$A$192&gt;35,EJ83+EI84-ER83,IF(A84&lt;'Données projet'!$A$192,$EG$205^A84,IF(A84='Données projet'!$A$192,'Données projet'!$B$192,EJ83+EI84-ER83)))</f>
        <v>298.8</v>
      </c>
      <c r="EK84" s="18">
        <f>EJ84*VLOOKUP('Données projet'!$B$15,Paramètres!$A$1:$I$89,3,0)*VLOOKUP('Données projet'!$B$15,Paramètres!$A$1:$I$89,5,0)</f>
        <v>284.33807999999999</v>
      </c>
      <c r="EL84" s="14">
        <f t="shared" si="99"/>
        <v>67.882947973242224</v>
      </c>
      <c r="EM84" s="22">
        <f t="shared" si="73"/>
        <v>613.45162372006337</v>
      </c>
      <c r="EN84" s="62">
        <f t="shared" si="74"/>
        <v>906.78495705339674</v>
      </c>
      <c r="EO84" s="62">
        <f ca="1">AVERAGE(OFFSET($EN$3,0,0,'Données projet'!$E$15+1,1))-AVERAGE(OFFSET($H$3,0,0,'Données projet'!$E$15+1,1))</f>
        <v>459.64120566196812</v>
      </c>
      <c r="EP84" s="62">
        <f t="shared" si="100"/>
        <v>290.39826583283588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4.185149075210524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4.185149075210524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6.8</v>
      </c>
      <c r="FE84" s="13">
        <f>IF('Données projet'!$A$218&gt;35,FE83+FD84-FM83,IF(A84&lt;'Données projet'!$A$218,$FB$205^A84,IF(A84='Données projet'!$A$218,'Données projet'!$B$218,FE83+FD84-FM83)))</f>
        <v>298.8</v>
      </c>
      <c r="FF84" s="18">
        <f>FE84*VLOOKUP('Données projet'!$B$16,Paramètres!$A$1:$I$89,3,0)*VLOOKUP('Données projet'!$B$16,Paramètres!$A$1:$I$89,5,0)</f>
        <v>200.43504000000001</v>
      </c>
      <c r="FG84" s="14">
        <f t="shared" si="101"/>
        <v>49.83976425608784</v>
      </c>
      <c r="FH84" s="22">
        <f t="shared" si="76"/>
        <v>435.89528407935296</v>
      </c>
      <c r="FI84" s="62">
        <f t="shared" si="77"/>
        <v>729.22861741268628</v>
      </c>
      <c r="FJ84" s="62">
        <f ca="1">AVERAGE(OFFSET($FI$3,0,0,'Données projet'!$E$16+1,1))-AVERAGE(OFFSET($H$3,0,0,'Données projet'!$E$16+1,1))</f>
        <v>335.83558218229564</v>
      </c>
      <c r="FK84" s="62">
        <f t="shared" si="102"/>
        <v>217.08423061559648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0</v>
      </c>
      <c r="FR84" s="23">
        <f>EXP(-LN(2)/25)*FR83+(1-EXP(-LN(2)/25))/(LN(2)/25)*Calculateur!FM84*Calculateur!FO84*VLOOKUP('Données projet'!$B$16,Paramètres!$A$1:$I$89,3,0)*0.475*44/12</f>
        <v>2.0287961996017523</v>
      </c>
      <c r="FS84" s="23">
        <f>EXP(-LN(2)/2)*FS83+(1-EXP(-LN(2)/2))/(LN(2)/2)*FM84*FP84*VLOOKUP('Données projet'!$B$16,Paramètres!$A$1:$I$89,3,0)*0.475*44/12</f>
        <v>2.3294138423152506E-7</v>
      </c>
      <c r="FT84" s="24">
        <f t="shared" si="78"/>
        <v>2.0287964325431367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1.9895196601282805E-13</v>
      </c>
      <c r="O85" s="14">
        <f>N85*VLOOKUP('Données projet'!$B$9,Paramètres!$A$1:$I$89,3,0)*VLOOKUP('Données projet'!$B$9,Paramètres!$A$1:$I$89,5,0)</f>
        <v>1.738044375088066E-13</v>
      </c>
      <c r="P85" s="14">
        <f t="shared" si="87"/>
        <v>2.4483293633950478E-12</v>
      </c>
      <c r="Q85" s="22">
        <f t="shared" si="54"/>
        <v>4.566883036574213E-12</v>
      </c>
      <c r="R85" s="62">
        <f t="shared" si="55"/>
        <v>293.33333333333786</v>
      </c>
      <c r="S85" s="62">
        <f ca="1">AVERAGE(OFFSET($R$3,0,0,'Données projet'!$E$9+1,1))-AVERAGE(OFFSET($H$3,0,0,'Données projet'!$E$9+1,1))</f>
        <v>321.23599968992932</v>
      </c>
      <c r="T85" s="62">
        <f t="shared" si="88"/>
        <v>388.05195847800502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6.0504060010701668</v>
      </c>
      <c r="AB85" s="23">
        <f>EXP(-LN(2)/2)*AB84+(1-EXP(-LN(2)/2))/(LN(2)/2)*V85*Y85*VLOOKUP('Données projet'!$B$9,Paramètres!$A$1:$I$89,3,0)*0.475*44/12</f>
        <v>2.7219218138835045E-7</v>
      </c>
      <c r="AC85" s="24">
        <f t="shared" si="57"/>
        <v>6.0504062732623485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6.8</v>
      </c>
      <c r="AI85" s="14">
        <f>IF('Données projet'!$A$62&gt;35,AI84+AH85-AQ84,IF(A85&lt;'Données projet'!$A$62,$AF$205^A85,IF(A85='Données projet'!$A$62,'Données projet'!$B$62,AI84+AH85-AQ84)))</f>
        <v>305.60000000000002</v>
      </c>
      <c r="AJ85" s="14">
        <f>AI85*VLOOKUP('Données projet'!$B$10,Paramètres!$A$1:$I$89,3,0)*VLOOKUP('Données projet'!$B$10,Paramètres!$A$1:$I$89,5,0)</f>
        <v>276.50687999999997</v>
      </c>
      <c r="AK85" s="14">
        <f t="shared" si="89"/>
        <v>66.228273722513677</v>
      </c>
      <c r="AL85" s="22">
        <f t="shared" si="58"/>
        <v>596.93039273337797</v>
      </c>
      <c r="AM85" s="62">
        <f t="shared" si="59"/>
        <v>890.26372606671134</v>
      </c>
      <c r="AN85" s="62">
        <f ca="1">AVERAGE(OFFSET($AM$3,0,0,'Données projet'!$E$10+1,1))-AVERAGE(OFFSET($H$3,0,0,'Données projet'!$E$10+1,1))</f>
        <v>439.19854273764042</v>
      </c>
      <c r="AO85" s="62">
        <f t="shared" si="90"/>
        <v>278.21741231699929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2.1594807986484041</v>
      </c>
      <c r="AW85" s="23">
        <f>EXP(-LN(2)/2)*AW84+(1-EXP(-LN(2)/2))/(LN(2)/2)*AQ85*AT85*VLOOKUP('Données projet'!$B$10,Paramètres!$A$1:$I$89,3,0)*0.475*44/12</f>
        <v>2.221729553424963E-7</v>
      </c>
      <c r="AX85" s="23">
        <f t="shared" si="60"/>
        <v>2.1594810208213593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-2.8421709430404007E-13</v>
      </c>
      <c r="BE85" s="14">
        <f>BD85*VLOOKUP('Données projet'!$B$11,Paramètres!$A$1:$I$89,3,0)*VLOOKUP('Données projet'!$B$11,Paramètres!$A$1:$I$89,5,0)</f>
        <v>-2.2612312022829427E-13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352.88510024787888</v>
      </c>
      <c r="BJ85" s="62">
        <f t="shared" si="92"/>
        <v>343.77208530767069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2.9069247164752703</v>
      </c>
      <c r="BR85" s="23">
        <f>EXP(-LN(2)/2)*BR84+(1-EXP(-LN(2)/2))/(LN(2)/2)*BL85*BO85*VLOOKUP('Données projet'!$B$11,Paramètres!$A$1:$I$89,3,0)*0.475*44/12</f>
        <v>5.8825107351313185E-9</v>
      </c>
      <c r="BS85" s="24">
        <f t="shared" si="63"/>
        <v>2.9069247223577812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-2.8421709430404007E-13</v>
      </c>
      <c r="BZ85" s="14">
        <f>BY85*VLOOKUP('Données projet'!$B$12,Paramètres!$A$1:$I$89,3,0)*VLOOKUP('Données projet'!$B$12,Paramètres!$A$1:$I$89,5,0)</f>
        <v>-2.0838797354372215E-13</v>
      </c>
      <c r="CA85" s="14" t="e">
        <f t="shared" si="93"/>
        <v>#NUM!</v>
      </c>
      <c r="CB85" s="22" t="e">
        <f t="shared" si="64"/>
        <v>#NUM!</v>
      </c>
      <c r="CC85" s="62" t="e">
        <f t="shared" si="65"/>
        <v>#NUM!</v>
      </c>
      <c r="CD85" s="62">
        <f ca="1">AVERAGE(OFFSET($CC$3,0,0,'Données projet'!$E$12+1,1))-AVERAGE(OFFSET($H$3,0,0,'Données projet'!$E$12+1,1))</f>
        <v>328.10411227536315</v>
      </c>
      <c r="CE85" s="62">
        <f t="shared" si="94"/>
        <v>320.24200483294322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3.2417501597548566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3.2417501597548566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5.6843418860808015E-14</v>
      </c>
      <c r="CU85" s="18">
        <f>CT85*VLOOKUP('Données projet'!$B$13,Paramètres!$A$1:$I$89,3,0)*VLOOKUP('Données projet'!$B$13,Paramètres!$A$1:$I$89,5,0)</f>
        <v>4.4337866711430253E-14</v>
      </c>
      <c r="CV85" s="14">
        <f t="shared" si="95"/>
        <v>7.3222115536967035E-13</v>
      </c>
      <c r="CW85" s="22">
        <f t="shared" si="67"/>
        <v>1.3525069634579169E-12</v>
      </c>
      <c r="CX85" s="62">
        <f t="shared" si="68"/>
        <v>293.33333333333468</v>
      </c>
      <c r="CY85" s="62">
        <f ca="1">AVERAGE(OFFSET($CX$3,0,0,'Données projet'!$E$13+1,1))-AVERAGE(OFFSET($H$3,0,0,'Données projet'!$E$13+1,1))</f>
        <v>288.82868507674738</v>
      </c>
      <c r="CZ85" s="62">
        <f t="shared" si="96"/>
        <v>283.48738729114024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3.6451010499756644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3.6451010499756644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6.8</v>
      </c>
      <c r="DO85" s="13">
        <f>IF('Données projet'!$A$166&gt;35,DO84+DN85-DW84,IF(A85&lt;'Données projet'!$A$166,$DL$205^A85,IF(A85='Données projet'!$A$166,'Données projet'!$B$166,DO84+DN85-DW84)))</f>
        <v>305.60000000000002</v>
      </c>
      <c r="DP85" s="18">
        <f>DO85*VLOOKUP('Données projet'!$B$14,Paramètres!$A$1:$I$89,3,0)*VLOOKUP('Données projet'!$B$14,Paramètres!$A$1:$I$89,5,0)</f>
        <v>309.87840000000006</v>
      </c>
      <c r="DQ85" s="14">
        <f t="shared" si="97"/>
        <v>73.243434672131556</v>
      </c>
      <c r="DR85" s="22">
        <f t="shared" si="70"/>
        <v>667.27052872062916</v>
      </c>
      <c r="DS85" s="62">
        <f t="shared" si="71"/>
        <v>960.60386205396253</v>
      </c>
      <c r="DT85" s="62">
        <f ca="1">AVERAGE(OFFSET($DS$3,0,0,'Données projet'!$E$14+1,1))-AVERAGE(OFFSET($H$3,0,0,'Données projet'!$E$14+1,1))</f>
        <v>487.04124684635974</v>
      </c>
      <c r="DU85" s="62">
        <f t="shared" si="98"/>
        <v>306.61893266146666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4.3721353367990856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4.3721353367990856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6.8</v>
      </c>
      <c r="EJ85" s="13">
        <f>IF('Données projet'!$A$192&gt;35,EJ84+EI85-ER84,IF(A85&lt;'Données projet'!$A$192,$EG$205^A85,IF(A85='Données projet'!$A$192,'Données projet'!$B$192,EJ84+EI85-ER84)))</f>
        <v>305.60000000000002</v>
      </c>
      <c r="EK85" s="18">
        <f>EJ85*VLOOKUP('Données projet'!$B$15,Paramètres!$A$1:$I$89,3,0)*VLOOKUP('Données projet'!$B$15,Paramètres!$A$1:$I$89,5,0)</f>
        <v>290.80896000000001</v>
      </c>
      <c r="EL85" s="14">
        <f t="shared" si="99"/>
        <v>69.246193048996375</v>
      </c>
      <c r="EM85" s="22">
        <f t="shared" si="73"/>
        <v>627.096058227002</v>
      </c>
      <c r="EN85" s="62">
        <f t="shared" si="74"/>
        <v>920.42939156033526</v>
      </c>
      <c r="EO85" s="62">
        <f ca="1">AVERAGE(OFFSET($EN$3,0,0,'Données projet'!$E$15+1,1))-AVERAGE(OFFSET($H$3,0,0,'Données projet'!$E$15+1,1))</f>
        <v>459.64120566196812</v>
      </c>
      <c r="EP85" s="62">
        <f t="shared" si="100"/>
        <v>290.39826583283588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4.1030808545345243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4.1030808545345243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6.8</v>
      </c>
      <c r="FE85" s="13">
        <f>IF('Données projet'!$A$218&gt;35,FE84+FD85-FM84,IF(A85&lt;'Données projet'!$A$218,$FB$205^A85,IF(A85='Données projet'!$A$218,'Données projet'!$B$218,FE84+FD85-FM84)))</f>
        <v>305.60000000000002</v>
      </c>
      <c r="FF85" s="18">
        <f>FE85*VLOOKUP('Données projet'!$B$16,Paramètres!$A$1:$I$89,3,0)*VLOOKUP('Données projet'!$B$16,Paramètres!$A$1:$I$89,5,0)</f>
        <v>204.99648000000002</v>
      </c>
      <c r="FG85" s="14">
        <f t="shared" si="101"/>
        <v>50.840660876335356</v>
      </c>
      <c r="FH85" s="22">
        <f t="shared" si="76"/>
        <v>445.58302035961742</v>
      </c>
      <c r="FI85" s="62">
        <f t="shared" si="77"/>
        <v>738.91635369295068</v>
      </c>
      <c r="FJ85" s="62">
        <f ca="1">AVERAGE(OFFSET($FI$3,0,0,'Données projet'!$E$16+1,1))-AVERAGE(OFFSET($H$3,0,0,'Données projet'!$E$16+1,1))</f>
        <v>335.83558218229564</v>
      </c>
      <c r="FK85" s="62">
        <f t="shared" si="102"/>
        <v>217.08423061559648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0</v>
      </c>
      <c r="FR85" s="23">
        <f>EXP(-LN(2)/25)*FR84+(1-EXP(-LN(2)/25))/(LN(2)/25)*Calculateur!FM85*Calculateur!FO85*VLOOKUP('Données projet'!$B$16,Paramètres!$A$1:$I$89,3,0)*0.475*44/12</f>
        <v>1.9733186608338871</v>
      </c>
      <c r="FS85" s="23">
        <f>EXP(-LN(2)/2)*FS84+(1-EXP(-LN(2)/2))/(LN(2)/2)*FM85*FP85*VLOOKUP('Données projet'!$B$16,Paramètres!$A$1:$I$89,3,0)*0.475*44/12</f>
        <v>1.6471443240909249E-7</v>
      </c>
      <c r="FT85" s="24">
        <f t="shared" si="78"/>
        <v>1.9733188255483194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1.9895196601282805E-13</v>
      </c>
      <c r="O86" s="14">
        <f>N86*VLOOKUP('Données projet'!$B$9,Paramètres!$A$1:$I$89,3,0)*VLOOKUP('Données projet'!$B$9,Paramètres!$A$1:$I$89,5,0)</f>
        <v>1.738044375088066E-13</v>
      </c>
      <c r="P86" s="14">
        <f t="shared" si="87"/>
        <v>2.4483293633950478E-12</v>
      </c>
      <c r="Q86" s="22">
        <f t="shared" si="54"/>
        <v>4.566883036574213E-12</v>
      </c>
      <c r="R86" s="62">
        <f t="shared" si="55"/>
        <v>293.33333333333786</v>
      </c>
      <c r="S86" s="62">
        <f ca="1">AVERAGE(OFFSET($R$3,0,0,'Données projet'!$E$9+1,1))-AVERAGE(OFFSET($H$3,0,0,'Données projet'!$E$9+1,1))</f>
        <v>321.23599968992932</v>
      </c>
      <c r="T86" s="62">
        <f t="shared" si="88"/>
        <v>388.05195847800502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5.8849573307938803</v>
      </c>
      <c r="AB86" s="23">
        <f>EXP(-LN(2)/2)*AB85+(1-EXP(-LN(2)/2))/(LN(2)/2)*V86*Y86*VLOOKUP('Données projet'!$B$9,Paramètres!$A$1:$I$89,3,0)*0.475*44/12</f>
        <v>1.9246893724566138E-7</v>
      </c>
      <c r="AC86" s="24">
        <f t="shared" si="57"/>
        <v>5.884957523262818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6.8</v>
      </c>
      <c r="AI86" s="14">
        <f>IF('Données projet'!$A$62&gt;35,AI85+AH86-AQ85,IF(A86&lt;'Données projet'!$A$62,$AF$205^A86,IF(A86='Données projet'!$A$62,'Données projet'!$B$62,AI85+AH86-AQ85)))</f>
        <v>312.40000000000003</v>
      </c>
      <c r="AJ86" s="14">
        <f>AI86*VLOOKUP('Données projet'!$B$10,Paramètres!$A$1:$I$89,3,0)*VLOOKUP('Données projet'!$B$10,Paramètres!$A$1:$I$89,5,0)</f>
        <v>282.65952000000004</v>
      </c>
      <c r="AK86" s="14">
        <f t="shared" si="89"/>
        <v>67.528732309967324</v>
      </c>
      <c r="AL86" s="22">
        <f t="shared" si="58"/>
        <v>609.91120610652649</v>
      </c>
      <c r="AM86" s="62">
        <f t="shared" si="59"/>
        <v>903.24453943985986</v>
      </c>
      <c r="AN86" s="62">
        <f ca="1">AVERAGE(OFFSET($AM$3,0,0,'Données projet'!$E$10+1,1))-AVERAGE(OFFSET($H$3,0,0,'Données projet'!$E$10+1,1))</f>
        <v>439.19854273764042</v>
      </c>
      <c r="AO86" s="62">
        <f t="shared" si="90"/>
        <v>278.21741231699929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2.1004296826472038</v>
      </c>
      <c r="AW86" s="23">
        <f>EXP(-LN(2)/2)*AW85+(1-EXP(-LN(2)/2))/(LN(2)/2)*AQ86*AT86*VLOOKUP('Données projet'!$B$10,Paramètres!$A$1:$I$89,3,0)*0.475*44/12</f>
        <v>1.5710000331893512E-7</v>
      </c>
      <c r="AX86" s="23">
        <f t="shared" si="60"/>
        <v>2.100429839747207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-2.8421709430404007E-13</v>
      </c>
      <c r="BE86" s="14">
        <f>BD86*VLOOKUP('Données projet'!$B$11,Paramètres!$A$1:$I$89,3,0)*VLOOKUP('Données projet'!$B$11,Paramètres!$A$1:$I$89,5,0)</f>
        <v>-2.2612312022829427E-13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352.88510024787888</v>
      </c>
      <c r="BJ86" s="62">
        <f t="shared" si="92"/>
        <v>343.77208530767069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2.827434707234727</v>
      </c>
      <c r="BR86" s="23">
        <f>EXP(-LN(2)/2)*BR85+(1-EXP(-LN(2)/2))/(LN(2)/2)*BL86*BO86*VLOOKUP('Données projet'!$B$11,Paramètres!$A$1:$I$89,3,0)*0.475*44/12</f>
        <v>4.159563231214018E-9</v>
      </c>
      <c r="BS86" s="24">
        <f t="shared" si="63"/>
        <v>2.8274347113942904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-2.8421709430404007E-13</v>
      </c>
      <c r="BZ86" s="14">
        <f>BY86*VLOOKUP('Données projet'!$B$12,Paramètres!$A$1:$I$89,3,0)*VLOOKUP('Données projet'!$B$12,Paramètres!$A$1:$I$89,5,0)</f>
        <v>-2.0838797354372215E-13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328.10411227536315</v>
      </c>
      <c r="CE86" s="62">
        <f t="shared" si="94"/>
        <v>320.24200483294322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3.178181416394422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3.178181416394422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5.6843418860808015E-14</v>
      </c>
      <c r="CU86" s="18">
        <f>CT86*VLOOKUP('Données projet'!$B$13,Paramètres!$A$1:$I$89,3,0)*VLOOKUP('Données projet'!$B$13,Paramètres!$A$1:$I$89,5,0)</f>
        <v>4.4337866711430253E-14</v>
      </c>
      <c r="CV86" s="14">
        <f t="shared" si="95"/>
        <v>7.3222115536967035E-13</v>
      </c>
      <c r="CW86" s="22">
        <f t="shared" si="67"/>
        <v>1.3525069634579169E-12</v>
      </c>
      <c r="CX86" s="62">
        <f t="shared" si="68"/>
        <v>293.33333333333468</v>
      </c>
      <c r="CY86" s="62">
        <f ca="1">AVERAGE(OFFSET($CX$3,0,0,'Données projet'!$E$13+1,1))-AVERAGE(OFFSET($H$3,0,0,'Données projet'!$E$13+1,1))</f>
        <v>288.82868507674738</v>
      </c>
      <c r="CZ86" s="62">
        <f t="shared" si="96"/>
        <v>283.48738729114024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3.5736228416777505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3.5736228416777505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6.8</v>
      </c>
      <c r="DO86" s="13">
        <f>IF('Données projet'!$A$166&gt;35,DO85+DN86-DW85,IF(A86&lt;'Données projet'!$A$166,$DL$205^A86,IF(A86='Données projet'!$A$166,'Données projet'!$B$166,DO85+DN86-DW85)))</f>
        <v>312.40000000000003</v>
      </c>
      <c r="DP86" s="18">
        <f>DO86*VLOOKUP('Données projet'!$B$14,Paramètres!$A$1:$I$89,3,0)*VLOOKUP('Données projet'!$B$14,Paramètres!$A$1:$I$89,5,0)</f>
        <v>316.77360000000004</v>
      </c>
      <c r="DQ86" s="14">
        <f t="shared" si="97"/>
        <v>74.681642981668006</v>
      </c>
      <c r="DR86" s="22">
        <f t="shared" si="70"/>
        <v>681.78454819307183</v>
      </c>
      <c r="DS86" s="62">
        <f t="shared" si="71"/>
        <v>975.1178815264052</v>
      </c>
      <c r="DT86" s="62">
        <f ca="1">AVERAGE(OFFSET($DS$3,0,0,'Données projet'!$E$14+1,1))-AVERAGE(OFFSET($H$3,0,0,'Données projet'!$E$14+1,1))</f>
        <v>487.04124684635974</v>
      </c>
      <c r="DU86" s="62">
        <f t="shared" si="98"/>
        <v>306.61893266146666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4.2864004295836926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4.2864004295836926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6.8</v>
      </c>
      <c r="EJ86" s="13">
        <f>IF('Données projet'!$A$192&gt;35,EJ85+EI86-ER85,IF(A86&lt;'Données projet'!$A$192,$EG$205^A86,IF(A86='Données projet'!$A$192,'Données projet'!$B$192,EJ85+EI86-ER85)))</f>
        <v>312.40000000000003</v>
      </c>
      <c r="EK86" s="18">
        <f>EJ86*VLOOKUP('Données projet'!$B$15,Paramètres!$A$1:$I$89,3,0)*VLOOKUP('Données projet'!$B$15,Paramètres!$A$1:$I$89,5,0)</f>
        <v>297.27984000000004</v>
      </c>
      <c r="EL86" s="14">
        <f t="shared" si="99"/>
        <v>70.60591150966988</v>
      </c>
      <c r="EM86" s="22">
        <f t="shared" si="73"/>
        <v>640.73435054600839</v>
      </c>
      <c r="EN86" s="62">
        <f t="shared" si="74"/>
        <v>934.06768387934176</v>
      </c>
      <c r="EO86" s="62">
        <f ca="1">AVERAGE(OFFSET($EN$3,0,0,'Données projet'!$E$15+1,1))-AVERAGE(OFFSET($H$3,0,0,'Données projet'!$E$15+1,1))</f>
        <v>459.64120566196812</v>
      </c>
      <c r="EP86" s="62">
        <f t="shared" si="100"/>
        <v>290.39826583283588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4.0226219416093087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4.0226219416093087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6.8</v>
      </c>
      <c r="FE86" s="13">
        <f>IF('Données projet'!$A$218&gt;35,FE85+FD86-FM85,IF(A86&lt;'Données projet'!$A$218,$FB$205^A86,IF(A86='Données projet'!$A$218,'Données projet'!$B$218,FE85+FD86-FM85)))</f>
        <v>312.40000000000003</v>
      </c>
      <c r="FF86" s="18">
        <f>FE86*VLOOKUP('Données projet'!$B$16,Paramètres!$A$1:$I$89,3,0)*VLOOKUP('Données projet'!$B$16,Paramètres!$A$1:$I$89,5,0)</f>
        <v>209.55792000000005</v>
      </c>
      <c r="FG86" s="14">
        <f t="shared" si="101"/>
        <v>51.838968250395396</v>
      </c>
      <c r="FH86" s="22">
        <f t="shared" si="76"/>
        <v>455.26624703610543</v>
      </c>
      <c r="FI86" s="62">
        <f t="shared" si="77"/>
        <v>748.59958036943874</v>
      </c>
      <c r="FJ86" s="62">
        <f ca="1">AVERAGE(OFFSET($FI$3,0,0,'Données projet'!$E$16+1,1))-AVERAGE(OFFSET($H$3,0,0,'Données projet'!$E$16+1,1))</f>
        <v>335.83558218229564</v>
      </c>
      <c r="FK86" s="62">
        <f t="shared" si="102"/>
        <v>217.08423061559648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0</v>
      </c>
      <c r="FR86" s="23">
        <f>EXP(-LN(2)/25)*FR85+(1-EXP(-LN(2)/25))/(LN(2)/25)*Calculateur!FM86*Calculateur!FO86*VLOOKUP('Données projet'!$B$16,Paramètres!$A$1:$I$89,3,0)*0.475*44/12</f>
        <v>1.9193581582810662</v>
      </c>
      <c r="FS86" s="23">
        <f>EXP(-LN(2)/2)*FS85+(1-EXP(-LN(2)/2))/(LN(2)/2)*FM86*FP86*VLOOKUP('Données projet'!$B$16,Paramètres!$A$1:$I$89,3,0)*0.475*44/12</f>
        <v>1.1647069211576254E-7</v>
      </c>
      <c r="FT86" s="24">
        <f t="shared" si="78"/>
        <v>1.9193582747517584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1.9895196601282805E-13</v>
      </c>
      <c r="O87" s="14">
        <f>N87*VLOOKUP('Données projet'!$B$9,Paramètres!$A$1:$I$89,3,0)*VLOOKUP('Données projet'!$B$9,Paramètres!$A$1:$I$89,5,0)</f>
        <v>1.738044375088066E-13</v>
      </c>
      <c r="P87" s="14">
        <f t="shared" si="87"/>
        <v>2.4483293633950478E-12</v>
      </c>
      <c r="Q87" s="22">
        <f t="shared" si="54"/>
        <v>4.566883036574213E-12</v>
      </c>
      <c r="R87" s="62">
        <f t="shared" si="55"/>
        <v>293.33333333333786</v>
      </c>
      <c r="S87" s="62">
        <f ca="1">AVERAGE(OFFSET($R$3,0,0,'Données projet'!$E$9+1,1))-AVERAGE(OFFSET($H$3,0,0,'Données projet'!$E$9+1,1))</f>
        <v>321.23599968992932</v>
      </c>
      <c r="T87" s="62">
        <f t="shared" si="88"/>
        <v>388.05195847800502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5.7240328631068662</v>
      </c>
      <c r="AB87" s="23">
        <f>EXP(-LN(2)/2)*AB86+(1-EXP(-LN(2)/2))/(LN(2)/2)*V87*Y87*VLOOKUP('Données projet'!$B$9,Paramètres!$A$1:$I$89,3,0)*0.475*44/12</f>
        <v>1.3609609069417522E-7</v>
      </c>
      <c r="AC87" s="24">
        <f t="shared" si="57"/>
        <v>5.7240329992029571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6.8</v>
      </c>
      <c r="AI87" s="14">
        <f>IF('Données projet'!$A$62&gt;35,AI86+AH87-AQ86,IF(A87&lt;'Données projet'!$A$62,$AF$205^A87,IF(A87='Données projet'!$A$62,'Données projet'!$B$62,AI86+AH87-AQ86)))</f>
        <v>319.20000000000005</v>
      </c>
      <c r="AJ87" s="14">
        <f>AI87*VLOOKUP('Données projet'!$B$10,Paramètres!$A$1:$I$89,3,0)*VLOOKUP('Données projet'!$B$10,Paramètres!$A$1:$I$89,5,0)</f>
        <v>288.81216000000006</v>
      </c>
      <c r="AK87" s="14">
        <f t="shared" si="89"/>
        <v>68.825899854238159</v>
      </c>
      <c r="AL87" s="22">
        <f t="shared" si="58"/>
        <v>622.88628757946492</v>
      </c>
      <c r="AM87" s="62">
        <f t="shared" si="59"/>
        <v>916.21962091279829</v>
      </c>
      <c r="AN87" s="62">
        <f ca="1">AVERAGE(OFFSET($AM$3,0,0,'Données projet'!$E$10+1,1))-AVERAGE(OFFSET($H$3,0,0,'Données projet'!$E$10+1,1))</f>
        <v>439.19854273764042</v>
      </c>
      <c r="AO87" s="62">
        <f t="shared" si="90"/>
        <v>278.21741231699929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2.0429933225184196</v>
      </c>
      <c r="AW87" s="23">
        <f>EXP(-LN(2)/2)*AW86+(1-EXP(-LN(2)/2))/(LN(2)/2)*AQ87*AT87*VLOOKUP('Données projet'!$B$10,Paramètres!$A$1:$I$89,3,0)*0.475*44/12</f>
        <v>1.1108647767124815E-7</v>
      </c>
      <c r="AX87" s="23">
        <f t="shared" si="60"/>
        <v>2.0429934336048974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-2.8421709430404007E-13</v>
      </c>
      <c r="BE87" s="14">
        <f>BD87*VLOOKUP('Données projet'!$B$11,Paramètres!$A$1:$I$89,3,0)*VLOOKUP('Données projet'!$B$11,Paramètres!$A$1:$I$89,5,0)</f>
        <v>-2.2612312022829427E-13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352.88510024787888</v>
      </c>
      <c r="BJ87" s="62">
        <f t="shared" si="92"/>
        <v>343.77208530767069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2.7501183564770644</v>
      </c>
      <c r="BR87" s="23">
        <f>EXP(-LN(2)/2)*BR86+(1-EXP(-LN(2)/2))/(LN(2)/2)*BL87*BO87*VLOOKUP('Données projet'!$B$11,Paramètres!$A$1:$I$89,3,0)*0.475*44/12</f>
        <v>2.9412553675656592E-9</v>
      </c>
      <c r="BS87" s="24">
        <f t="shared" si="63"/>
        <v>2.7501183594183196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-2.8421709430404007E-13</v>
      </c>
      <c r="BZ87" s="14">
        <f>BY87*VLOOKUP('Données projet'!$B$12,Paramètres!$A$1:$I$89,3,0)*VLOOKUP('Données projet'!$B$12,Paramètres!$A$1:$I$89,5,0)</f>
        <v>-2.0838797354372215E-13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328.10411227536315</v>
      </c>
      <c r="CE87" s="62">
        <f t="shared" si="94"/>
        <v>320.24200483294322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3.1158592173181803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3.1158592173181803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5.6843418860808015E-14</v>
      </c>
      <c r="CU87" s="18">
        <f>CT87*VLOOKUP('Données projet'!$B$13,Paramètres!$A$1:$I$89,3,0)*VLOOKUP('Données projet'!$B$13,Paramètres!$A$1:$I$89,5,0)</f>
        <v>4.4337866711430253E-14</v>
      </c>
      <c r="CV87" s="14">
        <f t="shared" si="95"/>
        <v>7.3222115536967035E-13</v>
      </c>
      <c r="CW87" s="22">
        <f t="shared" si="67"/>
        <v>1.3525069634579169E-12</v>
      </c>
      <c r="CX87" s="62">
        <f t="shared" si="68"/>
        <v>293.33333333333468</v>
      </c>
      <c r="CY87" s="62">
        <f ca="1">AVERAGE(OFFSET($CX$3,0,0,'Données projet'!$E$13+1,1))-AVERAGE(OFFSET($H$3,0,0,'Données projet'!$E$13+1,1))</f>
        <v>288.82868507674738</v>
      </c>
      <c r="CZ87" s="62">
        <f t="shared" si="96"/>
        <v>283.48738729114024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3.5035462774471564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3.5035462774471564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6.8</v>
      </c>
      <c r="DO87" s="13">
        <f>IF('Données projet'!$A$166&gt;35,DO86+DN87-DW86,IF(A87&lt;'Données projet'!$A$166,$DL$205^A87,IF(A87='Données projet'!$A$166,'Données projet'!$B$166,DO86+DN87-DW86)))</f>
        <v>319.20000000000005</v>
      </c>
      <c r="DP87" s="18">
        <f>DO87*VLOOKUP('Données projet'!$B$14,Paramètres!$A$1:$I$89,3,0)*VLOOKUP('Données projet'!$B$14,Paramètres!$A$1:$I$89,5,0)</f>
        <v>323.66880000000009</v>
      </c>
      <c r="DQ87" s="14">
        <f t="shared" si="97"/>
        <v>76.11621164769852</v>
      </c>
      <c r="DR87" s="22">
        <f t="shared" si="70"/>
        <v>696.29222861974176</v>
      </c>
      <c r="DS87" s="62">
        <f t="shared" si="71"/>
        <v>989.62556195307502</v>
      </c>
      <c r="DT87" s="62">
        <f ca="1">AVERAGE(OFFSET($DS$3,0,0,'Données projet'!$E$14+1,1))-AVERAGE(OFFSET($H$3,0,0,'Données projet'!$E$14+1,1))</f>
        <v>487.04124684635974</v>
      </c>
      <c r="DU87" s="62">
        <f t="shared" si="98"/>
        <v>306.61893266146666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4.2023467316056635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4.2023467316056635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6.8</v>
      </c>
      <c r="EJ87" s="13">
        <f>IF('Données projet'!$A$192&gt;35,EJ86+EI87-ER86,IF(A87&lt;'Données projet'!$A$192,$EG$205^A87,IF(A87='Données projet'!$A$192,'Données projet'!$B$192,EJ86+EI87-ER86)))</f>
        <v>319.20000000000005</v>
      </c>
      <c r="EK87" s="18">
        <f>EJ87*VLOOKUP('Données projet'!$B$15,Paramètres!$A$1:$I$89,3,0)*VLOOKUP('Données projet'!$B$15,Paramètres!$A$1:$I$89,5,0)</f>
        <v>303.75072000000006</v>
      </c>
      <c r="EL87" s="14">
        <f t="shared" si="99"/>
        <v>71.962188959446451</v>
      </c>
      <c r="EM87" s="22">
        <f t="shared" si="73"/>
        <v>654.36664977103601</v>
      </c>
      <c r="EN87" s="62">
        <f t="shared" si="74"/>
        <v>947.69998310436927</v>
      </c>
      <c r="EO87" s="62">
        <f ca="1">AVERAGE(OFFSET($EN$3,0,0,'Données projet'!$E$15+1,1))-AVERAGE(OFFSET($H$3,0,0,'Données projet'!$E$15+1,1))</f>
        <v>459.64120566196812</v>
      </c>
      <c r="EP87" s="62">
        <f t="shared" si="100"/>
        <v>290.39826583283588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3.943740778891466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3.943740778891466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6.8</v>
      </c>
      <c r="FE87" s="13">
        <f>IF('Données projet'!$A$218&gt;35,FE86+FD87-FM86,IF(A87&lt;'Données projet'!$A$218,$FB$205^A87,IF(A87='Données projet'!$A$218,'Données projet'!$B$218,FE86+FD87-FM86)))</f>
        <v>319.20000000000005</v>
      </c>
      <c r="FF87" s="18">
        <f>FE87*VLOOKUP('Données projet'!$B$16,Paramètres!$A$1:$I$89,3,0)*VLOOKUP('Données projet'!$B$16,Paramètres!$A$1:$I$89,5,0)</f>
        <v>214.11936000000006</v>
      </c>
      <c r="FG87" s="14">
        <f t="shared" si="101"/>
        <v>52.834749228990397</v>
      </c>
      <c r="FH87" s="22">
        <f t="shared" si="76"/>
        <v>464.94507357382503</v>
      </c>
      <c r="FI87" s="62">
        <f t="shared" si="77"/>
        <v>758.27840690715834</v>
      </c>
      <c r="FJ87" s="62">
        <f ca="1">AVERAGE(OFFSET($FI$3,0,0,'Données projet'!$E$16+1,1))-AVERAGE(OFFSET($H$3,0,0,'Données projet'!$E$16+1,1))</f>
        <v>335.83558218229564</v>
      </c>
      <c r="FK87" s="62">
        <f t="shared" si="102"/>
        <v>217.08423061559648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0</v>
      </c>
      <c r="FR87" s="23">
        <f>EXP(-LN(2)/25)*FR86+(1-EXP(-LN(2)/25))/(LN(2)/25)*Calculateur!FM87*Calculateur!FO87*VLOOKUP('Données projet'!$B$16,Paramètres!$A$1:$I$89,3,0)*0.475*44/12</f>
        <v>1.8668732085082116</v>
      </c>
      <c r="FS87" s="23">
        <f>EXP(-LN(2)/2)*FS86+(1-EXP(-LN(2)/2))/(LN(2)/2)*FM87*FP87*VLOOKUP('Données projet'!$B$16,Paramètres!$A$1:$I$89,3,0)*0.475*44/12</f>
        <v>8.2357216204546258E-8</v>
      </c>
      <c r="FT87" s="24">
        <f t="shared" si="78"/>
        <v>1.8668732908654277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1.9895196601282805E-13</v>
      </c>
      <c r="O88" s="14">
        <f>N88*VLOOKUP('Données projet'!$B$9,Paramètres!$A$1:$I$89,3,0)*VLOOKUP('Données projet'!$B$9,Paramètres!$A$1:$I$89,5,0)</f>
        <v>1.738044375088066E-13</v>
      </c>
      <c r="P88" s="14">
        <f t="shared" si="87"/>
        <v>2.4483293633950478E-12</v>
      </c>
      <c r="Q88" s="22">
        <f t="shared" si="54"/>
        <v>4.566883036574213E-12</v>
      </c>
      <c r="R88" s="62">
        <f t="shared" si="55"/>
        <v>293.33333333333786</v>
      </c>
      <c r="S88" s="62">
        <f ca="1">AVERAGE(OFFSET($R$3,0,0,'Données projet'!$E$9+1,1))-AVERAGE(OFFSET($H$3,0,0,'Données projet'!$E$9+1,1))</f>
        <v>321.23599968992932</v>
      </c>
      <c r="T88" s="62">
        <f t="shared" si="88"/>
        <v>388.05195847800502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5.5675088834514028</v>
      </c>
      <c r="AB88" s="23">
        <f>EXP(-LN(2)/2)*AB87+(1-EXP(-LN(2)/2))/(LN(2)/2)*V88*Y88*VLOOKUP('Données projet'!$B$9,Paramètres!$A$1:$I$89,3,0)*0.475*44/12</f>
        <v>9.6234468622830688E-8</v>
      </c>
      <c r="AC88" s="24">
        <f t="shared" si="57"/>
        <v>5.5675089796858712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326</v>
      </c>
      <c r="AG88" s="13">
        <f>VLOOKUP(A88,'Données projet'!$A$61:$I$81,9,0)</f>
        <v>6.8</v>
      </c>
      <c r="AH88" s="13">
        <f t="array" ref="AH88">INDEX(AG:AG,MIN(IF(ISNUMBER(AG88:AG284),ROW(AG88:AG284),"")))</f>
        <v>6.8</v>
      </c>
      <c r="AI88" s="14">
        <f>IF('Données projet'!$A$62&gt;35,AI87+AH88-AQ87,IF(A88&lt;'Données projet'!$A$62,$AF$205^A88,IF(A88='Données projet'!$A$62,'Données projet'!$B$62,AI87+AH88-AQ87)))</f>
        <v>326.00000000000006</v>
      </c>
      <c r="AJ88" s="14">
        <f>AI88*VLOOKUP('Données projet'!$B$10,Paramètres!$A$1:$I$89,3,0)*VLOOKUP('Données projet'!$B$10,Paramètres!$A$1:$I$89,5,0)</f>
        <v>294.96480000000003</v>
      </c>
      <c r="AK88" s="14">
        <f t="shared" si="89"/>
        <v>70.119854541045001</v>
      </c>
      <c r="AL88" s="22">
        <f t="shared" si="58"/>
        <v>635.85577332565333</v>
      </c>
      <c r="AM88" s="62">
        <f t="shared" si="59"/>
        <v>929.1891066589867</v>
      </c>
      <c r="AN88" s="62">
        <f ca="1">AVERAGE(OFFSET($AM$3,0,0,'Données projet'!$E$10+1,1))-AVERAGE(OFFSET($H$3,0,0,'Données projet'!$E$10+1,1))</f>
        <v>439.19854273764042</v>
      </c>
      <c r="AO88" s="62">
        <f t="shared" si="90"/>
        <v>278.21741231699929</v>
      </c>
      <c r="AP88" s="16">
        <f>IF(ISNA(VLOOKUP(A88,'Données projet'!$A$61:$I$81,3,0)),0,VLOOKUP(A88,'Données projet'!$A$61:$I$81,3,0))</f>
        <v>14</v>
      </c>
      <c r="AQ88" s="16">
        <f>IF(ISNA(VLOOKUP(A88,'Données projet'!$A$61:$I$81,4,0)),0,VLOOKUP(A88,'Données projet'!$A$61:$I$81,4,0))</f>
        <v>28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1.987127562677804</v>
      </c>
      <c r="AW88" s="23">
        <f>EXP(-LN(2)/2)*AW87+(1-EXP(-LN(2)/2))/(LN(2)/2)*AQ88*AT88*VLOOKUP('Données projet'!$B$10,Paramètres!$A$1:$I$89,3,0)*0.475*44/12</f>
        <v>7.8550001659467562E-8</v>
      </c>
      <c r="AX88" s="23">
        <f t="shared" si="60"/>
        <v>1.9871276412278056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-2.8421709430404007E-13</v>
      </c>
      <c r="BE88" s="14">
        <f>BD88*VLOOKUP('Données projet'!$B$11,Paramètres!$A$1:$I$89,3,0)*VLOOKUP('Données projet'!$B$11,Paramètres!$A$1:$I$89,5,0)</f>
        <v>-2.2612312022829427E-13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352.88510024787888</v>
      </c>
      <c r="BJ88" s="62">
        <f t="shared" si="92"/>
        <v>343.77208530767069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2.67491622539676</v>
      </c>
      <c r="BR88" s="23">
        <f>EXP(-LN(2)/2)*BR87+(1-EXP(-LN(2)/2))/(LN(2)/2)*BL88*BO88*VLOOKUP('Données projet'!$B$11,Paramètres!$A$1:$I$89,3,0)*0.475*44/12</f>
        <v>2.079781615607009E-9</v>
      </c>
      <c r="BS88" s="24">
        <f t="shared" si="63"/>
        <v>2.6749162274765417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-2.8421709430404007E-13</v>
      </c>
      <c r="BZ88" s="14">
        <f>BY88*VLOOKUP('Données projet'!$B$12,Paramètres!$A$1:$I$89,3,0)*VLOOKUP('Données projet'!$B$12,Paramètres!$A$1:$I$89,5,0)</f>
        <v>-2.0838797354372215E-13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328.10411227536315</v>
      </c>
      <c r="CE88" s="62">
        <f t="shared" si="94"/>
        <v>320.24200483294322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3.0547591185530361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3.0547591185530361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5.6843418860808015E-14</v>
      </c>
      <c r="CU88" s="18">
        <f>CT88*VLOOKUP('Données projet'!$B$13,Paramètres!$A$1:$I$89,3,0)*VLOOKUP('Données projet'!$B$13,Paramètres!$A$1:$I$89,5,0)</f>
        <v>4.4337866711430253E-14</v>
      </c>
      <c r="CV88" s="14">
        <f t="shared" si="95"/>
        <v>7.3222115536967035E-13</v>
      </c>
      <c r="CW88" s="22">
        <f t="shared" si="67"/>
        <v>1.3525069634579169E-12</v>
      </c>
      <c r="CX88" s="62">
        <f t="shared" si="68"/>
        <v>293.33333333333468</v>
      </c>
      <c r="CY88" s="62">
        <f ca="1">AVERAGE(OFFSET($CX$3,0,0,'Données projet'!$E$13+1,1))-AVERAGE(OFFSET($H$3,0,0,'Données projet'!$E$13+1,1))</f>
        <v>288.82868507674738</v>
      </c>
      <c r="CZ88" s="62">
        <f t="shared" si="96"/>
        <v>283.48738729114024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3.4348438718986403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3.4348438718986403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>
        <f>VLOOKUP(A88,'Données projet'!$A$165:$I$185,2,0)</f>
        <v>326</v>
      </c>
      <c r="DM88" s="13">
        <f>VLOOKUP(A88,'Données projet'!$A$165:$I$185,9,0)</f>
        <v>6.8</v>
      </c>
      <c r="DN88" s="13">
        <f t="array" ref="DN88">INDEX(DM:DM,MIN(IF(ISNUMBER(DM88:DM284),ROW(DM88:DM284),"")))</f>
        <v>6.8</v>
      </c>
      <c r="DO88" s="13">
        <f>IF('Données projet'!$A$166&gt;35,DO87+DN88-DW87,IF(A88&lt;'Données projet'!$A$166,$DL$205^A88,IF(A88='Données projet'!$A$166,'Données projet'!$B$166,DO87+DN88-DW87)))</f>
        <v>326.00000000000006</v>
      </c>
      <c r="DP88" s="18">
        <f>DO88*VLOOKUP('Données projet'!$B$14,Paramètres!$A$1:$I$89,3,0)*VLOOKUP('Données projet'!$B$14,Paramètres!$A$1:$I$89,5,0)</f>
        <v>330.56400000000008</v>
      </c>
      <c r="DQ88" s="14">
        <f t="shared" si="97"/>
        <v>77.547227137682853</v>
      </c>
      <c r="DR88" s="22">
        <f t="shared" si="70"/>
        <v>710.79372059813113</v>
      </c>
      <c r="DS88" s="62">
        <f t="shared" si="71"/>
        <v>1004.1270539314644</v>
      </c>
      <c r="DT88" s="62">
        <f ca="1">AVERAGE(OFFSET($DS$3,0,0,'Données projet'!$E$14+1,1))-AVERAGE(OFFSET($H$3,0,0,'Données projet'!$E$14+1,1))</f>
        <v>487.04124684635974</v>
      </c>
      <c r="DU88" s="62">
        <f t="shared" si="98"/>
        <v>306.61893266146666</v>
      </c>
      <c r="DV88" s="16">
        <f>IF(ISNA(VLOOKUP(A88,'Données projet'!$A$165:$I$185,3,0)),0,VLOOKUP(A88,'Données projet'!$A$165:$I$185,3,0))</f>
        <v>14</v>
      </c>
      <c r="DW88" s="16">
        <f>IF(ISNA(VLOOKUP(A88,'Données projet'!$A$165:$I$185,4,0)),0,VLOOKUP(A88,'Données projet'!$A$165:$I$185,4,0))</f>
        <v>28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4.1199412753772897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4.1199412753772897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>
        <f>VLOOKUP(A88,'Données projet'!$A$191:$I$211,2,0)</f>
        <v>326</v>
      </c>
      <c r="EH88" s="13">
        <f>VLOOKUP(A88,'Données projet'!$A$191:$I$211,9,0)</f>
        <v>6.8</v>
      </c>
      <c r="EI88" s="13">
        <f t="array" ref="EI88">INDEX(EH:EH,MIN(IF(ISNUMBER(EH88:EH284),ROW(EH88:EH284),"")))</f>
        <v>6.8</v>
      </c>
      <c r="EJ88" s="13">
        <f>IF('Données projet'!$A$192&gt;35,EJ87+EI88-ER87,IF(A88&lt;'Données projet'!$A$192,$EG$205^A88,IF(A88='Données projet'!$A$192,'Données projet'!$B$192,EJ87+EI88-ER87)))</f>
        <v>326.00000000000006</v>
      </c>
      <c r="EK88" s="18">
        <f>EJ88*VLOOKUP('Données projet'!$B$15,Paramètres!$A$1:$I$89,3,0)*VLOOKUP('Données projet'!$B$15,Paramètres!$A$1:$I$89,5,0)</f>
        <v>310.22160000000008</v>
      </c>
      <c r="EL88" s="14">
        <f t="shared" si="99"/>
        <v>73.315107146846231</v>
      </c>
      <c r="EM88" s="22">
        <f t="shared" si="73"/>
        <v>667.99309828075729</v>
      </c>
      <c r="EN88" s="62">
        <f t="shared" si="74"/>
        <v>961.32643161409055</v>
      </c>
      <c r="EO88" s="62">
        <f ca="1">AVERAGE(OFFSET($EN$3,0,0,'Données projet'!$E$15+1,1))-AVERAGE(OFFSET($H$3,0,0,'Données projet'!$E$15+1,1))</f>
        <v>459.64120566196812</v>
      </c>
      <c r="EP88" s="62">
        <f t="shared" si="100"/>
        <v>290.39826583283588</v>
      </c>
      <c r="EQ88" s="16">
        <f>IF(ISNA(VLOOKUP(A88,'Données projet'!$A$191:$I$211,3,0)),0,VLOOKUP(A88,'Données projet'!$A$191:$I$211,3,0))</f>
        <v>14</v>
      </c>
      <c r="ER88" s="16">
        <f>IF(ISNA(VLOOKUP(A88,'Données projet'!$A$191:$I$211,4,0)),0,VLOOKUP(A88,'Données projet'!$A$191:$I$211,4,0))</f>
        <v>28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3.8664064276617616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3.8664064276617616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>
        <f>VLOOKUP(A88,'Données projet'!$A$217:$I$237,2,0)</f>
        <v>326</v>
      </c>
      <c r="FC88" s="13">
        <f>VLOOKUP(A88,'Données projet'!$A$217:$I$237,9,0)</f>
        <v>6.8</v>
      </c>
      <c r="FD88" s="13">
        <f t="array" ref="FD88">INDEX(FC:FC,MIN(IF(ISNUMBER(FC88:FC284),ROW(FC88:FC284),"")))</f>
        <v>6.8</v>
      </c>
      <c r="FE88" s="13">
        <f>IF('Données projet'!$A$218&gt;35,FE87+FD88-FM87,IF(A88&lt;'Données projet'!$A$218,$FB$205^A88,IF(A88='Données projet'!$A$218,'Données projet'!$B$218,FE87+FD88-FM87)))</f>
        <v>326.00000000000006</v>
      </c>
      <c r="FF88" s="18">
        <f>FE88*VLOOKUP('Données projet'!$B$16,Paramètres!$A$1:$I$89,3,0)*VLOOKUP('Données projet'!$B$16,Paramètres!$A$1:$I$89,5,0)</f>
        <v>218.68080000000006</v>
      </c>
      <c r="FG88" s="14">
        <f t="shared" si="101"/>
        <v>53.828063832009121</v>
      </c>
      <c r="FH88" s="22">
        <f t="shared" si="76"/>
        <v>474.61960450741594</v>
      </c>
      <c r="FI88" s="62">
        <f t="shared" si="77"/>
        <v>767.9529378407492</v>
      </c>
      <c r="FJ88" s="62">
        <f ca="1">AVERAGE(OFFSET($FI$3,0,0,'Données projet'!$E$16+1,1))-AVERAGE(OFFSET($H$3,0,0,'Données projet'!$E$16+1,1))</f>
        <v>335.83558218229564</v>
      </c>
      <c r="FK88" s="62">
        <f t="shared" si="102"/>
        <v>217.08423061559648</v>
      </c>
      <c r="FL88" s="16">
        <f>IF(ISNA(VLOOKUP(A88,'Données projet'!$A$217:$I$237,3,0)),0,VLOOKUP(A88,'Données projet'!$A$217:$I$237,3,0))</f>
        <v>14</v>
      </c>
      <c r="FM88" s="16">
        <f>IF(ISNA(VLOOKUP(A88,'Données projet'!$A$217:$I$237,4,0)),0,VLOOKUP(A88,'Données projet'!$A$217:$I$237,4,0))</f>
        <v>28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0</v>
      </c>
      <c r="FR88" s="23">
        <f>EXP(-LN(2)/25)*FR87+(1-EXP(-LN(2)/25))/(LN(2)/25)*Calculateur!FM88*Calculateur!FO88*VLOOKUP('Données projet'!$B$16,Paramètres!$A$1:$I$89,3,0)*0.475*44/12</f>
        <v>1.8158234624469594</v>
      </c>
      <c r="FS88" s="23">
        <f>EXP(-LN(2)/2)*FS87+(1-EXP(-LN(2)/2))/(LN(2)/2)*FM88*FP88*VLOOKUP('Données projet'!$B$16,Paramètres!$A$1:$I$89,3,0)*0.475*44/12</f>
        <v>5.8235346057881278E-8</v>
      </c>
      <c r="FT88" s="24">
        <f t="shared" si="78"/>
        <v>1.8158235206823055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1.9895196601282805E-13</v>
      </c>
      <c r="O89" s="14">
        <f>N89*VLOOKUP('Données projet'!$B$9,Paramètres!$A$1:$I$89,3,0)*VLOOKUP('Données projet'!$B$9,Paramètres!$A$1:$I$89,5,0)</f>
        <v>1.738044375088066E-13</v>
      </c>
      <c r="P89" s="14">
        <f t="shared" si="87"/>
        <v>2.4483293633950478E-12</v>
      </c>
      <c r="Q89" s="22">
        <f t="shared" si="54"/>
        <v>4.566883036574213E-12</v>
      </c>
      <c r="R89" s="62">
        <f t="shared" si="55"/>
        <v>293.33333333333786</v>
      </c>
      <c r="S89" s="62">
        <f ca="1">AVERAGE(OFFSET($R$3,0,0,'Données projet'!$E$9+1,1))-AVERAGE(OFFSET($H$3,0,0,'Données projet'!$E$9+1,1))</f>
        <v>321.23599968992932</v>
      </c>
      <c r="T89" s="62">
        <f t="shared" si="88"/>
        <v>388.05195847800502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5.4152650602508565</v>
      </c>
      <c r="AB89" s="23">
        <f>EXP(-LN(2)/2)*AB88+(1-EXP(-LN(2)/2))/(LN(2)/2)*V89*Y89*VLOOKUP('Données projet'!$B$9,Paramètres!$A$1:$I$89,3,0)*0.475*44/12</f>
        <v>6.8048045347087612E-8</v>
      </c>
      <c r="AC89" s="24">
        <f t="shared" si="57"/>
        <v>5.4152651282989019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6.4</v>
      </c>
      <c r="AI89" s="14">
        <f>IF('Données projet'!$A$62&gt;35,AI88+AH89-AQ88,IF(A89&lt;'Données projet'!$A$62,$AF$205^A89,IF(A89='Données projet'!$A$62,'Données projet'!$B$62,AI88+AH89-AQ88)))</f>
        <v>304.40000000000003</v>
      </c>
      <c r="AJ89" s="14">
        <f>AI89*VLOOKUP('Données projet'!$B$10,Paramètres!$A$1:$I$89,3,0)*VLOOKUP('Données projet'!$B$10,Paramètres!$A$1:$I$89,5,0)</f>
        <v>275.42112000000003</v>
      </c>
      <c r="AK89" s="14">
        <f t="shared" si="89"/>
        <v>65.998433293601067</v>
      </c>
      <c r="AL89" s="22">
        <f t="shared" si="58"/>
        <v>594.63905531968851</v>
      </c>
      <c r="AM89" s="62">
        <f t="shared" si="59"/>
        <v>887.97238865302188</v>
      </c>
      <c r="AN89" s="62">
        <f ca="1">AVERAGE(OFFSET($AM$3,0,0,'Données projet'!$E$10+1,1))-AVERAGE(OFFSET($H$3,0,0,'Données projet'!$E$10+1,1))</f>
        <v>439.19854273764042</v>
      </c>
      <c r="AO89" s="62">
        <f t="shared" si="90"/>
        <v>278.21741231699929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1.9327894549778826</v>
      </c>
      <c r="AW89" s="23">
        <f>EXP(-LN(2)/2)*AW88+(1-EXP(-LN(2)/2))/(LN(2)/2)*AQ89*AT89*VLOOKUP('Données projet'!$B$10,Paramètres!$A$1:$I$89,3,0)*0.475*44/12</f>
        <v>5.5543238835624075E-8</v>
      </c>
      <c r="AX89" s="23">
        <f t="shared" si="60"/>
        <v>1.9327895105211215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-2.8421709430404007E-13</v>
      </c>
      <c r="BE89" s="14">
        <f>BD89*VLOOKUP('Données projet'!$B$11,Paramètres!$A$1:$I$89,3,0)*VLOOKUP('Données projet'!$B$11,Paramètres!$A$1:$I$89,5,0)</f>
        <v>-2.2612312022829427E-13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352.88510024787888</v>
      </c>
      <c r="BJ89" s="62">
        <f t="shared" si="92"/>
        <v>343.77208530767069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2.6017705005455549</v>
      </c>
      <c r="BR89" s="23">
        <f>EXP(-LN(2)/2)*BR88+(1-EXP(-LN(2)/2))/(LN(2)/2)*BL89*BO89*VLOOKUP('Données projet'!$B$11,Paramètres!$A$1:$I$89,3,0)*0.475*44/12</f>
        <v>1.4706276837828296E-9</v>
      </c>
      <c r="BS89" s="24">
        <f t="shared" si="63"/>
        <v>2.6017705020161825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-2.8421709430404007E-13</v>
      </c>
      <c r="BZ89" s="14">
        <f>BY89*VLOOKUP('Données projet'!$B$12,Paramètres!$A$1:$I$89,3,0)*VLOOKUP('Données projet'!$B$12,Paramètres!$A$1:$I$89,5,0)</f>
        <v>-2.0838797354372215E-13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328.10411227536315</v>
      </c>
      <c r="CE89" s="62">
        <f t="shared" si="94"/>
        <v>320.24200483294322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2.9948571554572956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2.9948571554572956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5.6843418860808015E-14</v>
      </c>
      <c r="CU89" s="18">
        <f>CT89*VLOOKUP('Données projet'!$B$13,Paramètres!$A$1:$I$89,3,0)*VLOOKUP('Données projet'!$B$13,Paramètres!$A$1:$I$89,5,0)</f>
        <v>4.4337866711430253E-14</v>
      </c>
      <c r="CV89" s="14">
        <f t="shared" si="95"/>
        <v>7.3222115536967035E-13</v>
      </c>
      <c r="CW89" s="22">
        <f t="shared" si="67"/>
        <v>1.3525069634579169E-12</v>
      </c>
      <c r="CX89" s="62">
        <f t="shared" si="68"/>
        <v>293.33333333333468</v>
      </c>
      <c r="CY89" s="62">
        <f ca="1">AVERAGE(OFFSET($CX$3,0,0,'Données projet'!$E$13+1,1))-AVERAGE(OFFSET($H$3,0,0,'Données projet'!$E$13+1,1))</f>
        <v>288.82868507674738</v>
      </c>
      <c r="CZ89" s="62">
        <f t="shared" si="96"/>
        <v>283.48738729114024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3.3674886786186011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3.3674886786186011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6.4</v>
      </c>
      <c r="DO89" s="13">
        <f>IF('Données projet'!$A$166&gt;35,DO88+DN89-DW88,IF(A89&lt;'Données projet'!$A$166,$DL$205^A89,IF(A89='Données projet'!$A$166,'Données projet'!$B$166,DO88+DN89-DW88)))</f>
        <v>304.40000000000003</v>
      </c>
      <c r="DP89" s="18">
        <f>DO89*VLOOKUP('Données projet'!$B$14,Paramètres!$A$1:$I$89,3,0)*VLOOKUP('Données projet'!$B$14,Paramètres!$A$1:$I$89,5,0)</f>
        <v>308.66160000000008</v>
      </c>
      <c r="DQ89" s="14">
        <f t="shared" si="97"/>
        <v>72.98924863505313</v>
      </c>
      <c r="DR89" s="22">
        <f t="shared" si="70"/>
        <v>664.70856137271755</v>
      </c>
      <c r="DS89" s="62">
        <f t="shared" si="71"/>
        <v>958.04189470605093</v>
      </c>
      <c r="DT89" s="62">
        <f ca="1">AVERAGE(OFFSET($DS$3,0,0,'Données projet'!$E$14+1,1))-AVERAGE(OFFSET($H$3,0,0,'Données projet'!$E$14+1,1))</f>
        <v>487.04124684635974</v>
      </c>
      <c r="DU89" s="62">
        <f t="shared" si="98"/>
        <v>306.61893266146666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4.0391517398831889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4.0391517398831889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6.4</v>
      </c>
      <c r="EJ89" s="13">
        <f>IF('Données projet'!$A$192&gt;35,EJ88+EI89-ER88,IF(A89&lt;'Données projet'!$A$192,$EG$205^A89,IF(A89='Données projet'!$A$192,'Données projet'!$B$192,EJ88+EI89-ER88)))</f>
        <v>304.40000000000003</v>
      </c>
      <c r="EK89" s="18">
        <f>EJ89*VLOOKUP('Données projet'!$B$15,Paramètres!$A$1:$I$89,3,0)*VLOOKUP('Données projet'!$B$15,Paramètres!$A$1:$I$89,5,0)</f>
        <v>289.66704000000004</v>
      </c>
      <c r="EL89" s="14">
        <f t="shared" si="99"/>
        <v>69.005879149563839</v>
      </c>
      <c r="EM89" s="22">
        <f t="shared" si="73"/>
        <v>624.68866751882376</v>
      </c>
      <c r="EN89" s="62">
        <f t="shared" si="74"/>
        <v>918.02200085215713</v>
      </c>
      <c r="EO89" s="62">
        <f ca="1">AVERAGE(OFFSET($EN$3,0,0,'Données projet'!$E$15+1,1))-AVERAGE(OFFSET($H$3,0,0,'Données projet'!$E$15+1,1))</f>
        <v>459.64120566196812</v>
      </c>
      <c r="EP89" s="62">
        <f t="shared" si="100"/>
        <v>290.39826583283588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3.7905885558903751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3.7905885558903751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6.4</v>
      </c>
      <c r="FE89" s="13">
        <f>IF('Données projet'!$A$218&gt;35,FE88+FD89-FM88,IF(A89&lt;'Données projet'!$A$218,$FB$205^A89,IF(A89='Données projet'!$A$218,'Données projet'!$B$218,FE88+FD89-FM88)))</f>
        <v>304.40000000000003</v>
      </c>
      <c r="FF89" s="18">
        <f>FE89*VLOOKUP('Données projet'!$B$16,Paramètres!$A$1:$I$89,3,0)*VLOOKUP('Données projet'!$B$16,Paramètres!$A$1:$I$89,5,0)</f>
        <v>204.19152000000005</v>
      </c>
      <c r="FG89" s="14">
        <f t="shared" si="101"/>
        <v>50.66422204371576</v>
      </c>
      <c r="FH89" s="22">
        <f t="shared" si="76"/>
        <v>443.87375072613833</v>
      </c>
      <c r="FI89" s="62">
        <f t="shared" si="77"/>
        <v>737.20708405947164</v>
      </c>
      <c r="FJ89" s="62">
        <f ca="1">AVERAGE(OFFSET($FI$3,0,0,'Données projet'!$E$16+1,1))-AVERAGE(OFFSET($H$3,0,0,'Données projet'!$E$16+1,1))</f>
        <v>335.83558218229564</v>
      </c>
      <c r="FK89" s="62">
        <f t="shared" si="102"/>
        <v>217.08423061559648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0</v>
      </c>
      <c r="FR89" s="23">
        <f>EXP(-LN(2)/25)*FR88+(1-EXP(-LN(2)/25))/(LN(2)/25)*Calculateur!FM89*Calculateur!FO89*VLOOKUP('Données projet'!$B$16,Paramètres!$A$1:$I$89,3,0)*0.475*44/12</f>
        <v>1.7661696743763415</v>
      </c>
      <c r="FS89" s="23">
        <f>EXP(-LN(2)/2)*FS88+(1-EXP(-LN(2)/2))/(LN(2)/2)*FM89*FP89*VLOOKUP('Données projet'!$B$16,Paramètres!$A$1:$I$89,3,0)*0.475*44/12</f>
        <v>4.1178608102273135E-8</v>
      </c>
      <c r="FT89" s="24">
        <f t="shared" si="78"/>
        <v>1.7661697155549496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1.9895196601282805E-13</v>
      </c>
      <c r="O90" s="14">
        <f>N90*VLOOKUP('Données projet'!$B$9,Paramètres!$A$1:$I$89,3,0)*VLOOKUP('Données projet'!$B$9,Paramètres!$A$1:$I$89,5,0)</f>
        <v>1.738044375088066E-13</v>
      </c>
      <c r="P90" s="14">
        <f t="shared" si="87"/>
        <v>2.4483293633950478E-12</v>
      </c>
      <c r="Q90" s="22">
        <f t="shared" si="54"/>
        <v>4.566883036574213E-12</v>
      </c>
      <c r="R90" s="62">
        <f t="shared" si="55"/>
        <v>293.33333333333786</v>
      </c>
      <c r="S90" s="62">
        <f ca="1">AVERAGE(OFFSET($R$3,0,0,'Données projet'!$E$9+1,1))-AVERAGE(OFFSET($H$3,0,0,'Données projet'!$E$9+1,1))</f>
        <v>321.23599968992932</v>
      </c>
      <c r="T90" s="62">
        <f t="shared" si="88"/>
        <v>388.05195847800502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5.267184352401884</v>
      </c>
      <c r="AB90" s="23">
        <f>EXP(-LN(2)/2)*AB89+(1-EXP(-LN(2)/2))/(LN(2)/2)*V90*Y90*VLOOKUP('Données projet'!$B$9,Paramètres!$A$1:$I$89,3,0)*0.475*44/12</f>
        <v>4.8117234311415344E-8</v>
      </c>
      <c r="AC90" s="24">
        <f t="shared" si="57"/>
        <v>5.2671844005191186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6.4</v>
      </c>
      <c r="AI90" s="14">
        <f>IF('Données projet'!$A$62&gt;35,AI89+AH90-AQ89,IF(A90&lt;'Données projet'!$A$62,$AF$205^A90,IF(A90='Données projet'!$A$62,'Données projet'!$B$62,AI89+AH90-AQ89)))</f>
        <v>310.8</v>
      </c>
      <c r="AJ90" s="14">
        <f>AI90*VLOOKUP('Données projet'!$B$10,Paramètres!$A$1:$I$89,3,0)*VLOOKUP('Données projet'!$B$10,Paramètres!$A$1:$I$89,5,0)</f>
        <v>281.21184</v>
      </c>
      <c r="AK90" s="14">
        <f t="shared" si="89"/>
        <v>67.22304110496664</v>
      </c>
      <c r="AL90" s="22">
        <f t="shared" si="58"/>
        <v>606.85741792448357</v>
      </c>
      <c r="AM90" s="62">
        <f t="shared" si="59"/>
        <v>900.19075125781683</v>
      </c>
      <c r="AN90" s="62">
        <f ca="1">AVERAGE(OFFSET($AM$3,0,0,'Données projet'!$E$10+1,1))-AVERAGE(OFFSET($H$3,0,0,'Données projet'!$E$10+1,1))</f>
        <v>439.19854273764042</v>
      </c>
      <c r="AO90" s="62">
        <f t="shared" si="90"/>
        <v>278.21741231699929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1.8799372256905325</v>
      </c>
      <c r="AW90" s="23">
        <f>EXP(-LN(2)/2)*AW89+(1-EXP(-LN(2)/2))/(LN(2)/2)*AQ90*AT90*VLOOKUP('Données projet'!$B$10,Paramètres!$A$1:$I$89,3,0)*0.475*44/12</f>
        <v>3.9275000829733781E-8</v>
      </c>
      <c r="AX90" s="23">
        <f t="shared" si="60"/>
        <v>1.8799372649655333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-2.8421709430404007E-13</v>
      </c>
      <c r="BE90" s="14">
        <f>BD90*VLOOKUP('Données projet'!$B$11,Paramètres!$A$1:$I$89,3,0)*VLOOKUP('Données projet'!$B$11,Paramètres!$A$1:$I$89,5,0)</f>
        <v>-2.2612312022829427E-13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352.88510024787888</v>
      </c>
      <c r="BJ90" s="62">
        <f t="shared" si="92"/>
        <v>343.77208530767069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2.5306249493869726</v>
      </c>
      <c r="BR90" s="23">
        <f>EXP(-LN(2)/2)*BR89+(1-EXP(-LN(2)/2))/(LN(2)/2)*BL90*BO90*VLOOKUP('Données projet'!$B$11,Paramètres!$A$1:$I$89,3,0)*0.475*44/12</f>
        <v>1.0398908078035045E-9</v>
      </c>
      <c r="BS90" s="24">
        <f t="shared" si="63"/>
        <v>2.5306249504268634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-2.8421709430404007E-13</v>
      </c>
      <c r="BZ90" s="14">
        <f>BY90*VLOOKUP('Données projet'!$B$12,Paramètres!$A$1:$I$89,3,0)*VLOOKUP('Données projet'!$B$12,Paramètres!$A$1:$I$89,5,0)</f>
        <v>-2.0838797354372215E-13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328.10411227536315</v>
      </c>
      <c r="CE90" s="62">
        <f t="shared" si="94"/>
        <v>320.24200483294322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2.9361298333212731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2.9361298333212731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5.6843418860808015E-14</v>
      </c>
      <c r="CU90" s="18">
        <f>CT90*VLOOKUP('Données projet'!$B$13,Paramètres!$A$1:$I$89,3,0)*VLOOKUP('Données projet'!$B$13,Paramètres!$A$1:$I$89,5,0)</f>
        <v>4.4337866711430253E-14</v>
      </c>
      <c r="CV90" s="14">
        <f t="shared" si="95"/>
        <v>7.3222115536967035E-13</v>
      </c>
      <c r="CW90" s="22">
        <f t="shared" si="67"/>
        <v>1.3525069634579169E-12</v>
      </c>
      <c r="CX90" s="62">
        <f t="shared" si="68"/>
        <v>293.33333333333468</v>
      </c>
      <c r="CY90" s="62">
        <f ca="1">AVERAGE(OFFSET($CX$3,0,0,'Données projet'!$E$13+1,1))-AVERAGE(OFFSET($H$3,0,0,'Données projet'!$E$13+1,1))</f>
        <v>288.82868507674738</v>
      </c>
      <c r="CZ90" s="62">
        <f t="shared" si="96"/>
        <v>283.48738729114024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3.3014542795961721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3.3014542795961721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6.4</v>
      </c>
      <c r="DO90" s="13">
        <f>IF('Données projet'!$A$166&gt;35,DO89+DN90-DW89,IF(A90&lt;'Données projet'!$A$166,$DL$205^A90,IF(A90='Données projet'!$A$166,'Données projet'!$B$166,DO89+DN90-DW89)))</f>
        <v>310.8</v>
      </c>
      <c r="DP90" s="18">
        <f>DO90*VLOOKUP('Données projet'!$B$14,Paramètres!$A$1:$I$89,3,0)*VLOOKUP('Données projet'!$B$14,Paramètres!$A$1:$I$89,5,0)</f>
        <v>315.15120000000002</v>
      </c>
      <c r="DQ90" s="14">
        <f t="shared" si="97"/>
        <v>74.343571754005879</v>
      </c>
      <c r="DR90" s="22">
        <f t="shared" si="70"/>
        <v>678.37006080489357</v>
      </c>
      <c r="DS90" s="62">
        <f t="shared" si="71"/>
        <v>971.70339413822694</v>
      </c>
      <c r="DT90" s="62">
        <f ca="1">AVERAGE(OFFSET($DS$3,0,0,'Données projet'!$E$14+1,1))-AVERAGE(OFFSET($H$3,0,0,'Données projet'!$E$14+1,1))</f>
        <v>487.04124684635974</v>
      </c>
      <c r="DU90" s="62">
        <f t="shared" si="98"/>
        <v>306.61893266146666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3.9599464379033766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3.9599464379033766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6.4</v>
      </c>
      <c r="EJ90" s="13">
        <f>IF('Données projet'!$A$192&gt;35,EJ89+EI90-ER89,IF(A90&lt;'Données projet'!$A$192,$EG$205^A90,IF(A90='Données projet'!$A$192,'Données projet'!$B$192,EJ89+EI90-ER89)))</f>
        <v>310.8</v>
      </c>
      <c r="EK90" s="18">
        <f>EJ90*VLOOKUP('Données projet'!$B$15,Paramètres!$A$1:$I$89,3,0)*VLOOKUP('Données projet'!$B$15,Paramètres!$A$1:$I$89,5,0)</f>
        <v>295.75727999999998</v>
      </c>
      <c r="EL90" s="14">
        <f t="shared" si="99"/>
        <v>70.286290432370649</v>
      </c>
      <c r="EM90" s="22">
        <f t="shared" si="73"/>
        <v>637.52588516971218</v>
      </c>
      <c r="EN90" s="62">
        <f t="shared" si="74"/>
        <v>930.85921850304544</v>
      </c>
      <c r="EO90" s="62">
        <f ca="1">AVERAGE(OFFSET($EN$3,0,0,'Données projet'!$E$15+1,1))-AVERAGE(OFFSET($H$3,0,0,'Données projet'!$E$15+1,1))</f>
        <v>459.64120566196812</v>
      </c>
      <c r="EP90" s="62">
        <f t="shared" si="100"/>
        <v>290.39826583283588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3.71625742634009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3.71625742634009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6.4</v>
      </c>
      <c r="FE90" s="13">
        <f>IF('Données projet'!$A$218&gt;35,FE89+FD90-FM89,IF(A90&lt;'Données projet'!$A$218,$FB$205^A90,IF(A90='Données projet'!$A$218,'Données projet'!$B$218,FE89+FD90-FM89)))</f>
        <v>310.8</v>
      </c>
      <c r="FF90" s="18">
        <f>FE90*VLOOKUP('Données projet'!$B$16,Paramètres!$A$1:$I$89,3,0)*VLOOKUP('Données projet'!$B$16,Paramètres!$A$1:$I$89,5,0)</f>
        <v>208.48464000000001</v>
      </c>
      <c r="FG90" s="14">
        <f t="shared" si="101"/>
        <v>51.60430196645396</v>
      </c>
      <c r="FH90" s="22">
        <f t="shared" si="76"/>
        <v>452.98824059157391</v>
      </c>
      <c r="FI90" s="62">
        <f t="shared" si="77"/>
        <v>746.32157392490717</v>
      </c>
      <c r="FJ90" s="62">
        <f ca="1">AVERAGE(OFFSET($FI$3,0,0,'Données projet'!$E$16+1,1))-AVERAGE(OFFSET($H$3,0,0,'Données projet'!$E$16+1,1))</f>
        <v>335.83558218229564</v>
      </c>
      <c r="FK90" s="62">
        <f t="shared" si="102"/>
        <v>217.08423061559648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0</v>
      </c>
      <c r="FR90" s="23">
        <f>EXP(-LN(2)/25)*FR89+(1-EXP(-LN(2)/25))/(LN(2)/25)*Calculateur!FM90*Calculateur!FO90*VLOOKUP('Données projet'!$B$16,Paramètres!$A$1:$I$89,3,0)*0.475*44/12</f>
        <v>1.717873671751694</v>
      </c>
      <c r="FS90" s="23">
        <f>EXP(-LN(2)/2)*FS89+(1-EXP(-LN(2)/2))/(LN(2)/2)*FM90*FP90*VLOOKUP('Données projet'!$B$16,Paramètres!$A$1:$I$89,3,0)*0.475*44/12</f>
        <v>2.9117673028940646E-8</v>
      </c>
      <c r="FT90" s="24">
        <f t="shared" si="78"/>
        <v>1.717873700869367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1.9895196601282805E-13</v>
      </c>
      <c r="O91" s="14">
        <f>N91*VLOOKUP('Données projet'!$B$9,Paramètres!$A$1:$I$89,3,0)*VLOOKUP('Données projet'!$B$9,Paramètres!$A$1:$I$89,5,0)</f>
        <v>1.738044375088066E-13</v>
      </c>
      <c r="P91" s="14">
        <f t="shared" si="87"/>
        <v>2.4483293633950478E-12</v>
      </c>
      <c r="Q91" s="22">
        <f t="shared" si="54"/>
        <v>4.566883036574213E-12</v>
      </c>
      <c r="R91" s="62">
        <f t="shared" si="55"/>
        <v>293.33333333333786</v>
      </c>
      <c r="S91" s="62">
        <f ca="1">AVERAGE(OFFSET($R$3,0,0,'Données projet'!$E$9+1,1))-AVERAGE(OFFSET($H$3,0,0,'Données projet'!$E$9+1,1))</f>
        <v>321.23599968992932</v>
      </c>
      <c r="T91" s="62">
        <f t="shared" si="88"/>
        <v>388.05195847800502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5.1231529192962677</v>
      </c>
      <c r="AB91" s="23">
        <f>EXP(-LN(2)/2)*AB90+(1-EXP(-LN(2)/2))/(LN(2)/2)*V91*Y91*VLOOKUP('Données projet'!$B$9,Paramètres!$A$1:$I$89,3,0)*0.475*44/12</f>
        <v>3.4024022673543806E-8</v>
      </c>
      <c r="AC91" s="24">
        <f t="shared" si="57"/>
        <v>5.1231529533202904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6.4</v>
      </c>
      <c r="AI91" s="14">
        <f>IF('Données projet'!$A$62&gt;35,AI90+AH91-AQ90,IF(A91&lt;'Données projet'!$A$62,$AF$205^A91,IF(A91='Données projet'!$A$62,'Données projet'!$B$62,AI90+AH91-AQ90)))</f>
        <v>317.2</v>
      </c>
      <c r="AJ91" s="14">
        <f>AI91*VLOOKUP('Données projet'!$B$10,Paramètres!$A$1:$I$89,3,0)*VLOOKUP('Données projet'!$B$10,Paramètres!$A$1:$I$89,5,0)</f>
        <v>287.00255999999996</v>
      </c>
      <c r="AK91" s="14">
        <f t="shared" si="89"/>
        <v>68.444716936118553</v>
      </c>
      <c r="AL91" s="22">
        <f t="shared" si="58"/>
        <v>619.07067399707296</v>
      </c>
      <c r="AM91" s="62">
        <f t="shared" si="59"/>
        <v>912.40400733040633</v>
      </c>
      <c r="AN91" s="62">
        <f ca="1">AVERAGE(OFFSET($AM$3,0,0,'Données projet'!$E$10+1,1))-AVERAGE(OFFSET($H$3,0,0,'Données projet'!$E$10+1,1))</f>
        <v>439.19854273764042</v>
      </c>
      <c r="AO91" s="62">
        <f t="shared" si="90"/>
        <v>278.21741231699929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1.8285302433924229</v>
      </c>
      <c r="AW91" s="23">
        <f>EXP(-LN(2)/2)*AW90+(1-EXP(-LN(2)/2))/(LN(2)/2)*AQ91*AT91*VLOOKUP('Données projet'!$B$10,Paramètres!$A$1:$I$89,3,0)*0.475*44/12</f>
        <v>2.7771619417812037E-8</v>
      </c>
      <c r="AX91" s="23">
        <f t="shared" si="60"/>
        <v>1.8285302711640423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-2.8421709430404007E-13</v>
      </c>
      <c r="BE91" s="14">
        <f>BD91*VLOOKUP('Données projet'!$B$11,Paramètres!$A$1:$I$89,3,0)*VLOOKUP('Données projet'!$B$11,Paramètres!$A$1:$I$89,5,0)</f>
        <v>-2.2612312022829427E-13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352.88510024787888</v>
      </c>
      <c r="BJ91" s="62">
        <f t="shared" si="92"/>
        <v>343.77208530767069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2.4614248770662037</v>
      </c>
      <c r="BR91" s="23">
        <f>EXP(-LN(2)/2)*BR90+(1-EXP(-LN(2)/2))/(LN(2)/2)*BL91*BO91*VLOOKUP('Données projet'!$B$11,Paramètres!$A$1:$I$89,3,0)*0.475*44/12</f>
        <v>7.3531384189141481E-10</v>
      </c>
      <c r="BS91" s="24">
        <f t="shared" si="63"/>
        <v>2.4614248778015178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-2.8421709430404007E-13</v>
      </c>
      <c r="BZ91" s="14">
        <f>BY91*VLOOKUP('Données projet'!$B$12,Paramètres!$A$1:$I$89,3,0)*VLOOKUP('Données projet'!$B$12,Paramètres!$A$1:$I$89,5,0)</f>
        <v>-2.0838797354372215E-13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328.10411227536315</v>
      </c>
      <c r="CE91" s="62">
        <f t="shared" si="94"/>
        <v>320.24200483294322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2.8785541181522083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2.8785541181522083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5.6843418860808015E-14</v>
      </c>
      <c r="CU91" s="18">
        <f>CT91*VLOOKUP('Données projet'!$B$13,Paramètres!$A$1:$I$89,3,0)*VLOOKUP('Données projet'!$B$13,Paramètres!$A$1:$I$89,5,0)</f>
        <v>4.4337866711430253E-14</v>
      </c>
      <c r="CV91" s="14">
        <f t="shared" si="95"/>
        <v>7.3222115536967035E-13</v>
      </c>
      <c r="CW91" s="22">
        <f t="shared" si="67"/>
        <v>1.3525069634579169E-12</v>
      </c>
      <c r="CX91" s="62">
        <f t="shared" si="68"/>
        <v>293.33333333333468</v>
      </c>
      <c r="CY91" s="62">
        <f ca="1">AVERAGE(OFFSET($CX$3,0,0,'Données projet'!$E$13+1,1))-AVERAGE(OFFSET($H$3,0,0,'Données projet'!$E$13+1,1))</f>
        <v>288.82868507674738</v>
      </c>
      <c r="CZ91" s="62">
        <f t="shared" si="96"/>
        <v>283.48738729114024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3.2367147748615666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3.2367147748615666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6.4</v>
      </c>
      <c r="DO91" s="13">
        <f>IF('Données projet'!$A$166&gt;35,DO90+DN91-DW90,IF(A91&lt;'Données projet'!$A$166,$DL$205^A91,IF(A91='Données projet'!$A$166,'Données projet'!$B$166,DO90+DN91-DW90)))</f>
        <v>317.2</v>
      </c>
      <c r="DP91" s="18">
        <f>DO91*VLOOKUP('Données projet'!$B$14,Paramètres!$A$1:$I$89,3,0)*VLOOKUP('Données projet'!$B$14,Paramètres!$A$1:$I$89,5,0)</f>
        <v>321.64080000000001</v>
      </c>
      <c r="DQ91" s="14">
        <f t="shared" si="97"/>
        <v>75.694652325793228</v>
      </c>
      <c r="DR91" s="22">
        <f t="shared" si="70"/>
        <v>692.0259128007566</v>
      </c>
      <c r="DS91" s="62">
        <f t="shared" si="71"/>
        <v>985.35924613408997</v>
      </c>
      <c r="DT91" s="62">
        <f ca="1">AVERAGE(OFFSET($DS$3,0,0,'Données projet'!$E$14+1,1))-AVERAGE(OFFSET($H$3,0,0,'Données projet'!$E$14+1,1))</f>
        <v>487.04124684635974</v>
      </c>
      <c r="DU91" s="62">
        <f t="shared" si="98"/>
        <v>306.61893266146666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3.8822943035849247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3.8822943035849247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6.4</v>
      </c>
      <c r="EJ91" s="13">
        <f>IF('Données projet'!$A$192&gt;35,EJ90+EI91-ER90,IF(A91&lt;'Données projet'!$A$192,$EG$205^A91,IF(A91='Données projet'!$A$192,'Données projet'!$B$192,EJ90+EI91-ER90)))</f>
        <v>317.2</v>
      </c>
      <c r="EK91" s="18">
        <f>EJ91*VLOOKUP('Données projet'!$B$15,Paramètres!$A$1:$I$89,3,0)*VLOOKUP('Données projet'!$B$15,Paramètres!$A$1:$I$89,5,0)</f>
        <v>301.84751999999997</v>
      </c>
      <c r="EL91" s="14">
        <f t="shared" si="99"/>
        <v>71.563636129190257</v>
      </c>
      <c r="EM91" s="22">
        <f t="shared" si="73"/>
        <v>650.35776359167301</v>
      </c>
      <c r="EN91" s="62">
        <f t="shared" si="74"/>
        <v>943.69109692500638</v>
      </c>
      <c r="EO91" s="62">
        <f ca="1">AVERAGE(OFFSET($EN$3,0,0,'Données projet'!$E$15+1,1))-AVERAGE(OFFSET($H$3,0,0,'Données projet'!$E$15+1,1))</f>
        <v>459.64120566196812</v>
      </c>
      <c r="EP91" s="62">
        <f t="shared" si="100"/>
        <v>290.39826583283588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3.6433838849027738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3.6433838849027738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6.4</v>
      </c>
      <c r="FE91" s="13">
        <f>IF('Données projet'!$A$218&gt;35,FE90+FD91-FM90,IF(A91&lt;'Données projet'!$A$218,$FB$205^A91,IF(A91='Données projet'!$A$218,'Données projet'!$B$218,FE90+FD91-FM90)))</f>
        <v>317.2</v>
      </c>
      <c r="FF91" s="18">
        <f>FE91*VLOOKUP('Données projet'!$B$16,Paramètres!$A$1:$I$89,3,0)*VLOOKUP('Données projet'!$B$16,Paramètres!$A$1:$I$89,5,0)</f>
        <v>212.77775999999997</v>
      </c>
      <c r="FG91" s="14">
        <f t="shared" si="101"/>
        <v>52.542131131270303</v>
      </c>
      <c r="FH91" s="22">
        <f t="shared" si="76"/>
        <v>462.09881038696238</v>
      </c>
      <c r="FI91" s="62">
        <f t="shared" si="77"/>
        <v>755.4321437202957</v>
      </c>
      <c r="FJ91" s="62">
        <f ca="1">AVERAGE(OFFSET($FI$3,0,0,'Données projet'!$E$16+1,1))-AVERAGE(OFFSET($H$3,0,0,'Données projet'!$E$16+1,1))</f>
        <v>335.83558218229564</v>
      </c>
      <c r="FK91" s="62">
        <f t="shared" si="102"/>
        <v>217.08423061559648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0</v>
      </c>
      <c r="FR91" s="23">
        <f>EXP(-LN(2)/25)*FR90+(1-EXP(-LN(2)/25))/(LN(2)/25)*Calculateur!FM91*Calculateur!FO91*VLOOKUP('Données projet'!$B$16,Paramètres!$A$1:$I$89,3,0)*0.475*44/12</f>
        <v>1.6708983258585939</v>
      </c>
      <c r="FS91" s="23">
        <f>EXP(-LN(2)/2)*FS90+(1-EXP(-LN(2)/2))/(LN(2)/2)*FM91*FP91*VLOOKUP('Données projet'!$B$16,Paramètres!$A$1:$I$89,3,0)*0.475*44/12</f>
        <v>2.0589304051136571E-8</v>
      </c>
      <c r="FT91" s="24">
        <f t="shared" si="78"/>
        <v>1.6708983464478979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1.9895196601282805E-13</v>
      </c>
      <c r="O92" s="14">
        <f>N92*VLOOKUP('Données projet'!$B$9,Paramètres!$A$1:$I$89,3,0)*VLOOKUP('Données projet'!$B$9,Paramètres!$A$1:$I$89,5,0)</f>
        <v>1.738044375088066E-13</v>
      </c>
      <c r="P92" s="14">
        <f t="shared" si="87"/>
        <v>2.4483293633950478E-12</v>
      </c>
      <c r="Q92" s="22">
        <f t="shared" si="54"/>
        <v>4.566883036574213E-12</v>
      </c>
      <c r="R92" s="62">
        <f t="shared" si="55"/>
        <v>293.33333333333786</v>
      </c>
      <c r="S92" s="62">
        <f ca="1">AVERAGE(OFFSET($R$3,0,0,'Données projet'!$E$9+1,1))-AVERAGE(OFFSET($H$3,0,0,'Données projet'!$E$9+1,1))</f>
        <v>321.23599968992932</v>
      </c>
      <c r="T92" s="62">
        <f t="shared" si="88"/>
        <v>388.05195847800502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4.9830600333032082</v>
      </c>
      <c r="AB92" s="23">
        <f>EXP(-LN(2)/2)*AB91+(1-EXP(-LN(2)/2))/(LN(2)/2)*V92*Y92*VLOOKUP('Données projet'!$B$9,Paramètres!$A$1:$I$89,3,0)*0.475*44/12</f>
        <v>2.4058617155707672E-8</v>
      </c>
      <c r="AC92" s="24">
        <f t="shared" si="57"/>
        <v>4.9830600573618256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6.4</v>
      </c>
      <c r="AI92" s="14">
        <f>IF('Données projet'!$A$62&gt;35,AI91+AH92-AQ91,IF(A92&lt;'Données projet'!$A$62,$AF$205^A92,IF(A92='Données projet'!$A$62,'Données projet'!$B$62,AI91+AH92-AQ91)))</f>
        <v>323.59999999999997</v>
      </c>
      <c r="AJ92" s="14">
        <f>AI92*VLOOKUP('Données projet'!$B$10,Paramètres!$A$1:$I$89,3,0)*VLOOKUP('Données projet'!$B$10,Paramètres!$A$1:$I$89,5,0)</f>
        <v>292.79327999999992</v>
      </c>
      <c r="AK92" s="14">
        <f t="shared" si="89"/>
        <v>69.663526761731433</v>
      </c>
      <c r="AL92" s="22">
        <f t="shared" si="58"/>
        <v>631.27893844334869</v>
      </c>
      <c r="AM92" s="62">
        <f t="shared" si="59"/>
        <v>924.61227177668206</v>
      </c>
      <c r="AN92" s="62">
        <f ca="1">AVERAGE(OFFSET($AM$3,0,0,'Données projet'!$E$10+1,1))-AVERAGE(OFFSET($H$3,0,0,'Données projet'!$E$10+1,1))</f>
        <v>439.19854273764042</v>
      </c>
      <c r="AO92" s="62">
        <f t="shared" si="90"/>
        <v>278.21741231699929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1.7785289877286308</v>
      </c>
      <c r="AW92" s="23">
        <f>EXP(-LN(2)/2)*AW91+(1-EXP(-LN(2)/2))/(LN(2)/2)*AQ92*AT92*VLOOKUP('Données projet'!$B$10,Paramètres!$A$1:$I$89,3,0)*0.475*44/12</f>
        <v>1.963750041486689E-8</v>
      </c>
      <c r="AX92" s="23">
        <f t="shared" si="60"/>
        <v>1.7785290073661313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-2.8421709430404007E-13</v>
      </c>
      <c r="BE92" s="14">
        <f>BD92*VLOOKUP('Données projet'!$B$11,Paramètres!$A$1:$I$89,3,0)*VLOOKUP('Données projet'!$B$11,Paramètres!$A$1:$I$89,5,0)</f>
        <v>-2.2612312022829427E-13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352.88510024787888</v>
      </c>
      <c r="BJ92" s="62">
        <f t="shared" si="92"/>
        <v>343.77208530767069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2.3941170843621196</v>
      </c>
      <c r="BR92" s="23">
        <f>EXP(-LN(2)/2)*BR91+(1-EXP(-LN(2)/2))/(LN(2)/2)*BL92*BO92*VLOOKUP('Données projet'!$B$11,Paramètres!$A$1:$I$89,3,0)*0.475*44/12</f>
        <v>5.1994540390175225E-10</v>
      </c>
      <c r="BS92" s="24">
        <f t="shared" si="63"/>
        <v>2.394117084882065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-2.8421709430404007E-13</v>
      </c>
      <c r="BZ92" s="14">
        <f>BY92*VLOOKUP('Données projet'!$B$12,Paramètres!$A$1:$I$89,3,0)*VLOOKUP('Données projet'!$B$12,Paramètres!$A$1:$I$89,5,0)</f>
        <v>-2.0838797354372215E-13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328.10411227536315</v>
      </c>
      <c r="CE92" s="62">
        <f t="shared" si="94"/>
        <v>320.24200483294322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2.8221074276398901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2.8221074276398901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5.6843418860808015E-14</v>
      </c>
      <c r="CU92" s="18">
        <f>CT92*VLOOKUP('Données projet'!$B$13,Paramètres!$A$1:$I$89,3,0)*VLOOKUP('Données projet'!$B$13,Paramètres!$A$1:$I$89,5,0)</f>
        <v>4.4337866711430253E-14</v>
      </c>
      <c r="CV92" s="14">
        <f t="shared" si="95"/>
        <v>7.3222115536967035E-13</v>
      </c>
      <c r="CW92" s="22">
        <f t="shared" si="67"/>
        <v>1.3525069634579169E-12</v>
      </c>
      <c r="CX92" s="62">
        <f t="shared" si="68"/>
        <v>293.33333333333468</v>
      </c>
      <c r="CY92" s="62">
        <f ca="1">AVERAGE(OFFSET($CX$3,0,0,'Données projet'!$E$13+1,1))-AVERAGE(OFFSET($H$3,0,0,'Données projet'!$E$13+1,1))</f>
        <v>288.82868507674738</v>
      </c>
      <c r="CZ92" s="62">
        <f t="shared" si="96"/>
        <v>283.48738729114024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3.1732447723276076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3.1732447723276076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6.4</v>
      </c>
      <c r="DO92" s="13">
        <f>IF('Données projet'!$A$166&gt;35,DO91+DN92-DW91,IF(A92&lt;'Données projet'!$A$166,$DL$205^A92,IF(A92='Données projet'!$A$166,'Données projet'!$B$166,DO91+DN92-DW91)))</f>
        <v>323.59999999999997</v>
      </c>
      <c r="DP92" s="18">
        <f>DO92*VLOOKUP('Données projet'!$B$14,Paramètres!$A$1:$I$89,3,0)*VLOOKUP('Données projet'!$B$14,Paramètres!$A$1:$I$89,5,0)</f>
        <v>328.13039999999995</v>
      </c>
      <c r="DQ92" s="14">
        <f t="shared" si="97"/>
        <v>77.042563313388285</v>
      </c>
      <c r="DR92" s="22">
        <f t="shared" si="70"/>
        <v>705.67624443748446</v>
      </c>
      <c r="DS92" s="62">
        <f t="shared" si="71"/>
        <v>999.00957777081771</v>
      </c>
      <c r="DT92" s="62">
        <f ca="1">AVERAGE(OFFSET($DS$3,0,0,'Données projet'!$E$14+1,1))-AVERAGE(OFFSET($H$3,0,0,'Données projet'!$E$14+1,1))</f>
        <v>487.04124684635974</v>
      </c>
      <c r="DU92" s="62">
        <f t="shared" si="98"/>
        <v>306.61893266146666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3.8061648802573322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3.8061648802573322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6.4</v>
      </c>
      <c r="EJ92" s="13">
        <f>IF('Données projet'!$A$192&gt;35,EJ91+EI92-ER91,IF(A92&lt;'Données projet'!$A$192,$EG$205^A92,IF(A92='Données projet'!$A$192,'Données projet'!$B$192,EJ91+EI92-ER91)))</f>
        <v>323.59999999999997</v>
      </c>
      <c r="EK92" s="18">
        <f>EJ92*VLOOKUP('Données projet'!$B$15,Paramètres!$A$1:$I$89,3,0)*VLOOKUP('Données projet'!$B$15,Paramètres!$A$1:$I$89,5,0)</f>
        <v>307.93775999999997</v>
      </c>
      <c r="EL92" s="14">
        <f t="shared" si="99"/>
        <v>72.837985221060251</v>
      </c>
      <c r="EM92" s="22">
        <f t="shared" si="73"/>
        <v>663.18442292667987</v>
      </c>
      <c r="EN92" s="62">
        <f t="shared" si="74"/>
        <v>956.51775626001313</v>
      </c>
      <c r="EO92" s="62">
        <f ca="1">AVERAGE(OFFSET($EN$3,0,0,'Données projet'!$E$15+1,1))-AVERAGE(OFFSET($H$3,0,0,'Données projet'!$E$15+1,1))</f>
        <v>459.64120566196812</v>
      </c>
      <c r="EP92" s="62">
        <f t="shared" si="100"/>
        <v>290.39826583283588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3.5719393491645719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3.5719393491645719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6.4</v>
      </c>
      <c r="FE92" s="13">
        <f>IF('Données projet'!$A$218&gt;35,FE91+FD92-FM91,IF(A92&lt;'Données projet'!$A$218,$FB$205^A92,IF(A92='Données projet'!$A$218,'Données projet'!$B$218,FE91+FD92-FM91)))</f>
        <v>323.59999999999997</v>
      </c>
      <c r="FF92" s="18">
        <f>FE92*VLOOKUP('Données projet'!$B$16,Paramètres!$A$1:$I$89,3,0)*VLOOKUP('Données projet'!$B$16,Paramètres!$A$1:$I$89,5,0)</f>
        <v>217.07087999999999</v>
      </c>
      <c r="FG92" s="14">
        <f t="shared" si="101"/>
        <v>53.477760184148146</v>
      </c>
      <c r="FH92" s="22">
        <f t="shared" si="76"/>
        <v>471.20554832072474</v>
      </c>
      <c r="FI92" s="62">
        <f t="shared" si="77"/>
        <v>764.53888165405806</v>
      </c>
      <c r="FJ92" s="62">
        <f ca="1">AVERAGE(OFFSET($FI$3,0,0,'Données projet'!$E$16+1,1))-AVERAGE(OFFSET($H$3,0,0,'Données projet'!$E$16+1,1))</f>
        <v>335.83558218229564</v>
      </c>
      <c r="FK92" s="62">
        <f t="shared" si="102"/>
        <v>217.08423061559648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0</v>
      </c>
      <c r="FR92" s="23">
        <f>EXP(-LN(2)/25)*FR91+(1-EXP(-LN(2)/25))/(LN(2)/25)*Calculateur!FM92*Calculateur!FO92*VLOOKUP('Données projet'!$B$16,Paramètres!$A$1:$I$89,3,0)*0.475*44/12</f>
        <v>1.6252075232692667</v>
      </c>
      <c r="FS92" s="23">
        <f>EXP(-LN(2)/2)*FS91+(1-EXP(-LN(2)/2))/(LN(2)/2)*FM92*FP92*VLOOKUP('Données projet'!$B$16,Paramètres!$A$1:$I$89,3,0)*0.475*44/12</f>
        <v>1.4558836514470324E-8</v>
      </c>
      <c r="FT92" s="24">
        <f t="shared" si="78"/>
        <v>1.6252075378281032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1.9895196601282805E-13</v>
      </c>
      <c r="O93" s="14">
        <f>N93*VLOOKUP('Données projet'!$B$9,Paramètres!$A$1:$I$89,3,0)*VLOOKUP('Données projet'!$B$9,Paramètres!$A$1:$I$89,5,0)</f>
        <v>1.738044375088066E-13</v>
      </c>
      <c r="P93" s="14">
        <f t="shared" si="87"/>
        <v>2.4483293633950478E-12</v>
      </c>
      <c r="Q93" s="22">
        <f t="shared" si="54"/>
        <v>4.566883036574213E-12</v>
      </c>
      <c r="R93" s="62">
        <f t="shared" si="55"/>
        <v>293.33333333333786</v>
      </c>
      <c r="S93" s="62">
        <f ca="1">AVERAGE(OFFSET($R$3,0,0,'Données projet'!$E$9+1,1))-AVERAGE(OFFSET($H$3,0,0,'Données projet'!$E$9+1,1))</f>
        <v>321.23599968992932</v>
      </c>
      <c r="T93" s="62">
        <f t="shared" si="88"/>
        <v>388.05195847800502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4.8467979946447937</v>
      </c>
      <c r="AB93" s="23">
        <f>EXP(-LN(2)/2)*AB92+(1-EXP(-LN(2)/2))/(LN(2)/2)*V93*Y93*VLOOKUP('Données projet'!$B$9,Paramètres!$A$1:$I$89,3,0)*0.475*44/12</f>
        <v>1.7012011336771903E-8</v>
      </c>
      <c r="AC93" s="24">
        <f t="shared" si="57"/>
        <v>4.846798011656805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330</v>
      </c>
      <c r="AG93" s="13">
        <f>VLOOKUP(A93,'Données projet'!$A$61:$I$81,9,0)</f>
        <v>6.4</v>
      </c>
      <c r="AH93" s="13">
        <f t="array" ref="AH93">INDEX(AG:AG,MIN(IF(ISNUMBER(AG93:AG289),ROW(AG93:AG289),"")))</f>
        <v>6.4</v>
      </c>
      <c r="AI93" s="14">
        <f>IF('Données projet'!$A$62&gt;35,AI92+AH93-AQ92,IF(A93&lt;'Données projet'!$A$62,$AF$205^A93,IF(A93='Données projet'!$A$62,'Données projet'!$B$62,AI92+AH93-AQ92)))</f>
        <v>329.99999999999994</v>
      </c>
      <c r="AJ93" s="14">
        <f>AI93*VLOOKUP('Données projet'!$B$10,Paramètres!$A$1:$I$89,3,0)*VLOOKUP('Données projet'!$B$10,Paramètres!$A$1:$I$89,5,0)</f>
        <v>298.58399999999995</v>
      </c>
      <c r="AK93" s="14">
        <f t="shared" si="89"/>
        <v>70.879533797607607</v>
      </c>
      <c r="AL93" s="22">
        <f t="shared" si="58"/>
        <v>643.48232136416652</v>
      </c>
      <c r="AM93" s="62">
        <f t="shared" si="59"/>
        <v>936.81565469749989</v>
      </c>
      <c r="AN93" s="62">
        <f ca="1">AVERAGE(OFFSET($AM$3,0,0,'Données projet'!$E$10+1,1))-AVERAGE(OFFSET($H$3,0,0,'Données projet'!$E$10+1,1))</f>
        <v>439.19854273764042</v>
      </c>
      <c r="AO93" s="62">
        <f t="shared" si="90"/>
        <v>278.21741231699929</v>
      </c>
      <c r="AP93" s="16">
        <f>IF(ISNA(VLOOKUP(A93,'Données projet'!$A$61:$I$81,3,0)),0,VLOOKUP(A93,'Données projet'!$A$61:$I$81,3,0))</f>
        <v>15</v>
      </c>
      <c r="AQ93" s="16">
        <f>IF(ISNA(VLOOKUP(A93,'Données projet'!$A$61:$I$81,4,0)),0,VLOOKUP(A93,'Données projet'!$A$61:$I$81,4,0))</f>
        <v>28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1.7298950190304168</v>
      </c>
      <c r="AW93" s="23">
        <f>EXP(-LN(2)/2)*AW92+(1-EXP(-LN(2)/2))/(LN(2)/2)*AQ93*AT93*VLOOKUP('Données projet'!$B$10,Paramètres!$A$1:$I$89,3,0)*0.475*44/12</f>
        <v>1.3885809708906019E-8</v>
      </c>
      <c r="AX93" s="23">
        <f t="shared" si="60"/>
        <v>1.7298950329162264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-2.8421709430404007E-13</v>
      </c>
      <c r="BE93" s="14">
        <f>BD93*VLOOKUP('Données projet'!$B$11,Paramètres!$A$1:$I$89,3,0)*VLOOKUP('Données projet'!$B$11,Paramètres!$A$1:$I$89,5,0)</f>
        <v>-2.2612312022829427E-13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352.88510024787888</v>
      </c>
      <c r="BJ93" s="62">
        <f t="shared" si="92"/>
        <v>343.77208530767069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2.3286498267890918</v>
      </c>
      <c r="BR93" s="23">
        <f>EXP(-LN(2)/2)*BR92+(1-EXP(-LN(2)/2))/(LN(2)/2)*BL93*BO93*VLOOKUP('Données projet'!$B$11,Paramètres!$A$1:$I$89,3,0)*0.475*44/12</f>
        <v>3.6765692094570741E-10</v>
      </c>
      <c r="BS93" s="24">
        <f t="shared" si="63"/>
        <v>2.3286498271567488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-2.8421709430404007E-13</v>
      </c>
      <c r="BZ93" s="14">
        <f>BY93*VLOOKUP('Données projet'!$B$12,Paramètres!$A$1:$I$89,3,0)*VLOOKUP('Données projet'!$B$12,Paramètres!$A$1:$I$89,5,0)</f>
        <v>-2.0838797354372215E-13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328.10411227536315</v>
      </c>
      <c r="CE93" s="62">
        <f t="shared" si="94"/>
        <v>320.24200483294322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2.7667676222994371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2.7667676222994371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5.6843418860808015E-14</v>
      </c>
      <c r="CU93" s="18">
        <f>CT93*VLOOKUP('Données projet'!$B$13,Paramètres!$A$1:$I$89,3,0)*VLOOKUP('Données projet'!$B$13,Paramètres!$A$1:$I$89,5,0)</f>
        <v>4.4337866711430253E-14</v>
      </c>
      <c r="CV93" s="14">
        <f t="shared" si="95"/>
        <v>7.3222115536967035E-13</v>
      </c>
      <c r="CW93" s="22">
        <f t="shared" si="67"/>
        <v>1.3525069634579169E-12</v>
      </c>
      <c r="CX93" s="62">
        <f t="shared" si="68"/>
        <v>293.33333333333468</v>
      </c>
      <c r="CY93" s="62">
        <f ca="1">AVERAGE(OFFSET($CX$3,0,0,'Données projet'!$E$13+1,1))-AVERAGE(OFFSET($H$3,0,0,'Données projet'!$E$13+1,1))</f>
        <v>288.82868507674738</v>
      </c>
      <c r="CZ93" s="62">
        <f t="shared" si="96"/>
        <v>283.48738729114024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3.1110193778304609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3.1110193778304609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330</v>
      </c>
      <c r="DM93" s="13">
        <f>VLOOKUP(A93,'Données projet'!$A$165:$I$185,9,0)</f>
        <v>6.4</v>
      </c>
      <c r="DN93" s="13">
        <f t="array" ref="DN93">INDEX(DM:DM,MIN(IF(ISNUMBER(DM93:DM289),ROW(DM93:DM289),"")))</f>
        <v>6.4</v>
      </c>
      <c r="DO93" s="13">
        <f>IF('Données projet'!$A$166&gt;35,DO92+DN93-DW92,IF(A93&lt;'Données projet'!$A$166,$DL$205^A93,IF(A93='Données projet'!$A$166,'Données projet'!$B$166,DO92+DN93-DW92)))</f>
        <v>329.99999999999994</v>
      </c>
      <c r="DP93" s="18">
        <f>DO93*VLOOKUP('Données projet'!$B$14,Paramètres!$A$1:$I$89,3,0)*VLOOKUP('Données projet'!$B$14,Paramètres!$A$1:$I$89,5,0)</f>
        <v>334.61999999999995</v>
      </c>
      <c r="DQ93" s="14">
        <f t="shared" si="97"/>
        <v>78.387374628661505</v>
      </c>
      <c r="DR93" s="22">
        <f t="shared" si="70"/>
        <v>719.32117747825203</v>
      </c>
      <c r="DS93" s="62">
        <f t="shared" si="71"/>
        <v>1012.6545108115854</v>
      </c>
      <c r="DT93" s="62">
        <f ca="1">AVERAGE(OFFSET($DS$3,0,0,'Données projet'!$E$14+1,1))-AVERAGE(OFFSET($H$3,0,0,'Données projet'!$E$14+1,1))</f>
        <v>487.04124684635974</v>
      </c>
      <c r="DU93" s="62">
        <f t="shared" si="98"/>
        <v>306.61893266146666</v>
      </c>
      <c r="DV93" s="16">
        <f>IF(ISNA(VLOOKUP(A93,'Données projet'!$A$165:$I$185,3,0)),0,VLOOKUP(A93,'Données projet'!$A$165:$I$185,3,0))</f>
        <v>15</v>
      </c>
      <c r="DW93" s="16">
        <f>IF(ISNA(VLOOKUP(A93,'Données projet'!$A$165:$I$185,4,0)),0,VLOOKUP(A93,'Données projet'!$A$165:$I$185,4,0))</f>
        <v>28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3.7315283084868307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3.7315283084868307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>
        <f>VLOOKUP(A93,'Données projet'!$A$191:$I$211,2,0)</f>
        <v>330</v>
      </c>
      <c r="EH93" s="13">
        <f>VLOOKUP(A93,'Données projet'!$A$191:$I$211,9,0)</f>
        <v>6.4</v>
      </c>
      <c r="EI93" s="13">
        <f t="array" ref="EI93">INDEX(EH:EH,MIN(IF(ISNUMBER(EH93:EH289),ROW(EH93:EH289),"")))</f>
        <v>6.4</v>
      </c>
      <c r="EJ93" s="13">
        <f>IF('Données projet'!$A$192&gt;35,EJ92+EI93-ER92,IF(A93&lt;'Données projet'!$A$192,$EG$205^A93,IF(A93='Données projet'!$A$192,'Données projet'!$B$192,EJ92+EI93-ER92)))</f>
        <v>329.99999999999994</v>
      </c>
      <c r="EK93" s="18">
        <f>EJ93*VLOOKUP('Données projet'!$B$15,Paramètres!$A$1:$I$89,3,0)*VLOOKUP('Données projet'!$B$15,Paramètres!$A$1:$I$89,5,0)</f>
        <v>314.02799999999996</v>
      </c>
      <c r="EL93" s="14">
        <f t="shared" si="99"/>
        <v>74.109403804428752</v>
      </c>
      <c r="EM93" s="22">
        <f t="shared" si="73"/>
        <v>676.00597829271317</v>
      </c>
      <c r="EN93" s="62">
        <f t="shared" si="74"/>
        <v>969.33931162604654</v>
      </c>
      <c r="EO93" s="62">
        <f ca="1">AVERAGE(OFFSET($EN$3,0,0,'Données projet'!$E$15+1,1))-AVERAGE(OFFSET($H$3,0,0,'Données projet'!$E$15+1,1))</f>
        <v>459.64120566196812</v>
      </c>
      <c r="EP93" s="62">
        <f t="shared" si="100"/>
        <v>290.39826583283588</v>
      </c>
      <c r="EQ93" s="16">
        <f>IF(ISNA(VLOOKUP(A93,'Données projet'!$A$191:$I$211,3,0)),0,VLOOKUP(A93,'Données projet'!$A$191:$I$211,3,0))</f>
        <v>15</v>
      </c>
      <c r="ER93" s="16">
        <f>IF(ISNA(VLOOKUP(A93,'Données projet'!$A$191:$I$211,4,0)),0,VLOOKUP(A93,'Données projet'!$A$191:$I$211,4,0))</f>
        <v>28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3.5018957971953322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3.5018957971953322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>
        <f>VLOOKUP(A93,'Données projet'!$A$217:$I$237,2,0)</f>
        <v>330</v>
      </c>
      <c r="FC93" s="13">
        <f>VLOOKUP(A93,'Données projet'!$A$217:$I$237,9,0)</f>
        <v>6.4</v>
      </c>
      <c r="FD93" s="13">
        <f t="array" ref="FD93">INDEX(FC:FC,MIN(IF(ISNUMBER(FC93:FC289),ROW(FC93:FC289),"")))</f>
        <v>6.4</v>
      </c>
      <c r="FE93" s="13">
        <f>IF('Données projet'!$A$218&gt;35,FE92+FD93-FM92,IF(A93&lt;'Données projet'!$A$218,$FB$205^A93,IF(A93='Données projet'!$A$218,'Données projet'!$B$218,FE92+FD93-FM92)))</f>
        <v>329.99999999999994</v>
      </c>
      <c r="FF93" s="18">
        <f>FE93*VLOOKUP('Données projet'!$B$16,Paramètres!$A$1:$I$89,3,0)*VLOOKUP('Données projet'!$B$16,Paramètres!$A$1:$I$89,5,0)</f>
        <v>221.36399999999998</v>
      </c>
      <c r="FG93" s="14">
        <f t="shared" si="101"/>
        <v>54.411237653200793</v>
      </c>
      <c r="FH93" s="22">
        <f t="shared" si="76"/>
        <v>480.30853891265798</v>
      </c>
      <c r="FI93" s="62">
        <f t="shared" si="77"/>
        <v>773.64187224599129</v>
      </c>
      <c r="FJ93" s="62">
        <f ca="1">AVERAGE(OFFSET($FI$3,0,0,'Données projet'!$E$16+1,1))-AVERAGE(OFFSET($H$3,0,0,'Données projet'!$E$16+1,1))</f>
        <v>335.83558218229564</v>
      </c>
      <c r="FK93" s="62">
        <f t="shared" si="102"/>
        <v>217.08423061559648</v>
      </c>
      <c r="FL93" s="16">
        <f>IF(ISNA(VLOOKUP(A93,'Données projet'!$A$217:$I$237,3,0)),0,VLOOKUP(A93,'Données projet'!$A$217:$I$237,3,0))</f>
        <v>15</v>
      </c>
      <c r="FM93" s="16">
        <f>IF(ISNA(VLOOKUP(A93,'Données projet'!$A$217:$I$237,4,0)),0,VLOOKUP(A93,'Données projet'!$A$217:$I$237,4,0))</f>
        <v>28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0</v>
      </c>
      <c r="FR93" s="23">
        <f>EXP(-LN(2)/25)*FR92+(1-EXP(-LN(2)/25))/(LN(2)/25)*Calculateur!FM93*Calculateur!FO93*VLOOKUP('Données projet'!$B$16,Paramètres!$A$1:$I$89,3,0)*0.475*44/12</f>
        <v>1.5807661380795193</v>
      </c>
      <c r="FS93" s="23">
        <f>EXP(-LN(2)/2)*FS92+(1-EXP(-LN(2)/2))/(LN(2)/2)*FM93*FP93*VLOOKUP('Données projet'!$B$16,Paramètres!$A$1:$I$89,3,0)*0.475*44/12</f>
        <v>1.0294652025568287E-8</v>
      </c>
      <c r="FT93" s="24">
        <f t="shared" si="78"/>
        <v>1.5807661483741713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1.9895196601282805E-13</v>
      </c>
      <c r="O94" s="14">
        <f>N94*VLOOKUP('Données projet'!$B$9,Paramètres!$A$1:$I$89,3,0)*VLOOKUP('Données projet'!$B$9,Paramètres!$A$1:$I$89,5,0)</f>
        <v>1.738044375088066E-13</v>
      </c>
      <c r="P94" s="14">
        <f t="shared" si="87"/>
        <v>2.4483293633950478E-12</v>
      </c>
      <c r="Q94" s="22">
        <f t="shared" si="54"/>
        <v>4.566883036574213E-12</v>
      </c>
      <c r="R94" s="62">
        <f t="shared" si="55"/>
        <v>293.33333333333786</v>
      </c>
      <c r="S94" s="62">
        <f ca="1">AVERAGE(OFFSET($R$3,0,0,'Données projet'!$E$9+1,1))-AVERAGE(OFFSET($H$3,0,0,'Données projet'!$E$9+1,1))</f>
        <v>321.23599968992932</v>
      </c>
      <c r="T94" s="62">
        <f t="shared" si="88"/>
        <v>388.05195847800502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4.7142620485992026</v>
      </c>
      <c r="AB94" s="23">
        <f>EXP(-LN(2)/2)*AB93+(1-EXP(-LN(2)/2))/(LN(2)/2)*V94*Y94*VLOOKUP('Données projet'!$B$9,Paramètres!$A$1:$I$89,3,0)*0.475*44/12</f>
        <v>1.2029308577853836E-8</v>
      </c>
      <c r="AC94" s="24">
        <f t="shared" si="57"/>
        <v>4.7142620606285108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6.2</v>
      </c>
      <c r="AI94" s="14">
        <f>IF('Données projet'!$A$62&gt;35,AI93+AH94-AQ93,IF(A94&lt;'Données projet'!$A$62,$AF$205^A94,IF(A94='Données projet'!$A$62,'Données projet'!$B$62,AI93+AH94-AQ93)))</f>
        <v>308.19999999999993</v>
      </c>
      <c r="AJ94" s="14">
        <f>AI94*VLOOKUP('Données projet'!$B$10,Paramètres!$A$1:$I$89,3,0)*VLOOKUP('Données projet'!$B$10,Paramètres!$A$1:$I$89,5,0)</f>
        <v>278.85935999999992</v>
      </c>
      <c r="AK94" s="14">
        <f t="shared" si="89"/>
        <v>66.725901622172387</v>
      </c>
      <c r="AL94" s="22">
        <f t="shared" si="58"/>
        <v>601.8943306586167</v>
      </c>
      <c r="AM94" s="62">
        <f t="shared" si="59"/>
        <v>895.22766399195007</v>
      </c>
      <c r="AN94" s="62">
        <f ca="1">AVERAGE(OFFSET($AM$3,0,0,'Données projet'!$E$10+1,1))-AVERAGE(OFFSET($H$3,0,0,'Données projet'!$E$10+1,1))</f>
        <v>439.19854273764042</v>
      </c>
      <c r="AO94" s="62">
        <f t="shared" si="90"/>
        <v>278.21741231699929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1.6825909487638047</v>
      </c>
      <c r="AW94" s="23">
        <f>EXP(-LN(2)/2)*AW93+(1-EXP(-LN(2)/2))/(LN(2)/2)*AQ94*AT94*VLOOKUP('Données projet'!$B$10,Paramètres!$A$1:$I$89,3,0)*0.475*44/12</f>
        <v>9.8187502074334452E-9</v>
      </c>
      <c r="AX94" s="23">
        <f t="shared" si="60"/>
        <v>1.6825909585825549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-2.8421709430404007E-13</v>
      </c>
      <c r="BE94" s="14">
        <f>BD94*VLOOKUP('Données projet'!$B$11,Paramètres!$A$1:$I$89,3,0)*VLOOKUP('Données projet'!$B$11,Paramètres!$A$1:$I$89,5,0)</f>
        <v>-2.2612312022829427E-13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352.88510024787888</v>
      </c>
      <c r="BJ94" s="62">
        <f t="shared" si="92"/>
        <v>343.77208530767069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2.264972774817172</v>
      </c>
      <c r="BR94" s="23">
        <f>EXP(-LN(2)/2)*BR93+(1-EXP(-LN(2)/2))/(LN(2)/2)*BL94*BO94*VLOOKUP('Données projet'!$B$11,Paramètres!$A$1:$I$89,3,0)*0.475*44/12</f>
        <v>2.5997270195087613E-10</v>
      </c>
      <c r="BS94" s="24">
        <f t="shared" si="63"/>
        <v>2.2649727750771445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-2.8421709430404007E-13</v>
      </c>
      <c r="BZ94" s="14">
        <f>BY94*VLOOKUP('Données projet'!$B$12,Paramètres!$A$1:$I$89,3,0)*VLOOKUP('Données projet'!$B$12,Paramètres!$A$1:$I$89,5,0)</f>
        <v>-2.0838797354372215E-13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328.10411227536315</v>
      </c>
      <c r="CE94" s="62">
        <f t="shared" si="94"/>
        <v>320.24200483294322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2.7125129967877619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2.7125129967877619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5.6843418860808015E-14</v>
      </c>
      <c r="CU94" s="18">
        <f>CT94*VLOOKUP('Données projet'!$B$13,Paramètres!$A$1:$I$89,3,0)*VLOOKUP('Données projet'!$B$13,Paramètres!$A$1:$I$89,5,0)</f>
        <v>4.4337866711430253E-14</v>
      </c>
      <c r="CV94" s="14">
        <f t="shared" si="95"/>
        <v>7.3222115536967035E-13</v>
      </c>
      <c r="CW94" s="22">
        <f t="shared" si="67"/>
        <v>1.3525069634579169E-12</v>
      </c>
      <c r="CX94" s="62">
        <f t="shared" si="68"/>
        <v>293.33333333333468</v>
      </c>
      <c r="CY94" s="62">
        <f ca="1">AVERAGE(OFFSET($CX$3,0,0,'Données projet'!$E$13+1,1))-AVERAGE(OFFSET($H$3,0,0,'Données projet'!$E$13+1,1))</f>
        <v>288.82868507674738</v>
      </c>
      <c r="CZ94" s="62">
        <f t="shared" si="96"/>
        <v>283.48738729114024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3.0500141853656602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3.0500141853656602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6</v>
      </c>
      <c r="DO94" s="13">
        <f>IF('Données projet'!$A$166&gt;35,DO93+DN94-DW93,IF(A94&lt;'Données projet'!$A$166,$DL$205^A94,IF(A94='Données projet'!$A$166,'Données projet'!$B$166,DO93+DN94-DW93)))</f>
        <v>307.99999999999994</v>
      </c>
      <c r="DP94" s="18">
        <f>DO94*VLOOKUP('Données projet'!$B$14,Paramètres!$A$1:$I$89,3,0)*VLOOKUP('Données projet'!$B$14,Paramètres!$A$1:$I$89,5,0)</f>
        <v>312.31199999999995</v>
      </c>
      <c r="DQ94" s="14">
        <f t="shared" si="97"/>
        <v>73.751458791112015</v>
      </c>
      <c r="DR94" s="22">
        <f t="shared" si="70"/>
        <v>672.39385739452007</v>
      </c>
      <c r="DS94" s="62">
        <f t="shared" si="71"/>
        <v>965.72719072785344</v>
      </c>
      <c r="DT94" s="62">
        <f ca="1">AVERAGE(OFFSET($DS$3,0,0,'Données projet'!$E$14+1,1))-AVERAGE(OFFSET($H$3,0,0,'Données projet'!$E$14+1,1))</f>
        <v>487.04124684635974</v>
      </c>
      <c r="DU94" s="62">
        <f t="shared" si="98"/>
        <v>306.61893266146666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3.6583553143649352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3.6583553143649352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6</v>
      </c>
      <c r="EJ94" s="13">
        <f>IF('Données projet'!$A$192&gt;35,EJ93+EI94-ER93,IF(A94&lt;'Données projet'!$A$192,$EG$205^A94,IF(A94='Données projet'!$A$192,'Données projet'!$B$192,EJ93+EI94-ER93)))</f>
        <v>307.99999999999994</v>
      </c>
      <c r="EK94" s="18">
        <f>EJ94*VLOOKUP('Données projet'!$B$15,Paramètres!$A$1:$I$89,3,0)*VLOOKUP('Données projet'!$B$15,Paramètres!$A$1:$I$89,5,0)</f>
        <v>293.09279999999995</v>
      </c>
      <c r="EL94" s="14">
        <f t="shared" si="99"/>
        <v>69.726491882249377</v>
      </c>
      <c r="EM94" s="22">
        <f t="shared" si="73"/>
        <v>631.9102666949176</v>
      </c>
      <c r="EN94" s="62">
        <f t="shared" si="74"/>
        <v>925.24360002825097</v>
      </c>
      <c r="EO94" s="62">
        <f ca="1">AVERAGE(OFFSET($EN$3,0,0,'Données projet'!$E$15+1,1))-AVERAGE(OFFSET($H$3,0,0,'Données projet'!$E$15+1,1))</f>
        <v>459.64120566196812</v>
      </c>
      <c r="EP94" s="62">
        <f t="shared" si="100"/>
        <v>290.39826583283588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3.433225756557861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3.433225756557861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6</v>
      </c>
      <c r="FE94" s="13">
        <f>IF('Données projet'!$A$218&gt;35,FE93+FD94-FM93,IF(A94&lt;'Données projet'!$A$218,$FB$205^A94,IF(A94='Données projet'!$A$218,'Données projet'!$B$218,FE93+FD94-FM93)))</f>
        <v>307.99999999999994</v>
      </c>
      <c r="FF94" s="18">
        <f>FE94*VLOOKUP('Données projet'!$B$16,Paramètres!$A$1:$I$89,3,0)*VLOOKUP('Données projet'!$B$16,Paramètres!$A$1:$I$89,5,0)</f>
        <v>206.60639999999995</v>
      </c>
      <c r="FG94" s="14">
        <f t="shared" si="101"/>
        <v>51.193297014519018</v>
      </c>
      <c r="FH94" s="22">
        <f t="shared" si="76"/>
        <v>449.00113896695387</v>
      </c>
      <c r="FI94" s="62">
        <f t="shared" si="77"/>
        <v>742.33447230028719</v>
      </c>
      <c r="FJ94" s="62">
        <f ca="1">AVERAGE(OFFSET($FI$3,0,0,'Données projet'!$E$16+1,1))-AVERAGE(OFFSET($H$3,0,0,'Données projet'!$E$16+1,1))</f>
        <v>335.83558218229564</v>
      </c>
      <c r="FK94" s="62">
        <f t="shared" si="102"/>
        <v>217.08423061559648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0</v>
      </c>
      <c r="FR94" s="23">
        <f>EXP(-LN(2)/25)*FR93+(1-EXP(-LN(2)/25))/(LN(2)/25)*Calculateur!FM94*Calculateur!FO94*VLOOKUP('Données projet'!$B$16,Paramètres!$A$1:$I$89,3,0)*0.475*44/12</f>
        <v>1.5375400049048564</v>
      </c>
      <c r="FS94" s="23">
        <f>EXP(-LN(2)/2)*FS93+(1-EXP(-LN(2)/2))/(LN(2)/2)*FM94*FP94*VLOOKUP('Données projet'!$B$16,Paramètres!$A$1:$I$89,3,0)*0.475*44/12</f>
        <v>7.2794182572351639E-9</v>
      </c>
      <c r="FT94" s="24">
        <f t="shared" si="78"/>
        <v>1.5375400121842746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1.9895196601282805E-13</v>
      </c>
      <c r="O95" s="14">
        <f>N95*VLOOKUP('Données projet'!$B$9,Paramètres!$A$1:$I$89,3,0)*VLOOKUP('Données projet'!$B$9,Paramètres!$A$1:$I$89,5,0)</f>
        <v>1.738044375088066E-13</v>
      </c>
      <c r="P95" s="14">
        <f t="shared" si="87"/>
        <v>2.4483293633950478E-12</v>
      </c>
      <c r="Q95" s="22">
        <f t="shared" si="54"/>
        <v>4.566883036574213E-12</v>
      </c>
      <c r="R95" s="62">
        <f t="shared" si="55"/>
        <v>293.33333333333786</v>
      </c>
      <c r="S95" s="62">
        <f ca="1">AVERAGE(OFFSET($R$3,0,0,'Données projet'!$E$9+1,1))-AVERAGE(OFFSET($H$3,0,0,'Données projet'!$E$9+1,1))</f>
        <v>321.23599968992932</v>
      </c>
      <c r="T95" s="62">
        <f t="shared" si="88"/>
        <v>388.05195847800502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4.5853503049679905</v>
      </c>
      <c r="AB95" s="23">
        <f>EXP(-LN(2)/2)*AB94+(1-EXP(-LN(2)/2))/(LN(2)/2)*V95*Y95*VLOOKUP('Données projet'!$B$9,Paramètres!$A$1:$I$89,3,0)*0.475*44/12</f>
        <v>8.5060056683859514E-9</v>
      </c>
      <c r="AC95" s="24">
        <f t="shared" si="57"/>
        <v>4.5853503134739961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6.2</v>
      </c>
      <c r="AI95" s="14">
        <f>IF('Données projet'!$A$62&gt;35,AI94+AH95-AQ94,IF(A95&lt;'Données projet'!$A$62,$AF$205^A95,IF(A95='Données projet'!$A$62,'Données projet'!$B$62,AI94+AH95-AQ94)))</f>
        <v>314.39999999999992</v>
      </c>
      <c r="AJ95" s="14">
        <f>AI95*VLOOKUP('Données projet'!$B$10,Paramètres!$A$1:$I$89,3,0)*VLOOKUP('Données projet'!$B$10,Paramètres!$A$1:$I$89,5,0)</f>
        <v>284.46911999999992</v>
      </c>
      <c r="AK95" s="14">
        <f t="shared" si="89"/>
        <v>67.91059023737904</v>
      </c>
      <c r="AL95" s="22">
        <f t="shared" si="58"/>
        <v>613.72799533010163</v>
      </c>
      <c r="AM95" s="62">
        <f t="shared" si="59"/>
        <v>907.06132866343501</v>
      </c>
      <c r="AN95" s="62">
        <f ca="1">AVERAGE(OFFSET($AM$3,0,0,'Données projet'!$E$10+1,1))-AVERAGE(OFFSET($H$3,0,0,'Données projet'!$E$10+1,1))</f>
        <v>439.19854273764042</v>
      </c>
      <c r="AO95" s="62">
        <f t="shared" si="90"/>
        <v>278.21741231699929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1.6365804107862461</v>
      </c>
      <c r="AW95" s="23">
        <f>EXP(-LN(2)/2)*AW94+(1-EXP(-LN(2)/2))/(LN(2)/2)*AQ95*AT95*VLOOKUP('Données projet'!$B$10,Paramètres!$A$1:$I$89,3,0)*0.475*44/12</f>
        <v>6.9429048544530093E-9</v>
      </c>
      <c r="AX95" s="23">
        <f t="shared" si="60"/>
        <v>1.636580417729151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-2.8421709430404007E-13</v>
      </c>
      <c r="BE95" s="14">
        <f>BD95*VLOOKUP('Données projet'!$B$11,Paramètres!$A$1:$I$89,3,0)*VLOOKUP('Données projet'!$B$11,Paramètres!$A$1:$I$89,5,0)</f>
        <v>-2.2612312022829427E-13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352.88510024787888</v>
      </c>
      <c r="BJ95" s="62">
        <f t="shared" si="92"/>
        <v>343.77208530767069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2.2030369751800549</v>
      </c>
      <c r="BR95" s="23">
        <f>EXP(-LN(2)/2)*BR94+(1-EXP(-LN(2)/2))/(LN(2)/2)*BL95*BO95*VLOOKUP('Données projet'!$B$11,Paramètres!$A$1:$I$89,3,0)*0.475*44/12</f>
        <v>1.838284604728537E-10</v>
      </c>
      <c r="BS95" s="24">
        <f t="shared" si="63"/>
        <v>2.2030369753638834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-2.8421709430404007E-13</v>
      </c>
      <c r="BZ95" s="14">
        <f>BY95*VLOOKUP('Données projet'!$B$12,Paramètres!$A$1:$I$89,3,0)*VLOOKUP('Données projet'!$B$12,Paramètres!$A$1:$I$89,5,0)</f>
        <v>-2.0838797354372215E-13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328.10411227536315</v>
      </c>
      <c r="CE95" s="62">
        <f t="shared" si="94"/>
        <v>320.24200483294322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2.6593222713903168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2.6593222713903168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5.6843418860808015E-14</v>
      </c>
      <c r="CU95" s="18">
        <f>CT95*VLOOKUP('Données projet'!$B$13,Paramètres!$A$1:$I$89,3,0)*VLOOKUP('Données projet'!$B$13,Paramètres!$A$1:$I$89,5,0)</f>
        <v>4.4337866711430253E-14</v>
      </c>
      <c r="CV95" s="14">
        <f t="shared" si="95"/>
        <v>7.3222115536967035E-13</v>
      </c>
      <c r="CW95" s="22">
        <f t="shared" si="67"/>
        <v>1.3525069634579169E-12</v>
      </c>
      <c r="CX95" s="62">
        <f t="shared" si="68"/>
        <v>293.33333333333468</v>
      </c>
      <c r="CY95" s="62">
        <f ca="1">AVERAGE(OFFSET($CX$3,0,0,'Données projet'!$E$13+1,1))-AVERAGE(OFFSET($H$3,0,0,'Données projet'!$E$13+1,1))</f>
        <v>288.82868507674738</v>
      </c>
      <c r="CZ95" s="62">
        <f t="shared" si="96"/>
        <v>283.48738729114024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2.9902052675156008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2.9902052675156008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6</v>
      </c>
      <c r="DO95" s="13">
        <f>IF('Données projet'!$A$166&gt;35,DO94+DN95-DW94,IF(A95&lt;'Données projet'!$A$166,$DL$205^A95,IF(A95='Données projet'!$A$166,'Données projet'!$B$166,DO94+DN95-DW94)))</f>
        <v>313.99999999999994</v>
      </c>
      <c r="DP95" s="18">
        <f>DO95*VLOOKUP('Données projet'!$B$14,Paramètres!$A$1:$I$89,3,0)*VLOOKUP('Données projet'!$B$14,Paramètres!$A$1:$I$89,5,0)</f>
        <v>318.39599999999996</v>
      </c>
      <c r="DQ95" s="14">
        <f t="shared" si="97"/>
        <v>75.019512724334945</v>
      </c>
      <c r="DR95" s="22">
        <f t="shared" si="70"/>
        <v>685.19868466154992</v>
      </c>
      <c r="DS95" s="62">
        <f t="shared" si="71"/>
        <v>978.53201799488329</v>
      </c>
      <c r="DT95" s="62">
        <f ca="1">AVERAGE(OFFSET($DS$3,0,0,'Données projet'!$E$14+1,1))-AVERAGE(OFFSET($H$3,0,0,'Données projet'!$E$14+1,1))</f>
        <v>487.04124684635974</v>
      </c>
      <c r="DU95" s="62">
        <f t="shared" si="98"/>
        <v>306.61893266146666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3.5866171980266506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3.5866171980266506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6</v>
      </c>
      <c r="EJ95" s="13">
        <f>IF('Données projet'!$A$192&gt;35,EJ94+EI95-ER94,IF(A95&lt;'Données projet'!$A$192,$EG$205^A95,IF(A95='Données projet'!$A$192,'Données projet'!$B$192,EJ94+EI95-ER94)))</f>
        <v>313.99999999999994</v>
      </c>
      <c r="EK95" s="18">
        <f>EJ95*VLOOKUP('Données projet'!$B$15,Paramètres!$A$1:$I$89,3,0)*VLOOKUP('Données projet'!$B$15,Paramètres!$A$1:$I$89,5,0)</f>
        <v>298.80239999999998</v>
      </c>
      <c r="EL95" s="14">
        <f t="shared" si="99"/>
        <v>70.925342097965753</v>
      </c>
      <c r="EM95" s="22">
        <f t="shared" si="73"/>
        <v>643.94248415395703</v>
      </c>
      <c r="EN95" s="62">
        <f t="shared" si="74"/>
        <v>937.2758174872904</v>
      </c>
      <c r="EO95" s="62">
        <f ca="1">AVERAGE(OFFSET($EN$3,0,0,'Données projet'!$E$15+1,1))-AVERAGE(OFFSET($H$3,0,0,'Données projet'!$E$15+1,1))</f>
        <v>459.64120566196812</v>
      </c>
      <c r="EP95" s="62">
        <f t="shared" si="100"/>
        <v>290.39826583283588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3.3659022935327014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3.3659022935327014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6</v>
      </c>
      <c r="FE95" s="13">
        <f>IF('Données projet'!$A$218&gt;35,FE94+FD95-FM94,IF(A95&lt;'Données projet'!$A$218,$FB$205^A95,IF(A95='Données projet'!$A$218,'Données projet'!$B$218,FE94+FD95-FM94)))</f>
        <v>313.99999999999994</v>
      </c>
      <c r="FF95" s="18">
        <f>FE95*VLOOKUP('Données projet'!$B$16,Paramètres!$A$1:$I$89,3,0)*VLOOKUP('Données projet'!$B$16,Paramètres!$A$1:$I$89,5,0)</f>
        <v>210.63119999999998</v>
      </c>
      <c r="FG95" s="14">
        <f t="shared" si="101"/>
        <v>52.073494677019134</v>
      </c>
      <c r="FH95" s="22">
        <f t="shared" si="76"/>
        <v>457.5440098958083</v>
      </c>
      <c r="FI95" s="62">
        <f t="shared" si="77"/>
        <v>750.87734322914162</v>
      </c>
      <c r="FJ95" s="62">
        <f ca="1">AVERAGE(OFFSET($FI$3,0,0,'Données projet'!$E$16+1,1))-AVERAGE(OFFSET($H$3,0,0,'Données projet'!$E$16+1,1))</f>
        <v>335.83558218229564</v>
      </c>
      <c r="FK95" s="62">
        <f t="shared" si="102"/>
        <v>217.08423061559648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0</v>
      </c>
      <c r="FR95" s="23">
        <f>EXP(-LN(2)/25)*FR94+(1-EXP(-LN(2)/25))/(LN(2)/25)*Calculateur!FM95*Calculateur!FO95*VLOOKUP('Données projet'!$B$16,Paramètres!$A$1:$I$89,3,0)*0.475*44/12</f>
        <v>1.4954958926150184</v>
      </c>
      <c r="FS95" s="23">
        <f>EXP(-LN(2)/2)*FS94+(1-EXP(-LN(2)/2))/(LN(2)/2)*FM95*FP95*VLOOKUP('Données projet'!$B$16,Paramètres!$A$1:$I$89,3,0)*0.475*44/12</f>
        <v>5.1473260127841444E-9</v>
      </c>
      <c r="FT95" s="24">
        <f t="shared" si="78"/>
        <v>1.4954958977623445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1.9895196601282805E-13</v>
      </c>
      <c r="O96" s="14">
        <f>N96*VLOOKUP('Données projet'!$B$9,Paramètres!$A$1:$I$89,3,0)*VLOOKUP('Données projet'!$B$9,Paramètres!$A$1:$I$89,5,0)</f>
        <v>1.738044375088066E-13</v>
      </c>
      <c r="P96" s="14">
        <f t="shared" si="87"/>
        <v>2.4483293633950478E-12</v>
      </c>
      <c r="Q96" s="22">
        <f t="shared" si="54"/>
        <v>4.566883036574213E-12</v>
      </c>
      <c r="R96" s="62">
        <f t="shared" si="55"/>
        <v>293.33333333333786</v>
      </c>
      <c r="S96" s="62">
        <f ca="1">AVERAGE(OFFSET($R$3,0,0,'Données projet'!$E$9+1,1))-AVERAGE(OFFSET($H$3,0,0,'Données projet'!$E$9+1,1))</f>
        <v>321.23599968992932</v>
      </c>
      <c r="T96" s="62">
        <f t="shared" si="88"/>
        <v>388.05195847800502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4.4599636597455481</v>
      </c>
      <c r="AB96" s="23">
        <f>EXP(-LN(2)/2)*AB95+(1-EXP(-LN(2)/2))/(LN(2)/2)*V96*Y96*VLOOKUP('Données projet'!$B$9,Paramètres!$A$1:$I$89,3,0)*0.475*44/12</f>
        <v>6.014654288926918E-9</v>
      </c>
      <c r="AC96" s="24">
        <f t="shared" si="57"/>
        <v>4.4599636657602026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6.2</v>
      </c>
      <c r="AI96" s="14">
        <f>IF('Données projet'!$A$62&gt;35,AI95+AH96-AQ95,IF(A96&lt;'Données projet'!$A$62,$AF$205^A96,IF(A96='Données projet'!$A$62,'Données projet'!$B$62,AI95+AH96-AQ95)))</f>
        <v>320.59999999999991</v>
      </c>
      <c r="AJ96" s="14">
        <f>AI96*VLOOKUP('Données projet'!$B$10,Paramètres!$A$1:$I$89,3,0)*VLOOKUP('Données projet'!$B$10,Paramètres!$A$1:$I$89,5,0)</f>
        <v>290.07887999999991</v>
      </c>
      <c r="AK96" s="14">
        <f t="shared" si="89"/>
        <v>69.092562427360406</v>
      </c>
      <c r="AL96" s="22">
        <f t="shared" si="58"/>
        <v>625.55692889431919</v>
      </c>
      <c r="AM96" s="62">
        <f t="shared" si="59"/>
        <v>918.89026222765256</v>
      </c>
      <c r="AN96" s="62">
        <f ca="1">AVERAGE(OFFSET($AM$3,0,0,'Données projet'!$E$10+1,1))-AVERAGE(OFFSET($H$3,0,0,'Données projet'!$E$10+1,1))</f>
        <v>439.19854273764042</v>
      </c>
      <c r="AO96" s="62">
        <f t="shared" si="90"/>
        <v>278.21741231699929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1.5918280333892727</v>
      </c>
      <c r="AW96" s="23">
        <f>EXP(-LN(2)/2)*AW95+(1-EXP(-LN(2)/2))/(LN(2)/2)*AQ96*AT96*VLOOKUP('Données projet'!$B$10,Paramètres!$A$1:$I$89,3,0)*0.475*44/12</f>
        <v>4.9093751037167226E-9</v>
      </c>
      <c r="AX96" s="23">
        <f t="shared" si="60"/>
        <v>1.5918280382986478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-2.8421709430404007E-13</v>
      </c>
      <c r="BE96" s="14">
        <f>BD96*VLOOKUP('Données projet'!$B$11,Paramètres!$A$1:$I$89,3,0)*VLOOKUP('Données projet'!$B$11,Paramètres!$A$1:$I$89,5,0)</f>
        <v>-2.2612312022829427E-13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352.88510024787888</v>
      </c>
      <c r="BJ96" s="62">
        <f t="shared" si="92"/>
        <v>343.77208530767069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2.142794813241077</v>
      </c>
      <c r="BR96" s="23">
        <f>EXP(-LN(2)/2)*BR95+(1-EXP(-LN(2)/2))/(LN(2)/2)*BL96*BO96*VLOOKUP('Données projet'!$B$11,Paramètres!$A$1:$I$89,3,0)*0.475*44/12</f>
        <v>1.2998635097543806E-10</v>
      </c>
      <c r="BS96" s="24">
        <f t="shared" si="63"/>
        <v>2.1427948133710633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-2.8421709430404007E-13</v>
      </c>
      <c r="BZ96" s="14">
        <f>BY96*VLOOKUP('Données projet'!$B$12,Paramètres!$A$1:$I$89,3,0)*VLOOKUP('Données projet'!$B$12,Paramètres!$A$1:$I$89,5,0)</f>
        <v>-2.0838797354372215E-13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328.10411227536315</v>
      </c>
      <c r="CE96" s="62">
        <f t="shared" si="94"/>
        <v>320.24200483294322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2.6071745836747766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2.6071745836747766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5.6843418860808015E-14</v>
      </c>
      <c r="CU96" s="18">
        <f>CT96*VLOOKUP('Données projet'!$B$13,Paramètres!$A$1:$I$89,3,0)*VLOOKUP('Données projet'!$B$13,Paramètres!$A$1:$I$89,5,0)</f>
        <v>4.4337866711430253E-14</v>
      </c>
      <c r="CV96" s="14">
        <f t="shared" si="95"/>
        <v>7.3222115536967035E-13</v>
      </c>
      <c r="CW96" s="22">
        <f t="shared" si="67"/>
        <v>1.3525069634579169E-12</v>
      </c>
      <c r="CX96" s="62">
        <f t="shared" si="68"/>
        <v>293.33333333333468</v>
      </c>
      <c r="CY96" s="62">
        <f ca="1">AVERAGE(OFFSET($CX$3,0,0,'Données projet'!$E$13+1,1))-AVERAGE(OFFSET($H$3,0,0,'Données projet'!$E$13+1,1))</f>
        <v>288.82868507674738</v>
      </c>
      <c r="CZ96" s="62">
        <f t="shared" si="96"/>
        <v>283.48738729114024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2.9315691660647434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2.9315691660647434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6</v>
      </c>
      <c r="DO96" s="13">
        <f>IF('Données projet'!$A$166&gt;35,DO95+DN96-DW95,IF(A96&lt;'Données projet'!$A$166,$DL$205^A96,IF(A96='Données projet'!$A$166,'Données projet'!$B$166,DO95+DN96-DW95)))</f>
        <v>319.99999999999994</v>
      </c>
      <c r="DP96" s="18">
        <f>DO96*VLOOKUP('Données projet'!$B$14,Paramètres!$A$1:$I$89,3,0)*VLOOKUP('Données projet'!$B$14,Paramètres!$A$1:$I$89,5,0)</f>
        <v>324.47999999999996</v>
      </c>
      <c r="DQ96" s="14">
        <f t="shared" si="97"/>
        <v>76.284749200165507</v>
      </c>
      <c r="DR96" s="22">
        <f t="shared" si="70"/>
        <v>697.99860485695478</v>
      </c>
      <c r="DS96" s="62">
        <f t="shared" si="71"/>
        <v>991.33193819028816</v>
      </c>
      <c r="DT96" s="62">
        <f ca="1">AVERAGE(OFFSET($DS$3,0,0,'Données projet'!$E$14+1,1))-AVERAGE(OFFSET($H$3,0,0,'Données projet'!$E$14+1,1))</f>
        <v>487.04124684635974</v>
      </c>
      <c r="DU96" s="62">
        <f t="shared" si="98"/>
        <v>306.61893266146666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3.5162858223938294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3.5162858223938294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6</v>
      </c>
      <c r="EJ96" s="13">
        <f>IF('Données projet'!$A$192&gt;35,EJ95+EI96-ER95,IF(A96&lt;'Données projet'!$A$192,$EG$205^A96,IF(A96='Données projet'!$A$192,'Données projet'!$B$192,EJ95+EI96-ER95)))</f>
        <v>319.99999999999994</v>
      </c>
      <c r="EK96" s="18">
        <f>EJ96*VLOOKUP('Données projet'!$B$15,Paramètres!$A$1:$I$89,3,0)*VLOOKUP('Données projet'!$B$15,Paramètres!$A$1:$I$89,5,0)</f>
        <v>304.51199999999994</v>
      </c>
      <c r="EL96" s="14">
        <f t="shared" si="99"/>
        <v>72.121528618302861</v>
      </c>
      <c r="EM96" s="22">
        <f t="shared" si="73"/>
        <v>655.9700623435441</v>
      </c>
      <c r="EN96" s="62">
        <f t="shared" si="74"/>
        <v>949.30339567687747</v>
      </c>
      <c r="EO96" s="62">
        <f ca="1">AVERAGE(OFFSET($EN$3,0,0,'Données projet'!$E$15+1,1))-AVERAGE(OFFSET($H$3,0,0,'Données projet'!$E$15+1,1))</f>
        <v>459.64120566196812</v>
      </c>
      <c r="EP96" s="62">
        <f t="shared" si="100"/>
        <v>290.39826583283588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3.2998990025542074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3.2998990025542074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6</v>
      </c>
      <c r="FE96" s="13">
        <f>IF('Données projet'!$A$218&gt;35,FE95+FD96-FM95,IF(A96&lt;'Données projet'!$A$218,$FB$205^A96,IF(A96='Données projet'!$A$218,'Données projet'!$B$218,FE95+FD96-FM95)))</f>
        <v>319.99999999999994</v>
      </c>
      <c r="FF96" s="18">
        <f>FE96*VLOOKUP('Données projet'!$B$16,Paramètres!$A$1:$I$89,3,0)*VLOOKUP('Données projet'!$B$16,Paramètres!$A$1:$I$89,5,0)</f>
        <v>214.65599999999995</v>
      </c>
      <c r="FG96" s="14">
        <f t="shared" si="101"/>
        <v>52.951736650296546</v>
      </c>
      <c r="FH96" s="22">
        <f t="shared" si="76"/>
        <v>466.08347466593301</v>
      </c>
      <c r="FI96" s="62">
        <f t="shared" si="77"/>
        <v>759.41680799926633</v>
      </c>
      <c r="FJ96" s="62">
        <f ca="1">AVERAGE(OFFSET($FI$3,0,0,'Données projet'!$E$16+1,1))-AVERAGE(OFFSET($H$3,0,0,'Données projet'!$E$16+1,1))</f>
        <v>335.83558218229564</v>
      </c>
      <c r="FK96" s="62">
        <f t="shared" si="102"/>
        <v>217.08423061559648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0</v>
      </c>
      <c r="FR96" s="23">
        <f>EXP(-LN(2)/25)*FR95+(1-EXP(-LN(2)/25))/(LN(2)/25)*Calculateur!FM96*Calculateur!FO96*VLOOKUP('Données projet'!$B$16,Paramètres!$A$1:$I$89,3,0)*0.475*44/12</f>
        <v>1.4546014787867496</v>
      </c>
      <c r="FS96" s="23">
        <f>EXP(-LN(2)/2)*FS95+(1-EXP(-LN(2)/2))/(LN(2)/2)*FM96*FP96*VLOOKUP('Données projet'!$B$16,Paramètres!$A$1:$I$89,3,0)*0.475*44/12</f>
        <v>3.6397091286175824E-9</v>
      </c>
      <c r="FT96" s="24">
        <f t="shared" si="78"/>
        <v>1.4546014824264588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1.9895196601282805E-13</v>
      </c>
      <c r="O97" s="14">
        <f>N97*VLOOKUP('Données projet'!$B$9,Paramètres!$A$1:$I$89,3,0)*VLOOKUP('Données projet'!$B$9,Paramètres!$A$1:$I$89,5,0)</f>
        <v>1.738044375088066E-13</v>
      </c>
      <c r="P97" s="14">
        <f t="shared" si="87"/>
        <v>2.4483293633950478E-12</v>
      </c>
      <c r="Q97" s="22">
        <f t="shared" si="54"/>
        <v>4.566883036574213E-12</v>
      </c>
      <c r="R97" s="62">
        <f t="shared" si="55"/>
        <v>293.33333333333786</v>
      </c>
      <c r="S97" s="62">
        <f ca="1">AVERAGE(OFFSET($R$3,0,0,'Données projet'!$E$9+1,1))-AVERAGE(OFFSET($H$3,0,0,'Données projet'!$E$9+1,1))</f>
        <v>321.23599968992932</v>
      </c>
      <c r="T97" s="62">
        <f t="shared" si="88"/>
        <v>388.05195847800502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4.3380057189305106</v>
      </c>
      <c r="AB97" s="23">
        <f>EXP(-LN(2)/2)*AB96+(1-EXP(-LN(2)/2))/(LN(2)/2)*V97*Y97*VLOOKUP('Données projet'!$B$9,Paramètres!$A$1:$I$89,3,0)*0.475*44/12</f>
        <v>4.2530028341929757E-9</v>
      </c>
      <c r="AC97" s="24">
        <f t="shared" si="57"/>
        <v>4.338005723183513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6.2</v>
      </c>
      <c r="AI97" s="14">
        <f>IF('Données projet'!$A$62&gt;35,AI96+AH97-AQ96,IF(A97&lt;'Données projet'!$A$62,$AF$205^A97,IF(A97='Données projet'!$A$62,'Données projet'!$B$62,AI96+AH97-AQ96)))</f>
        <v>326.7999999999999</v>
      </c>
      <c r="AJ97" s="14">
        <f>AI97*VLOOKUP('Données projet'!$B$10,Paramètres!$A$1:$I$89,3,0)*VLOOKUP('Données projet'!$B$10,Paramètres!$A$1:$I$89,5,0)</f>
        <v>295.68863999999991</v>
      </c>
      <c r="AK97" s="14">
        <f t="shared" si="89"/>
        <v>70.271876780519747</v>
      </c>
      <c r="AL97" s="22">
        <f t="shared" si="58"/>
        <v>637.3812333927383</v>
      </c>
      <c r="AM97" s="62">
        <f t="shared" si="59"/>
        <v>930.71456672607155</v>
      </c>
      <c r="AN97" s="62">
        <f ca="1">AVERAGE(OFFSET($AM$3,0,0,'Données projet'!$E$10+1,1))-AVERAGE(OFFSET($H$3,0,0,'Données projet'!$E$10+1,1))</f>
        <v>439.19854273764042</v>
      </c>
      <c r="AO97" s="62">
        <f t="shared" si="90"/>
        <v>278.21741231699929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1.548299412105645</v>
      </c>
      <c r="AW97" s="23">
        <f>EXP(-LN(2)/2)*AW96+(1-EXP(-LN(2)/2))/(LN(2)/2)*AQ97*AT97*VLOOKUP('Données projet'!$B$10,Paramètres!$A$1:$I$89,3,0)*0.475*44/12</f>
        <v>3.4714524272265047E-9</v>
      </c>
      <c r="AX97" s="23">
        <f t="shared" si="60"/>
        <v>1.5482994155770975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-2.8421709430404007E-13</v>
      </c>
      <c r="BE97" s="14">
        <f>BD97*VLOOKUP('Données projet'!$B$11,Paramètres!$A$1:$I$89,3,0)*VLOOKUP('Données projet'!$B$11,Paramètres!$A$1:$I$89,5,0)</f>
        <v>-2.2612312022829427E-13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352.88510024787888</v>
      </c>
      <c r="BJ97" s="62">
        <f t="shared" si="92"/>
        <v>343.77208530767069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2.0841999763883181</v>
      </c>
      <c r="BR97" s="23">
        <f>EXP(-LN(2)/2)*BR96+(1-EXP(-LN(2)/2))/(LN(2)/2)*BL97*BO97*VLOOKUP('Données projet'!$B$11,Paramètres!$A$1:$I$89,3,0)*0.475*44/12</f>
        <v>9.1914230236426851E-11</v>
      </c>
      <c r="BS97" s="24">
        <f t="shared" si="63"/>
        <v>2.0841999764802321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-2.8421709430404007E-13</v>
      </c>
      <c r="BZ97" s="14">
        <f>BY97*VLOOKUP('Données projet'!$B$12,Paramètres!$A$1:$I$89,3,0)*VLOOKUP('Données projet'!$B$12,Paramètres!$A$1:$I$89,5,0)</f>
        <v>-2.0838797354372215E-13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328.10411227536315</v>
      </c>
      <c r="CE97" s="62">
        <f t="shared" si="94"/>
        <v>320.24200483294322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2.5560494803083893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2.5560494803083893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5.6843418860808015E-14</v>
      </c>
      <c r="CU97" s="18">
        <f>CT97*VLOOKUP('Données projet'!$B$13,Paramètres!$A$1:$I$89,3,0)*VLOOKUP('Données projet'!$B$13,Paramètres!$A$1:$I$89,5,0)</f>
        <v>4.4337866711430253E-14</v>
      </c>
      <c r="CV97" s="14">
        <f t="shared" si="95"/>
        <v>7.3222115536967035E-13</v>
      </c>
      <c r="CW97" s="22">
        <f t="shared" si="67"/>
        <v>1.3525069634579169E-12</v>
      </c>
      <c r="CX97" s="62">
        <f t="shared" si="68"/>
        <v>293.33333333333468</v>
      </c>
      <c r="CY97" s="62">
        <f ca="1">AVERAGE(OFFSET($CX$3,0,0,'Données projet'!$E$13+1,1))-AVERAGE(OFFSET($H$3,0,0,'Données projet'!$E$13+1,1))</f>
        <v>288.82868507674738</v>
      </c>
      <c r="CZ97" s="62">
        <f t="shared" si="96"/>
        <v>283.48738729114024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2.8740828827988469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2.8740828827988469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6</v>
      </c>
      <c r="DO97" s="13">
        <f>IF('Données projet'!$A$166&gt;35,DO96+DN97-DW96,IF(A97&lt;'Données projet'!$A$166,$DL$205^A97,IF(A97='Données projet'!$A$166,'Données projet'!$B$166,DO96+DN97-DW96)))</f>
        <v>325.99999999999994</v>
      </c>
      <c r="DP97" s="18">
        <f>DO97*VLOOKUP('Données projet'!$B$14,Paramètres!$A$1:$I$89,3,0)*VLOOKUP('Données projet'!$B$14,Paramètres!$A$1:$I$89,5,0)</f>
        <v>330.56399999999996</v>
      </c>
      <c r="DQ97" s="14">
        <f t="shared" si="97"/>
        <v>77.547227137682853</v>
      </c>
      <c r="DR97" s="22">
        <f t="shared" si="70"/>
        <v>710.79372059813079</v>
      </c>
      <c r="DS97" s="62">
        <f t="shared" si="71"/>
        <v>1004.1270539314642</v>
      </c>
      <c r="DT97" s="62">
        <f ca="1">AVERAGE(OFFSET($DS$3,0,0,'Données projet'!$E$14+1,1))-AVERAGE(OFFSET($H$3,0,0,'Données projet'!$E$14+1,1))</f>
        <v>487.04124684635974</v>
      </c>
      <c r="DU97" s="62">
        <f t="shared" si="98"/>
        <v>306.61893266146666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3.4473336021392642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3.4473336021392642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6</v>
      </c>
      <c r="EJ97" s="13">
        <f>IF('Données projet'!$A$192&gt;35,EJ96+EI97-ER96,IF(A97&lt;'Données projet'!$A$192,$EG$205^A97,IF(A97='Données projet'!$A$192,'Données projet'!$B$192,EJ96+EI97-ER96)))</f>
        <v>325.99999999999994</v>
      </c>
      <c r="EK97" s="18">
        <f>EJ97*VLOOKUP('Données projet'!$B$15,Paramètres!$A$1:$I$89,3,0)*VLOOKUP('Données projet'!$B$15,Paramètres!$A$1:$I$89,5,0)</f>
        <v>310.22159999999997</v>
      </c>
      <c r="EL97" s="14">
        <f t="shared" si="99"/>
        <v>73.315107146846231</v>
      </c>
      <c r="EM97" s="22">
        <f t="shared" si="73"/>
        <v>667.99309828075707</v>
      </c>
      <c r="EN97" s="62">
        <f t="shared" si="74"/>
        <v>961.32643161409032</v>
      </c>
      <c r="EO97" s="62">
        <f ca="1">AVERAGE(OFFSET($EN$3,0,0,'Données projet'!$E$15+1,1))-AVERAGE(OFFSET($H$3,0,0,'Données projet'!$E$15+1,1))</f>
        <v>459.64120566196812</v>
      </c>
      <c r="EP97" s="62">
        <f t="shared" si="100"/>
        <v>290.39826583283588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3.2351899958537693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3.2351899958537693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6</v>
      </c>
      <c r="FE97" s="13">
        <f>IF('Données projet'!$A$218&gt;35,FE96+FD97-FM96,IF(A97&lt;'Données projet'!$A$218,$FB$205^A97,IF(A97='Données projet'!$A$218,'Données projet'!$B$218,FE96+FD97-FM96)))</f>
        <v>325.99999999999994</v>
      </c>
      <c r="FF97" s="18">
        <f>FE97*VLOOKUP('Données projet'!$B$16,Paramètres!$A$1:$I$89,3,0)*VLOOKUP('Données projet'!$B$16,Paramètres!$A$1:$I$89,5,0)</f>
        <v>218.68079999999998</v>
      </c>
      <c r="FG97" s="14">
        <f t="shared" si="101"/>
        <v>53.828063832009079</v>
      </c>
      <c r="FH97" s="22">
        <f t="shared" si="76"/>
        <v>474.61960450741572</v>
      </c>
      <c r="FI97" s="62">
        <f t="shared" si="77"/>
        <v>767.95293784074897</v>
      </c>
      <c r="FJ97" s="62">
        <f ca="1">AVERAGE(OFFSET($FI$3,0,0,'Données projet'!$E$16+1,1))-AVERAGE(OFFSET($H$3,0,0,'Données projet'!$E$16+1,1))</f>
        <v>335.83558218229564</v>
      </c>
      <c r="FK97" s="62">
        <f t="shared" si="102"/>
        <v>217.08423061559648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0</v>
      </c>
      <c r="FR97" s="23">
        <f>EXP(-LN(2)/25)*FR96+(1-EXP(-LN(2)/25))/(LN(2)/25)*Calculateur!FM97*Calculateur!FO97*VLOOKUP('Données projet'!$B$16,Paramètres!$A$1:$I$89,3,0)*0.475*44/12</f>
        <v>1.4148253248551588</v>
      </c>
      <c r="FS97" s="23">
        <f>EXP(-LN(2)/2)*FS96+(1-EXP(-LN(2)/2))/(LN(2)/2)*FM97*FP97*VLOOKUP('Données projet'!$B$16,Paramètres!$A$1:$I$89,3,0)*0.475*44/12</f>
        <v>2.5736630063920726E-9</v>
      </c>
      <c r="FT97" s="24">
        <f t="shared" si="78"/>
        <v>1.4148253274288218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1.9895196601282805E-13</v>
      </c>
      <c r="O98" s="14">
        <f>N98*VLOOKUP('Données projet'!$B$9,Paramètres!$A$1:$I$89,3,0)*VLOOKUP('Données projet'!$B$9,Paramètres!$A$1:$I$89,5,0)</f>
        <v>1.738044375088066E-13</v>
      </c>
      <c r="P98" s="14">
        <f t="shared" si="87"/>
        <v>2.4483293633950478E-12</v>
      </c>
      <c r="Q98" s="22">
        <f t="shared" si="54"/>
        <v>4.566883036574213E-12</v>
      </c>
      <c r="R98" s="62">
        <f t="shared" si="55"/>
        <v>293.33333333333786</v>
      </c>
      <c r="S98" s="62">
        <f ca="1">AVERAGE(OFFSET($R$3,0,0,'Données projet'!$E$9+1,1))-AVERAGE(OFFSET($H$3,0,0,'Données projet'!$E$9+1,1))</f>
        <v>321.23599968992932</v>
      </c>
      <c r="T98" s="62">
        <f t="shared" si="88"/>
        <v>388.05195847800502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4.2193827244205497</v>
      </c>
      <c r="AB98" s="23">
        <f>EXP(-LN(2)/2)*AB97+(1-EXP(-LN(2)/2))/(LN(2)/2)*V98*Y98*VLOOKUP('Données projet'!$B$9,Paramètres!$A$1:$I$89,3,0)*0.475*44/12</f>
        <v>3.007327144463459E-9</v>
      </c>
      <c r="AC98" s="24">
        <f t="shared" si="57"/>
        <v>4.2193827274278766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333</v>
      </c>
      <c r="AG98" s="13">
        <f>VLOOKUP(A98,'Données projet'!$A$61:$I$81,9,0)</f>
        <v>6.2</v>
      </c>
      <c r="AH98" s="13">
        <f t="array" ref="AH98">INDEX(AG:AG,MIN(IF(ISNUMBER(AG98:AG294),ROW(AG98:AG294),"")))</f>
        <v>6.2</v>
      </c>
      <c r="AI98" s="14">
        <f>IF('Données projet'!$A$62&gt;35,AI97+AH98-AQ97,IF(A98&lt;'Données projet'!$A$62,$AF$205^A98,IF(A98='Données projet'!$A$62,'Données projet'!$B$62,AI97+AH98-AQ97)))</f>
        <v>332.99999999999989</v>
      </c>
      <c r="AJ98" s="14">
        <f>AI98*VLOOKUP('Données projet'!$B$10,Paramètres!$A$1:$I$89,3,0)*VLOOKUP('Données projet'!$B$10,Paramètres!$A$1:$I$89,5,0)</f>
        <v>301.2983999999999</v>
      </c>
      <c r="AK98" s="14">
        <f t="shared" si="89"/>
        <v>71.448589534990518</v>
      </c>
      <c r="AL98" s="22">
        <f t="shared" si="58"/>
        <v>649.20100677344158</v>
      </c>
      <c r="AM98" s="62">
        <f t="shared" si="59"/>
        <v>942.53434010677483</v>
      </c>
      <c r="AN98" s="62">
        <f ca="1">AVERAGE(OFFSET($AM$3,0,0,'Données projet'!$E$10+1,1))-AVERAGE(OFFSET($H$3,0,0,'Données projet'!$E$10+1,1))</f>
        <v>439.19854273764042</v>
      </c>
      <c r="AO98" s="62">
        <f t="shared" si="90"/>
        <v>278.21741231699929</v>
      </c>
      <c r="AP98" s="16">
        <f>IF(ISNA(VLOOKUP(A98,'Données projet'!$A$61:$I$81,3,0)),0,VLOOKUP(A98,'Données projet'!$A$61:$I$81,3,0))</f>
        <v>16</v>
      </c>
      <c r="AQ98" s="16">
        <f>IF(ISNA(VLOOKUP(A98,'Données projet'!$A$61:$I$81,4,0)),0,VLOOKUP(A98,'Données projet'!$A$61:$I$81,4,0))</f>
        <v>28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1.5059610832600887</v>
      </c>
      <c r="AW98" s="23">
        <f>EXP(-LN(2)/2)*AW97+(1-EXP(-LN(2)/2))/(LN(2)/2)*AQ98*AT98*VLOOKUP('Données projet'!$B$10,Paramètres!$A$1:$I$89,3,0)*0.475*44/12</f>
        <v>2.4546875518583613E-9</v>
      </c>
      <c r="AX98" s="23">
        <f t="shared" si="60"/>
        <v>1.5059610857147763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-2.8421709430404007E-13</v>
      </c>
      <c r="BE98" s="14">
        <f>BD98*VLOOKUP('Données projet'!$B$11,Paramètres!$A$1:$I$89,3,0)*VLOOKUP('Données projet'!$B$11,Paramètres!$A$1:$I$89,5,0)</f>
        <v>-2.2612312022829427E-13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352.88510024787888</v>
      </c>
      <c r="BJ98" s="62">
        <f t="shared" si="92"/>
        <v>343.77208530767069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2.0272074184306663</v>
      </c>
      <c r="BR98" s="23">
        <f>EXP(-LN(2)/2)*BR97+(1-EXP(-LN(2)/2))/(LN(2)/2)*BL98*BO98*VLOOKUP('Données projet'!$B$11,Paramètres!$A$1:$I$89,3,0)*0.475*44/12</f>
        <v>6.4993175487719031E-11</v>
      </c>
      <c r="BS98" s="24">
        <f t="shared" si="63"/>
        <v>2.0272074184956597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-2.8421709430404007E-13</v>
      </c>
      <c r="BZ98" s="14">
        <f>BY98*VLOOKUP('Données projet'!$B$12,Paramètres!$A$1:$I$89,3,0)*VLOOKUP('Données projet'!$B$12,Paramètres!$A$1:$I$89,5,0)</f>
        <v>-2.0838797354372215E-13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328.10411227536315</v>
      </c>
      <c r="CE98" s="62">
        <f t="shared" si="94"/>
        <v>320.24200483294322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2.5059269090357827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2.5059269090357827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5.6843418860808015E-14</v>
      </c>
      <c r="CU98" s="18">
        <f>CT98*VLOOKUP('Données projet'!$B$13,Paramètres!$A$1:$I$89,3,0)*VLOOKUP('Données projet'!$B$13,Paramètres!$A$1:$I$89,5,0)</f>
        <v>4.4337866711430253E-14</v>
      </c>
      <c r="CV98" s="14">
        <f t="shared" si="95"/>
        <v>7.3222115536967035E-13</v>
      </c>
      <c r="CW98" s="22">
        <f t="shared" si="67"/>
        <v>1.3525069634579169E-12</v>
      </c>
      <c r="CX98" s="62">
        <f t="shared" si="68"/>
        <v>293.33333333333468</v>
      </c>
      <c r="CY98" s="62">
        <f ca="1">AVERAGE(OFFSET($CX$3,0,0,'Données projet'!$E$13+1,1))-AVERAGE(OFFSET($H$3,0,0,'Données projet'!$E$13+1,1))</f>
        <v>288.82868507674738</v>
      </c>
      <c r="CZ98" s="62">
        <f t="shared" si="96"/>
        <v>283.48738729114024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2.8177238704846239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2.8177238704846239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>
        <f>VLOOKUP(A98,'Données projet'!$A$165:$I$185,2,0)</f>
        <v>332</v>
      </c>
      <c r="DM98" s="13">
        <f>VLOOKUP(A98,'Données projet'!$A$165:$I$185,9,0)</f>
        <v>6</v>
      </c>
      <c r="DN98" s="13">
        <f t="array" ref="DN98">INDEX(DM:DM,MIN(IF(ISNUMBER(DM98:DM294),ROW(DM98:DM294),"")))</f>
        <v>6</v>
      </c>
      <c r="DO98" s="13">
        <f>IF('Données projet'!$A$166&gt;35,DO97+DN98-DW97,IF(A98&lt;'Données projet'!$A$166,$DL$205^A98,IF(A98='Données projet'!$A$166,'Données projet'!$B$166,DO97+DN98-DW97)))</f>
        <v>331.99999999999994</v>
      </c>
      <c r="DP98" s="18">
        <f>DO98*VLOOKUP('Données projet'!$B$14,Paramètres!$A$1:$I$89,3,0)*VLOOKUP('Données projet'!$B$14,Paramètres!$A$1:$I$89,5,0)</f>
        <v>336.64799999999997</v>
      </c>
      <c r="DQ98" s="14">
        <f t="shared" si="97"/>
        <v>78.807003163010378</v>
      </c>
      <c r="DR98" s="22">
        <f t="shared" si="70"/>
        <v>723.58413050890977</v>
      </c>
      <c r="DS98" s="62">
        <f t="shared" si="71"/>
        <v>1016.917463842243</v>
      </c>
      <c r="DT98" s="62">
        <f ca="1">AVERAGE(OFFSET($DS$3,0,0,'Données projet'!$E$14+1,1))-AVERAGE(OFFSET($H$3,0,0,'Données projet'!$E$14+1,1))</f>
        <v>487.04124684635974</v>
      </c>
      <c r="DU98" s="62">
        <f t="shared" si="98"/>
        <v>306.61893266146666</v>
      </c>
      <c r="DV98" s="16">
        <f>IF(ISNA(VLOOKUP(A98,'Données projet'!$A$165:$I$185,3,0)),0,VLOOKUP(A98,'Données projet'!$A$165:$I$185,3,0))</f>
        <v>16</v>
      </c>
      <c r="DW98" s="16">
        <f>IF(ISNA(VLOOKUP(A98,'Données projet'!$A$165:$I$185,4,0)),0,VLOOKUP(A98,'Données projet'!$A$165:$I$185,4,0))</f>
        <v>28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3.3797334928671896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3.3797334928671896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>
        <f>VLOOKUP(A98,'Données projet'!$A$191:$I$211,2,0)</f>
        <v>332</v>
      </c>
      <c r="EH98" s="13">
        <f>VLOOKUP(A98,'Données projet'!$A$191:$I$211,9,0)</f>
        <v>6</v>
      </c>
      <c r="EI98" s="13">
        <f t="array" ref="EI98">INDEX(EH:EH,MIN(IF(ISNUMBER(EH98:EH294),ROW(EH98:EH294),"")))</f>
        <v>6</v>
      </c>
      <c r="EJ98" s="13">
        <f>IF('Données projet'!$A$192&gt;35,EJ97+EI98-ER97,IF(A98&lt;'Données projet'!$A$192,$EG$205^A98,IF(A98='Données projet'!$A$192,'Données projet'!$B$192,EJ97+EI98-ER97)))</f>
        <v>331.99999999999994</v>
      </c>
      <c r="EK98" s="18">
        <f>EJ98*VLOOKUP('Données projet'!$B$15,Paramètres!$A$1:$I$89,3,0)*VLOOKUP('Données projet'!$B$15,Paramètres!$A$1:$I$89,5,0)</f>
        <v>315.93119999999993</v>
      </c>
      <c r="EL98" s="14">
        <f t="shared" si="99"/>
        <v>74.506131219363056</v>
      </c>
      <c r="EM98" s="22">
        <f t="shared" si="73"/>
        <v>680.0116852070571</v>
      </c>
      <c r="EN98" s="62">
        <f t="shared" si="74"/>
        <v>973.34501854039036</v>
      </c>
      <c r="EO98" s="62">
        <f ca="1">AVERAGE(OFFSET($EN$3,0,0,'Données projet'!$E$15+1,1))-AVERAGE(OFFSET($H$3,0,0,'Données projet'!$E$15+1,1))</f>
        <v>459.64120566196812</v>
      </c>
      <c r="EP98" s="62">
        <f t="shared" si="100"/>
        <v>290.39826583283588</v>
      </c>
      <c r="EQ98" s="16">
        <f>IF(ISNA(VLOOKUP(A98,'Données projet'!$A$191:$I$211,3,0)),0,VLOOKUP(A98,'Données projet'!$A$191:$I$211,3,0))</f>
        <v>16</v>
      </c>
      <c r="ER98" s="16">
        <f>IF(ISNA(VLOOKUP(A98,'Données projet'!$A$191:$I$211,4,0)),0,VLOOKUP(A98,'Données projet'!$A$191:$I$211,4,0))</f>
        <v>28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3.1717498933061301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3.1717498933061301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>
        <f>VLOOKUP(A98,'Données projet'!$A$217:$I$237,2,0)</f>
        <v>332</v>
      </c>
      <c r="FC98" s="13">
        <f>VLOOKUP(A98,'Données projet'!$A$217:$I$237,9,0)</f>
        <v>6</v>
      </c>
      <c r="FD98" s="13">
        <f t="array" ref="FD98">INDEX(FC:FC,MIN(IF(ISNUMBER(FC98:FC294),ROW(FC98:FC294),"")))</f>
        <v>6</v>
      </c>
      <c r="FE98" s="13">
        <f>IF('Données projet'!$A$218&gt;35,FE97+FD98-FM97,IF(A98&lt;'Données projet'!$A$218,$FB$205^A98,IF(A98='Données projet'!$A$218,'Données projet'!$B$218,FE97+FD98-FM97)))</f>
        <v>331.99999999999994</v>
      </c>
      <c r="FF98" s="18">
        <f>FE98*VLOOKUP('Données projet'!$B$16,Paramètres!$A$1:$I$89,3,0)*VLOOKUP('Données projet'!$B$16,Paramètres!$A$1:$I$89,5,0)</f>
        <v>222.70559999999995</v>
      </c>
      <c r="FG98" s="14">
        <f t="shared" si="101"/>
        <v>54.702515528198902</v>
      </c>
      <c r="FH98" s="22">
        <f t="shared" si="76"/>
        <v>483.15246787827965</v>
      </c>
      <c r="FI98" s="62">
        <f t="shared" si="77"/>
        <v>776.48580121161297</v>
      </c>
      <c r="FJ98" s="62">
        <f ca="1">AVERAGE(OFFSET($FI$3,0,0,'Données projet'!$E$16+1,1))-AVERAGE(OFFSET($H$3,0,0,'Données projet'!$E$16+1,1))</f>
        <v>335.83558218229564</v>
      </c>
      <c r="FK98" s="62">
        <f t="shared" si="102"/>
        <v>217.08423061559648</v>
      </c>
      <c r="FL98" s="16">
        <f>IF(ISNA(VLOOKUP(A98,'Données projet'!$A$217:$I$237,3,0)),0,VLOOKUP(A98,'Données projet'!$A$217:$I$237,3,0))</f>
        <v>16</v>
      </c>
      <c r="FM98" s="16">
        <f>IF(ISNA(VLOOKUP(A98,'Données projet'!$A$217:$I$237,4,0)),0,VLOOKUP(A98,'Données projet'!$A$217:$I$237,4,0))</f>
        <v>28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0</v>
      </c>
      <c r="FR98" s="23">
        <f>EXP(-LN(2)/25)*FR97+(1-EXP(-LN(2)/25))/(LN(2)/25)*Calculateur!FM98*Calculateur!FO98*VLOOKUP('Données projet'!$B$16,Paramètres!$A$1:$I$89,3,0)*0.475*44/12</f>
        <v>1.3761368519445643</v>
      </c>
      <c r="FS98" s="23">
        <f>EXP(-LN(2)/2)*FS97+(1-EXP(-LN(2)/2))/(LN(2)/2)*FM98*FP98*VLOOKUP('Données projet'!$B$16,Paramètres!$A$1:$I$89,3,0)*0.475*44/12</f>
        <v>1.8198545643087914E-9</v>
      </c>
      <c r="FT98" s="24">
        <f t="shared" si="78"/>
        <v>1.3761368537644187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1.9895196601282805E-13</v>
      </c>
      <c r="O99" s="14">
        <f>N99*VLOOKUP('Données projet'!$B$9,Paramètres!$A$1:$I$89,3,0)*VLOOKUP('Données projet'!$B$9,Paramètres!$A$1:$I$89,5,0)</f>
        <v>1.738044375088066E-13</v>
      </c>
      <c r="P99" s="14">
        <f t="shared" si="87"/>
        <v>2.4483293633950478E-12</v>
      </c>
      <c r="Q99" s="22">
        <f t="shared" ref="Q99:Q130" si="107">(O99+P99)*0.475*44/12</f>
        <v>4.566883036574213E-12</v>
      </c>
      <c r="R99" s="62">
        <f t="shared" si="55"/>
        <v>293.33333333333786</v>
      </c>
      <c r="S99" s="62">
        <f ca="1">AVERAGE(OFFSET($R$3,0,0,'Données projet'!$E$9+1,1))-AVERAGE(OFFSET($H$3,0,0,'Données projet'!$E$9+1,1))</f>
        <v>321.23599968992932</v>
      </c>
      <c r="T99" s="62">
        <f t="shared" si="88"/>
        <v>388.05195847800502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4.1040034819335762</v>
      </c>
      <c r="AB99" s="23">
        <f>EXP(-LN(2)/2)*AB98+(1-EXP(-LN(2)/2))/(LN(2)/2)*V99*Y99*VLOOKUP('Données projet'!$B$9,Paramètres!$A$1:$I$89,3,0)*0.475*44/12</f>
        <v>2.1265014170964879E-9</v>
      </c>
      <c r="AC99" s="24">
        <f t="shared" si="57"/>
        <v>4.1040034840600779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5.6</v>
      </c>
      <c r="AI99" s="14">
        <f>IF('Données projet'!$A$62&gt;35,AI98+AH99-AQ98,IF(A99&lt;'Données projet'!$A$62,$AF$205^A99,IF(A99='Données projet'!$A$62,'Données projet'!$B$62,AI98+AH99-AQ98)))</f>
        <v>310.59999999999991</v>
      </c>
      <c r="AJ99" s="14">
        <f>AI99*VLOOKUP('Données projet'!$B$10,Paramètres!$A$1:$I$89,3,0)*VLOOKUP('Données projet'!$B$10,Paramètres!$A$1:$I$89,5,0)</f>
        <v>281.03087999999991</v>
      </c>
      <c r="AK99" s="14">
        <f t="shared" si="89"/>
        <v>67.184816842275467</v>
      </c>
      <c r="AL99" s="22">
        <f t="shared" si="58"/>
        <v>606.4756720002963</v>
      </c>
      <c r="AM99" s="62">
        <f t="shared" si="59"/>
        <v>899.80900533362956</v>
      </c>
      <c r="AN99" s="62">
        <f ca="1">AVERAGE(OFFSET($AM$3,0,0,'Données projet'!$E$10+1,1))-AVERAGE(OFFSET($H$3,0,0,'Données projet'!$E$10+1,1))</f>
        <v>439.19854273764042</v>
      </c>
      <c r="AO99" s="62">
        <f t="shared" si="90"/>
        <v>278.21741231699929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1.4647804982432902</v>
      </c>
      <c r="AW99" s="23">
        <f>EXP(-LN(2)/2)*AW98+(1-EXP(-LN(2)/2))/(LN(2)/2)*AQ99*AT99*VLOOKUP('Données projet'!$B$10,Paramètres!$A$1:$I$89,3,0)*0.475*44/12</f>
        <v>1.7357262136132523E-9</v>
      </c>
      <c r="AX99" s="23">
        <f t="shared" si="60"/>
        <v>1.4647804999790164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-2.8421709430404007E-13</v>
      </c>
      <c r="BE99" s="14">
        <f>BD99*VLOOKUP('Données projet'!$B$11,Paramètres!$A$1:$I$89,3,0)*VLOOKUP('Données projet'!$B$11,Paramètres!$A$1:$I$89,5,0)</f>
        <v>-2.2612312022829427E-13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352.88510024787888</v>
      </c>
      <c r="BJ99" s="62">
        <f t="shared" si="92"/>
        <v>343.77208530767069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1.9717733249674749</v>
      </c>
      <c r="BR99" s="23">
        <f>EXP(-LN(2)/2)*BR98+(1-EXP(-LN(2)/2))/(LN(2)/2)*BL99*BO99*VLOOKUP('Données projet'!$B$11,Paramètres!$A$1:$I$89,3,0)*0.475*44/12</f>
        <v>4.5957115118213426E-11</v>
      </c>
      <c r="BS99" s="24">
        <f t="shared" si="63"/>
        <v>1.9717733250134319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-2.8421709430404007E-13</v>
      </c>
      <c r="BZ99" s="14">
        <f>BY99*VLOOKUP('Données projet'!$B$12,Paramètres!$A$1:$I$89,3,0)*VLOOKUP('Données projet'!$B$12,Paramètres!$A$1:$I$89,5,0)</f>
        <v>-2.0838797354372215E-13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328.10411227536315</v>
      </c>
      <c r="CE99" s="62">
        <f t="shared" si="94"/>
        <v>320.24200483294322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2.456787210814082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2.456787210814082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5.6843418860808015E-14</v>
      </c>
      <c r="CU99" s="18">
        <f>CT99*VLOOKUP('Données projet'!$B$13,Paramètres!$A$1:$I$89,3,0)*VLOOKUP('Données projet'!$B$13,Paramètres!$A$1:$I$89,5,0)</f>
        <v>4.4337866711430253E-14</v>
      </c>
      <c r="CV99" s="14">
        <f t="shared" si="95"/>
        <v>7.3222115536967035E-13</v>
      </c>
      <c r="CW99" s="22">
        <f t="shared" si="67"/>
        <v>1.3525069634579169E-12</v>
      </c>
      <c r="CX99" s="62">
        <f t="shared" si="68"/>
        <v>293.33333333333468</v>
      </c>
      <c r="CY99" s="62">
        <f ca="1">AVERAGE(OFFSET($CX$3,0,0,'Données projet'!$E$13+1,1))-AVERAGE(OFFSET($H$3,0,0,'Données projet'!$E$13+1,1))</f>
        <v>288.82868507674738</v>
      </c>
      <c r="CZ99" s="62">
        <f t="shared" si="96"/>
        <v>283.48738729114024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2.7624700240262796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2.7624700240262796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5.8</v>
      </c>
      <c r="DO99" s="13">
        <f>IF('Données projet'!$A$166&gt;35,DO98+DN99-DW98,IF(A99&lt;'Données projet'!$A$166,$DL$205^A99,IF(A99='Données projet'!$A$166,'Données projet'!$B$166,DO98+DN99-DW98)))</f>
        <v>309.79999999999995</v>
      </c>
      <c r="DP99" s="18">
        <f>DO99*VLOOKUP('Données projet'!$B$14,Paramètres!$A$1:$I$89,3,0)*VLOOKUP('Données projet'!$B$14,Paramètres!$A$1:$I$89,5,0)</f>
        <v>314.13719999999995</v>
      </c>
      <c r="DQ99" s="14">
        <f t="shared" si="97"/>
        <v>74.132174405952824</v>
      </c>
      <c r="DR99" s="22">
        <f t="shared" si="70"/>
        <v>676.23582709036771</v>
      </c>
      <c r="DS99" s="62">
        <f t="shared" si="71"/>
        <v>969.56916042370108</v>
      </c>
      <c r="DT99" s="62">
        <f ca="1">AVERAGE(OFFSET($DS$3,0,0,'Données projet'!$E$14+1,1))-AVERAGE(OFFSET($H$3,0,0,'Données projet'!$E$14+1,1))</f>
        <v>487.04124684635974</v>
      </c>
      <c r="DU99" s="62">
        <f t="shared" si="98"/>
        <v>306.61893266146666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3.3134589805059451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3.3134589805059451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5.8</v>
      </c>
      <c r="EJ99" s="13">
        <f>IF('Données projet'!$A$192&gt;35,EJ98+EI99-ER98,IF(A99&lt;'Données projet'!$A$192,$EG$205^A99,IF(A99='Données projet'!$A$192,'Données projet'!$B$192,EJ98+EI99-ER98)))</f>
        <v>309.79999999999995</v>
      </c>
      <c r="EK99" s="18">
        <f>EJ99*VLOOKUP('Données projet'!$B$15,Paramètres!$A$1:$I$89,3,0)*VLOOKUP('Données projet'!$B$15,Paramètres!$A$1:$I$89,5,0)</f>
        <v>294.80568</v>
      </c>
      <c r="EL99" s="14">
        <f t="shared" si="99"/>
        <v>70.086430040256928</v>
      </c>
      <c r="EM99" s="22">
        <f t="shared" si="73"/>
        <v>635.52042498678077</v>
      </c>
      <c r="EN99" s="62">
        <f t="shared" si="74"/>
        <v>928.85375832011414</v>
      </c>
      <c r="EO99" s="62">
        <f ca="1">AVERAGE(OFFSET($EN$3,0,0,'Données projet'!$E$15+1,1))-AVERAGE(OFFSET($H$3,0,0,'Données projet'!$E$15+1,1))</f>
        <v>459.64120566196812</v>
      </c>
      <c r="EP99" s="62">
        <f t="shared" si="100"/>
        <v>290.39826583283588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3.1095538124748083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3.1095538124748083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5.8</v>
      </c>
      <c r="FE99" s="13">
        <f>IF('Données projet'!$A$218&gt;35,FE98+FD99-FM98,IF(A99&lt;'Données projet'!$A$218,$FB$205^A99,IF(A99='Données projet'!$A$218,'Données projet'!$B$218,FE98+FD99-FM98)))</f>
        <v>309.79999999999995</v>
      </c>
      <c r="FF99" s="18">
        <f>FE99*VLOOKUP('Données projet'!$B$16,Paramètres!$A$1:$I$89,3,0)*VLOOKUP('Données projet'!$B$16,Paramètres!$A$1:$I$89,5,0)</f>
        <v>207.81383999999997</v>
      </c>
      <c r="FG99" s="14">
        <f t="shared" si="101"/>
        <v>51.457564160797617</v>
      </c>
      <c r="FH99" s="22">
        <f t="shared" si="76"/>
        <v>451.56436224672251</v>
      </c>
      <c r="FI99" s="62">
        <f t="shared" si="77"/>
        <v>744.89769558005582</v>
      </c>
      <c r="FJ99" s="62">
        <f ca="1">AVERAGE(OFFSET($FI$3,0,0,'Données projet'!$E$16+1,1))-AVERAGE(OFFSET($H$3,0,0,'Données projet'!$E$16+1,1))</f>
        <v>335.83558218229564</v>
      </c>
      <c r="FK99" s="62">
        <f t="shared" si="102"/>
        <v>217.08423061559648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0</v>
      </c>
      <c r="FR99" s="23">
        <f>EXP(-LN(2)/25)*FR98+(1-EXP(-LN(2)/25))/(LN(2)/25)*Calculateur!FM99*Calculateur!FO99*VLOOKUP('Données projet'!$B$16,Paramètres!$A$1:$I$89,3,0)*0.475*44/12</f>
        <v>1.3385063173602483</v>
      </c>
      <c r="FS99" s="23">
        <f>EXP(-LN(2)/2)*FS98+(1-EXP(-LN(2)/2))/(LN(2)/2)*FM99*FP99*VLOOKUP('Données projet'!$B$16,Paramètres!$A$1:$I$89,3,0)*0.475*44/12</f>
        <v>1.2868315031960365E-9</v>
      </c>
      <c r="FT99" s="24">
        <f t="shared" si="78"/>
        <v>1.3385063186470798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1.9895196601282805E-13</v>
      </c>
      <c r="O100" s="14">
        <f>N100*VLOOKUP('Données projet'!$B$9,Paramètres!$A$1:$I$89,3,0)*VLOOKUP('Données projet'!$B$9,Paramètres!$A$1:$I$89,5,0)</f>
        <v>1.738044375088066E-13</v>
      </c>
      <c r="P100" s="14">
        <f t="shared" si="87"/>
        <v>2.4483293633950478E-12</v>
      </c>
      <c r="Q100" s="22">
        <f t="shared" si="107"/>
        <v>4.566883036574213E-12</v>
      </c>
      <c r="R100" s="62">
        <f t="shared" si="55"/>
        <v>293.33333333333786</v>
      </c>
      <c r="S100" s="62">
        <f ca="1">AVERAGE(OFFSET($R$3,0,0,'Données projet'!$E$9+1,1))-AVERAGE(OFFSET($H$3,0,0,'Données projet'!$E$9+1,1))</f>
        <v>321.23599968992932</v>
      </c>
      <c r="T100" s="62">
        <f t="shared" si="88"/>
        <v>388.05195847800502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3.9917792908999394</v>
      </c>
      <c r="AB100" s="23">
        <f>EXP(-LN(2)/2)*AB99+(1-EXP(-LN(2)/2))/(LN(2)/2)*V100*Y100*VLOOKUP('Données projet'!$B$9,Paramètres!$A$1:$I$89,3,0)*0.475*44/12</f>
        <v>1.5036635722317295E-9</v>
      </c>
      <c r="AC100" s="24">
        <f t="shared" si="57"/>
        <v>3.9917792924036029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5.6</v>
      </c>
      <c r="AI100" s="14">
        <f>IF('Données projet'!$A$62&gt;35,AI99+AH100-AQ99,IF(A100&lt;'Données projet'!$A$62,$AF$205^A100,IF(A100='Données projet'!$A$62,'Données projet'!$B$62,AI99+AH100-AQ99)))</f>
        <v>316.19999999999993</v>
      </c>
      <c r="AJ100" s="14">
        <f>AI100*VLOOKUP('Données projet'!$B$10,Paramètres!$A$1:$I$89,3,0)*VLOOKUP('Données projet'!$B$10,Paramètres!$A$1:$I$89,5,0)</f>
        <v>286.09775999999994</v>
      </c>
      <c r="AK100" s="14">
        <f t="shared" si="89"/>
        <v>68.254020651723678</v>
      </c>
      <c r="AL100" s="22">
        <f t="shared" si="58"/>
        <v>617.16268463508527</v>
      </c>
      <c r="AM100" s="62">
        <f t="shared" si="59"/>
        <v>910.49601796841853</v>
      </c>
      <c r="AN100" s="62">
        <f ca="1">AVERAGE(OFFSET($AM$3,0,0,'Données projet'!$E$10+1,1))-AVERAGE(OFFSET($H$3,0,0,'Données projet'!$E$10+1,1))</f>
        <v>439.19854273764042</v>
      </c>
      <c r="AO100" s="62">
        <f t="shared" si="90"/>
        <v>278.21741231699929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1.4247259984893688</v>
      </c>
      <c r="AW100" s="23">
        <f>EXP(-LN(2)/2)*AW99+(1-EXP(-LN(2)/2))/(LN(2)/2)*AQ100*AT100*VLOOKUP('Données projet'!$B$10,Paramètres!$A$1:$I$89,3,0)*0.475*44/12</f>
        <v>1.2273437759291807E-9</v>
      </c>
      <c r="AX100" s="23">
        <f t="shared" si="60"/>
        <v>1.4247259997167125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-2.8421709430404007E-13</v>
      </c>
      <c r="BE100" s="14">
        <f>BD100*VLOOKUP('Données projet'!$B$11,Paramètres!$A$1:$I$89,3,0)*VLOOKUP('Données projet'!$B$11,Paramètres!$A$1:$I$89,5,0)</f>
        <v>-2.2612312022829427E-13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352.88510024787888</v>
      </c>
      <c r="BJ100" s="62">
        <f t="shared" si="92"/>
        <v>343.77208530767069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1.9178550797051868</v>
      </c>
      <c r="BR100" s="23">
        <f>EXP(-LN(2)/2)*BR99+(1-EXP(-LN(2)/2))/(LN(2)/2)*BL100*BO100*VLOOKUP('Données projet'!$B$11,Paramètres!$A$1:$I$89,3,0)*0.475*44/12</f>
        <v>3.2496587743859516E-11</v>
      </c>
      <c r="BS100" s="24">
        <f t="shared" si="63"/>
        <v>1.9178550797376834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-2.8421709430404007E-13</v>
      </c>
      <c r="BZ100" s="14">
        <f>BY100*VLOOKUP('Données projet'!$B$12,Paramètres!$A$1:$I$89,3,0)*VLOOKUP('Données projet'!$B$12,Paramètres!$A$1:$I$89,5,0)</f>
        <v>-2.0838797354372215E-13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328.10411227536315</v>
      </c>
      <c r="CE100" s="62">
        <f t="shared" si="94"/>
        <v>320.24200483294322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2.4086111121022529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2.4086111121022529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5.6843418860808015E-14</v>
      </c>
      <c r="CU100" s="18">
        <f>CT100*VLOOKUP('Données projet'!$B$13,Paramètres!$A$1:$I$89,3,0)*VLOOKUP('Données projet'!$B$13,Paramètres!$A$1:$I$89,5,0)</f>
        <v>4.4337866711430253E-14</v>
      </c>
      <c r="CV100" s="14">
        <f t="shared" si="95"/>
        <v>7.3222115536967035E-13</v>
      </c>
      <c r="CW100" s="22">
        <f t="shared" si="67"/>
        <v>1.3525069634579169E-12</v>
      </c>
      <c r="CX100" s="62">
        <f t="shared" si="68"/>
        <v>293.33333333333468</v>
      </c>
      <c r="CY100" s="62">
        <f ca="1">AVERAGE(OFFSET($CX$3,0,0,'Données projet'!$E$13+1,1))-AVERAGE(OFFSET($H$3,0,0,'Données projet'!$E$13+1,1))</f>
        <v>288.82868507674738</v>
      </c>
      <c r="CZ100" s="62">
        <f t="shared" si="96"/>
        <v>283.48738729114024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2.7082996717954648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2.7082996717954648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5.8</v>
      </c>
      <c r="DO100" s="13">
        <f>IF('Données projet'!$A$166&gt;35,DO99+DN100-DW99,IF(A100&lt;'Données projet'!$A$166,$DL$205^A100,IF(A100='Données projet'!$A$166,'Données projet'!$B$166,DO99+DN100-DW99)))</f>
        <v>315.59999999999997</v>
      </c>
      <c r="DP100" s="18">
        <f>DO100*VLOOKUP('Données projet'!$B$14,Paramètres!$A$1:$I$89,3,0)*VLOOKUP('Données projet'!$B$14,Paramètres!$A$1:$I$89,5,0)</f>
        <v>320.01839999999999</v>
      </c>
      <c r="DQ100" s="14">
        <f t="shared" si="97"/>
        <v>75.357182127856944</v>
      </c>
      <c r="DR100" s="22">
        <f t="shared" si="70"/>
        <v>688.61247220601751</v>
      </c>
      <c r="DS100" s="62">
        <f t="shared" si="71"/>
        <v>981.94580553935089</v>
      </c>
      <c r="DT100" s="62">
        <f ca="1">AVERAGE(OFFSET($DS$3,0,0,'Données projet'!$E$14+1,1))-AVERAGE(OFFSET($H$3,0,0,'Données projet'!$E$14+1,1))</f>
        <v>487.04124684635974</v>
      </c>
      <c r="DU100" s="62">
        <f t="shared" si="98"/>
        <v>306.61893266146666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3.2484840709086433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3.2484840709086433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5.8</v>
      </c>
      <c r="EJ100" s="13">
        <f>IF('Données projet'!$A$192&gt;35,EJ99+EI100-ER99,IF(A100&lt;'Données projet'!$A$192,$EG$205^A100,IF(A100='Données projet'!$A$192,'Données projet'!$B$192,EJ99+EI100-ER99)))</f>
        <v>315.59999999999997</v>
      </c>
      <c r="EK100" s="18">
        <f>EJ100*VLOOKUP('Données projet'!$B$15,Paramètres!$A$1:$I$89,3,0)*VLOOKUP('Données projet'!$B$15,Paramètres!$A$1:$I$89,5,0)</f>
        <v>300.32495999999998</v>
      </c>
      <c r="EL100" s="14">
        <f t="shared" si="99"/>
        <v>71.244583280574048</v>
      </c>
      <c r="EM100" s="22">
        <f t="shared" si="73"/>
        <v>647.15028788033305</v>
      </c>
      <c r="EN100" s="62">
        <f t="shared" si="74"/>
        <v>940.48362121366631</v>
      </c>
      <c r="EO100" s="62">
        <f ca="1">AVERAGE(OFFSET($EN$3,0,0,'Données projet'!$E$15+1,1))-AVERAGE(OFFSET($H$3,0,0,'Données projet'!$E$15+1,1))</f>
        <v>459.64120566196812</v>
      </c>
      <c r="EP100" s="62">
        <f t="shared" si="100"/>
        <v>290.39826583283588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3.0485773588527252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3.0485773588527252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5.8</v>
      </c>
      <c r="FE100" s="13">
        <f>IF('Données projet'!$A$218&gt;35,FE99+FD100-FM99,IF(A100&lt;'Données projet'!$A$218,$FB$205^A100,IF(A100='Données projet'!$A$218,'Données projet'!$B$218,FE99+FD100-FM99)))</f>
        <v>315.59999999999997</v>
      </c>
      <c r="FF100" s="18">
        <f>FE100*VLOOKUP('Données projet'!$B$16,Paramètres!$A$1:$I$89,3,0)*VLOOKUP('Données projet'!$B$16,Paramètres!$A$1:$I$89,5,0)</f>
        <v>211.70447999999996</v>
      </c>
      <c r="FG100" s="14">
        <f t="shared" si="101"/>
        <v>52.307882041697276</v>
      </c>
      <c r="FH100" s="22">
        <f t="shared" si="76"/>
        <v>459.82153055595603</v>
      </c>
      <c r="FI100" s="62">
        <f t="shared" si="77"/>
        <v>753.15486388928935</v>
      </c>
      <c r="FJ100" s="62">
        <f ca="1">AVERAGE(OFFSET($FI$3,0,0,'Données projet'!$E$16+1,1))-AVERAGE(OFFSET($H$3,0,0,'Données projet'!$E$16+1,1))</f>
        <v>335.83558218229564</v>
      </c>
      <c r="FK100" s="62">
        <f t="shared" si="102"/>
        <v>217.08423061559648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0</v>
      </c>
      <c r="FR100" s="23">
        <f>EXP(-LN(2)/25)*FR99+(1-EXP(-LN(2)/25))/(LN(2)/25)*Calculateur!FM100*Calculateur!FO100*VLOOKUP('Données projet'!$B$16,Paramètres!$A$1:$I$89,3,0)*0.475*44/12</f>
        <v>1.3019047917230442</v>
      </c>
      <c r="FS100" s="23">
        <f>EXP(-LN(2)/2)*FS99+(1-EXP(-LN(2)/2))/(LN(2)/2)*FM100*FP100*VLOOKUP('Données projet'!$B$16,Paramètres!$A$1:$I$89,3,0)*0.475*44/12</f>
        <v>9.099272821543959E-10</v>
      </c>
      <c r="FT100" s="24">
        <f t="shared" si="78"/>
        <v>1.3019047926329714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1.9895196601282805E-13</v>
      </c>
      <c r="O101" s="14">
        <f>N101*VLOOKUP('Données projet'!$B$9,Paramètres!$A$1:$I$89,3,0)*VLOOKUP('Données projet'!$B$9,Paramètres!$A$1:$I$89,5,0)</f>
        <v>1.738044375088066E-13</v>
      </c>
      <c r="P101" s="14">
        <f t="shared" si="87"/>
        <v>2.4483293633950478E-12</v>
      </c>
      <c r="Q101" s="22">
        <f t="shared" si="107"/>
        <v>4.566883036574213E-12</v>
      </c>
      <c r="R101" s="62">
        <f t="shared" si="55"/>
        <v>293.33333333333786</v>
      </c>
      <c r="S101" s="62">
        <f ca="1">AVERAGE(OFFSET($R$3,0,0,'Données projet'!$E$9+1,1))-AVERAGE(OFFSET($H$3,0,0,'Données projet'!$E$9+1,1))</f>
        <v>321.23599968992932</v>
      </c>
      <c r="T101" s="62">
        <f t="shared" si="88"/>
        <v>388.05195847800502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3.8826238762717309</v>
      </c>
      <c r="AB101" s="23">
        <f>EXP(-LN(2)/2)*AB100+(1-EXP(-LN(2)/2))/(LN(2)/2)*V101*Y101*VLOOKUP('Données projet'!$B$9,Paramètres!$A$1:$I$89,3,0)*0.475*44/12</f>
        <v>1.0632507085482439E-9</v>
      </c>
      <c r="AC101" s="24">
        <f t="shared" si="57"/>
        <v>3.8826238773349817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5.6</v>
      </c>
      <c r="AI101" s="14">
        <f>IF('Données projet'!$A$62&gt;35,AI100+AH101-AQ100,IF(A101&lt;'Données projet'!$A$62,$AF$205^A101,IF(A101='Données projet'!$A$62,'Données projet'!$B$62,AI100+AH101-AQ100)))</f>
        <v>321.79999999999995</v>
      </c>
      <c r="AJ101" s="14">
        <f>AI101*VLOOKUP('Données projet'!$B$10,Paramètres!$A$1:$I$89,3,0)*VLOOKUP('Données projet'!$B$10,Paramètres!$A$1:$I$89,5,0)</f>
        <v>291.16463999999991</v>
      </c>
      <c r="AK101" s="14">
        <f t="shared" si="89"/>
        <v>69.321022467464644</v>
      </c>
      <c r="AL101" s="22">
        <f t="shared" si="58"/>
        <v>627.84586213083401</v>
      </c>
      <c r="AM101" s="62">
        <f t="shared" si="59"/>
        <v>921.17919546416738</v>
      </c>
      <c r="AN101" s="62">
        <f ca="1">AVERAGE(OFFSET($AM$3,0,0,'Données projet'!$E$10+1,1))-AVERAGE(OFFSET($H$3,0,0,'Données projet'!$E$10+1,1))</f>
        <v>439.19854273764042</v>
      </c>
      <c r="AO101" s="62">
        <f t="shared" si="90"/>
        <v>278.21741231699929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1.385766791137593</v>
      </c>
      <c r="AW101" s="23">
        <f>EXP(-LN(2)/2)*AW100+(1-EXP(-LN(2)/2))/(LN(2)/2)*AQ101*AT101*VLOOKUP('Données projet'!$B$10,Paramètres!$A$1:$I$89,3,0)*0.475*44/12</f>
        <v>8.6786310680662617E-10</v>
      </c>
      <c r="AX101" s="23">
        <f t="shared" si="60"/>
        <v>1.3857667920054562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-2.8421709430404007E-13</v>
      </c>
      <c r="BE101" s="14">
        <f>BD101*VLOOKUP('Données projet'!$B$11,Paramètres!$A$1:$I$89,3,0)*VLOOKUP('Données projet'!$B$11,Paramètres!$A$1:$I$89,5,0)</f>
        <v>-2.2612312022829427E-13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352.88510024787888</v>
      </c>
      <c r="BJ101" s="62">
        <f t="shared" si="92"/>
        <v>343.77208530767069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1.8654112316950331</v>
      </c>
      <c r="BR101" s="23">
        <f>EXP(-LN(2)/2)*BR100+(1-EXP(-LN(2)/2))/(LN(2)/2)*BL101*BO101*VLOOKUP('Données projet'!$B$11,Paramètres!$A$1:$I$89,3,0)*0.475*44/12</f>
        <v>2.2978557559106713E-11</v>
      </c>
      <c r="BS101" s="24">
        <f t="shared" si="63"/>
        <v>1.8654112317180116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-2.8421709430404007E-13</v>
      </c>
      <c r="BZ101" s="14">
        <f>BY101*VLOOKUP('Données projet'!$B$12,Paramètres!$A$1:$I$89,3,0)*VLOOKUP('Données projet'!$B$12,Paramètres!$A$1:$I$89,5,0)</f>
        <v>-2.0838797354372215E-13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328.10411227536315</v>
      </c>
      <c r="CE101" s="62">
        <f t="shared" si="94"/>
        <v>320.24200483294322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2.3613797173016438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2.3613797173016438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5.6843418860808015E-14</v>
      </c>
      <c r="CU101" s="18">
        <f>CT101*VLOOKUP('Données projet'!$B$13,Paramètres!$A$1:$I$89,3,0)*VLOOKUP('Données projet'!$B$13,Paramètres!$A$1:$I$89,5,0)</f>
        <v>4.4337866711430253E-14</v>
      </c>
      <c r="CV101" s="14">
        <f t="shared" si="95"/>
        <v>7.3222115536967035E-13</v>
      </c>
      <c r="CW101" s="22">
        <f t="shared" si="67"/>
        <v>1.3525069634579169E-12</v>
      </c>
      <c r="CX101" s="62">
        <f t="shared" si="68"/>
        <v>293.33333333333468</v>
      </c>
      <c r="CY101" s="62">
        <f ca="1">AVERAGE(OFFSET($CX$3,0,0,'Données projet'!$E$13+1,1))-AVERAGE(OFFSET($H$3,0,0,'Données projet'!$E$13+1,1))</f>
        <v>288.82868507674738</v>
      </c>
      <c r="CZ101" s="62">
        <f t="shared" si="96"/>
        <v>283.48738729114024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2.655191567131244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2.655191567131244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5.8</v>
      </c>
      <c r="DO101" s="13">
        <f>IF('Données projet'!$A$166&gt;35,DO100+DN101-DW100,IF(A101&lt;'Données projet'!$A$166,$DL$205^A101,IF(A101='Données projet'!$A$166,'Données projet'!$B$166,DO100+DN101-DW100)))</f>
        <v>321.39999999999998</v>
      </c>
      <c r="DP101" s="18">
        <f>DO101*VLOOKUP('Données projet'!$B$14,Paramètres!$A$1:$I$89,3,0)*VLOOKUP('Données projet'!$B$14,Paramètres!$A$1:$I$89,5,0)</f>
        <v>325.89960000000002</v>
      </c>
      <c r="DQ101" s="14">
        <f t="shared" si="97"/>
        <v>76.579572003009503</v>
      </c>
      <c r="DR101" s="22">
        <f t="shared" si="70"/>
        <v>700.98455790524156</v>
      </c>
      <c r="DS101" s="62">
        <f t="shared" si="71"/>
        <v>994.31789123857493</v>
      </c>
      <c r="DT101" s="62">
        <f ca="1">AVERAGE(OFFSET($DS$3,0,0,'Données projet'!$E$14+1,1))-AVERAGE(OFFSET($H$3,0,0,'Données projet'!$E$14+1,1))</f>
        <v>487.04124684635974</v>
      </c>
      <c r="DU101" s="62">
        <f t="shared" si="98"/>
        <v>306.61893266146666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3.1847832796577631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3.1847832796577631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5.8</v>
      </c>
      <c r="EJ101" s="13">
        <f>IF('Données projet'!$A$192&gt;35,EJ100+EI101-ER100,IF(A101&lt;'Données projet'!$A$192,$EG$205^A101,IF(A101='Données projet'!$A$192,'Données projet'!$B$192,EJ100+EI101-ER100)))</f>
        <v>321.39999999999998</v>
      </c>
      <c r="EK101" s="18">
        <f>EJ101*VLOOKUP('Données projet'!$B$15,Paramètres!$A$1:$I$89,3,0)*VLOOKUP('Données projet'!$B$15,Paramètres!$A$1:$I$89,5,0)</f>
        <v>305.84423999999996</v>
      </c>
      <c r="EL101" s="14">
        <f t="shared" si="99"/>
        <v>72.400261542453194</v>
      </c>
      <c r="EM101" s="22">
        <f t="shared" si="73"/>
        <v>658.77584018643915</v>
      </c>
      <c r="EN101" s="62">
        <f t="shared" si="74"/>
        <v>952.10917351977241</v>
      </c>
      <c r="EO101" s="62">
        <f ca="1">AVERAGE(OFFSET($EN$3,0,0,'Données projet'!$E$15+1,1))-AVERAGE(OFFSET($H$3,0,0,'Données projet'!$E$15+1,1))</f>
        <v>459.64120566196812</v>
      </c>
      <c r="EP101" s="62">
        <f t="shared" si="100"/>
        <v>290.39826583283588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2.988796616294207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2.988796616294207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5.8</v>
      </c>
      <c r="FE101" s="13">
        <f>IF('Données projet'!$A$218&gt;35,FE100+FD101-FM100,IF(A101&lt;'Données projet'!$A$218,$FB$205^A101,IF(A101='Données projet'!$A$218,'Données projet'!$B$218,FE100+FD101-FM100)))</f>
        <v>321.39999999999998</v>
      </c>
      <c r="FF101" s="18">
        <f>FE101*VLOOKUP('Données projet'!$B$16,Paramètres!$A$1:$I$89,3,0)*VLOOKUP('Données projet'!$B$16,Paramètres!$A$1:$I$89,5,0)</f>
        <v>215.59512000000001</v>
      </c>
      <c r="FG101" s="14">
        <f t="shared" si="101"/>
        <v>53.156382789641306</v>
      </c>
      <c r="FH101" s="22">
        <f t="shared" si="76"/>
        <v>468.07553402529197</v>
      </c>
      <c r="FI101" s="62">
        <f t="shared" si="77"/>
        <v>761.40886735862523</v>
      </c>
      <c r="FJ101" s="62">
        <f ca="1">AVERAGE(OFFSET($FI$3,0,0,'Données projet'!$E$16+1,1))-AVERAGE(OFFSET($H$3,0,0,'Données projet'!$E$16+1,1))</f>
        <v>335.83558218229564</v>
      </c>
      <c r="FK101" s="62">
        <f t="shared" si="102"/>
        <v>217.08423061559648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0</v>
      </c>
      <c r="FR101" s="23">
        <f>EXP(-LN(2)/25)*FR100+(1-EXP(-LN(2)/25))/(LN(2)/25)*Calculateur!FM101*Calculateur!FO101*VLOOKUP('Données projet'!$B$16,Paramètres!$A$1:$I$89,3,0)*0.475*44/12</f>
        <v>1.2663041367291801</v>
      </c>
      <c r="FS101" s="23">
        <f>EXP(-LN(2)/2)*FS100+(1-EXP(-LN(2)/2))/(LN(2)/2)*FM101*FP101*VLOOKUP('Données projet'!$B$16,Paramètres!$A$1:$I$89,3,0)*0.475*44/12</f>
        <v>6.4341575159801836E-10</v>
      </c>
      <c r="FT101" s="24">
        <f t="shared" si="78"/>
        <v>1.2663041373725958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1.9895196601282805E-13</v>
      </c>
      <c r="O102" s="14">
        <f>N102*VLOOKUP('Données projet'!$B$9,Paramètres!$A$1:$I$89,3,0)*VLOOKUP('Données projet'!$B$9,Paramètres!$A$1:$I$89,5,0)</f>
        <v>1.738044375088066E-13</v>
      </c>
      <c r="P102" s="14">
        <f t="shared" si="87"/>
        <v>2.4483293633950478E-12</v>
      </c>
      <c r="Q102" s="22">
        <f t="shared" si="107"/>
        <v>4.566883036574213E-12</v>
      </c>
      <c r="R102" s="62">
        <f t="shared" si="55"/>
        <v>293.33333333333786</v>
      </c>
      <c r="S102" s="62">
        <f ca="1">AVERAGE(OFFSET($R$3,0,0,'Données projet'!$E$9+1,1))-AVERAGE(OFFSET($H$3,0,0,'Données projet'!$E$9+1,1))</f>
        <v>321.23599968992932</v>
      </c>
      <c r="T102" s="62">
        <f t="shared" si="88"/>
        <v>388.05195847800502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3.7764533221967644</v>
      </c>
      <c r="AB102" s="23">
        <f>EXP(-LN(2)/2)*AB101+(1-EXP(-LN(2)/2))/(LN(2)/2)*V102*Y102*VLOOKUP('Données projet'!$B$9,Paramètres!$A$1:$I$89,3,0)*0.475*44/12</f>
        <v>7.5183178611586475E-10</v>
      </c>
      <c r="AC102" s="24">
        <f t="shared" si="57"/>
        <v>3.7764533229485964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5.6</v>
      </c>
      <c r="AI102" s="14">
        <f>IF('Données projet'!$A$62&gt;35,AI101+AH102-AQ101,IF(A102&lt;'Données projet'!$A$62,$AF$205^A102,IF(A102='Données projet'!$A$62,'Données projet'!$B$62,AI101+AH102-AQ101)))</f>
        <v>327.39999999999998</v>
      </c>
      <c r="AJ102" s="14">
        <f>AI102*VLOOKUP('Données projet'!$B$10,Paramètres!$A$1:$I$89,3,0)*VLOOKUP('Données projet'!$B$10,Paramètres!$A$1:$I$89,5,0)</f>
        <v>296.23151999999993</v>
      </c>
      <c r="AK102" s="14">
        <f t="shared" si="89"/>
        <v>70.385865030263986</v>
      </c>
      <c r="AL102" s="22">
        <f t="shared" si="58"/>
        <v>638.52527892770956</v>
      </c>
      <c r="AM102" s="62">
        <f t="shared" si="59"/>
        <v>931.85861226104294</v>
      </c>
      <c r="AN102" s="62">
        <f ca="1">AVERAGE(OFFSET($AM$3,0,0,'Données projet'!$E$10+1,1))-AVERAGE(OFFSET($H$3,0,0,'Données projet'!$E$10+1,1))</f>
        <v>439.19854273764042</v>
      </c>
      <c r="AO102" s="62">
        <f t="shared" si="90"/>
        <v>278.21741231699929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1.3478729253596273</v>
      </c>
      <c r="AW102" s="23">
        <f>EXP(-LN(2)/2)*AW101+(1-EXP(-LN(2)/2))/(LN(2)/2)*AQ102*AT102*VLOOKUP('Données projet'!$B$10,Paramètres!$A$1:$I$89,3,0)*0.475*44/12</f>
        <v>6.1367188796459033E-10</v>
      </c>
      <c r="AX102" s="23">
        <f t="shared" si="60"/>
        <v>1.3478729259732991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-2.8421709430404007E-13</v>
      </c>
      <c r="BE102" s="14">
        <f>BD102*VLOOKUP('Données projet'!$B$11,Paramètres!$A$1:$I$89,3,0)*VLOOKUP('Données projet'!$B$11,Paramètres!$A$1:$I$89,5,0)</f>
        <v>-2.2612312022829427E-13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352.88510024787888</v>
      </c>
      <c r="BJ102" s="62">
        <f t="shared" si="92"/>
        <v>343.77208530767069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1.8144014634666192</v>
      </c>
      <c r="BR102" s="23">
        <f>EXP(-LN(2)/2)*BR101+(1-EXP(-LN(2)/2))/(LN(2)/2)*BL102*BO102*VLOOKUP('Données projet'!$B$11,Paramètres!$A$1:$I$89,3,0)*0.475*44/12</f>
        <v>1.6248293871929758E-11</v>
      </c>
      <c r="BS102" s="24">
        <f t="shared" si="63"/>
        <v>1.8144014634828676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-2.8421709430404007E-13</v>
      </c>
      <c r="BZ102" s="14">
        <f>BY102*VLOOKUP('Données projet'!$B$12,Paramètres!$A$1:$I$89,3,0)*VLOOKUP('Données projet'!$B$12,Paramètres!$A$1:$I$89,5,0)</f>
        <v>-2.0838797354372215E-13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328.10411227536315</v>
      </c>
      <c r="CE102" s="62">
        <f t="shared" si="94"/>
        <v>320.24200483294322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2.3150745013447684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2.3150745013447684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5.6843418860808015E-14</v>
      </c>
      <c r="CU102" s="18">
        <f>CT102*VLOOKUP('Données projet'!$B$13,Paramètres!$A$1:$I$89,3,0)*VLOOKUP('Données projet'!$B$13,Paramètres!$A$1:$I$89,5,0)</f>
        <v>4.4337866711430253E-14</v>
      </c>
      <c r="CV102" s="14">
        <f t="shared" si="95"/>
        <v>7.3222115536967035E-13</v>
      </c>
      <c r="CW102" s="22">
        <f t="shared" si="67"/>
        <v>1.3525069634579169E-12</v>
      </c>
      <c r="CX102" s="62">
        <f t="shared" si="68"/>
        <v>293.33333333333468</v>
      </c>
      <c r="CY102" s="62">
        <f ca="1">AVERAGE(OFFSET($CX$3,0,0,'Données projet'!$E$13+1,1))-AVERAGE(OFFSET($H$3,0,0,'Données projet'!$E$13+1,1))</f>
        <v>288.82868507674738</v>
      </c>
      <c r="CZ102" s="62">
        <f t="shared" si="96"/>
        <v>283.48738729114024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2.6031248800067432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2.6031248800067432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5.8</v>
      </c>
      <c r="DO102" s="13">
        <f>IF('Données projet'!$A$166&gt;35,DO101+DN102-DW101,IF(A102&lt;'Données projet'!$A$166,$DL$205^A102,IF(A102='Données projet'!$A$166,'Données projet'!$B$166,DO101+DN102-DW101)))</f>
        <v>327.2</v>
      </c>
      <c r="DP102" s="18">
        <f>DO102*VLOOKUP('Données projet'!$B$14,Paramètres!$A$1:$I$89,3,0)*VLOOKUP('Données projet'!$B$14,Paramètres!$A$1:$I$89,5,0)</f>
        <v>331.7808</v>
      </c>
      <c r="DQ102" s="14">
        <f t="shared" si="97"/>
        <v>77.799396722557162</v>
      </c>
      <c r="DR102" s="22">
        <f t="shared" si="70"/>
        <v>713.3521759584537</v>
      </c>
      <c r="DS102" s="62">
        <f t="shared" si="71"/>
        <v>1006.685509291787</v>
      </c>
      <c r="DT102" s="62">
        <f ca="1">AVERAGE(OFFSET($DS$3,0,0,'Données projet'!$E$14+1,1))-AVERAGE(OFFSET($H$3,0,0,'Données projet'!$E$14+1,1))</f>
        <v>487.04124684635974</v>
      </c>
      <c r="DU102" s="62">
        <f t="shared" si="98"/>
        <v>306.61893266146666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3.1223316220696664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3.1223316220696664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5.8</v>
      </c>
      <c r="EJ102" s="13">
        <f>IF('Données projet'!$A$192&gt;35,EJ101+EI102-ER101,IF(A102&lt;'Données projet'!$A$192,$EG$205^A102,IF(A102='Données projet'!$A$192,'Données projet'!$B$192,EJ101+EI102-ER101)))</f>
        <v>327.2</v>
      </c>
      <c r="EK102" s="18">
        <f>EJ102*VLOOKUP('Données projet'!$B$15,Paramètres!$A$1:$I$89,3,0)*VLOOKUP('Données projet'!$B$15,Paramètres!$A$1:$I$89,5,0)</f>
        <v>311.36351999999999</v>
      </c>
      <c r="EL102" s="14">
        <f t="shared" si="99"/>
        <v>73.55351464143537</v>
      </c>
      <c r="EM102" s="22">
        <f t="shared" si="73"/>
        <v>670.39716866716651</v>
      </c>
      <c r="EN102" s="62">
        <f t="shared" si="74"/>
        <v>963.73050200049988</v>
      </c>
      <c r="EO102" s="62">
        <f ca="1">AVERAGE(OFFSET($EN$3,0,0,'Données projet'!$E$15+1,1))-AVERAGE(OFFSET($H$3,0,0,'Données projet'!$E$15+1,1))</f>
        <v>459.64120566196812</v>
      </c>
      <c r="EP102" s="62">
        <f t="shared" si="100"/>
        <v>290.39826583283588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2.9301881376346088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2.9301881376346088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5.8</v>
      </c>
      <c r="FE102" s="13">
        <f>IF('Données projet'!$A$218&gt;35,FE101+FD102-FM101,IF(A102&lt;'Données projet'!$A$218,$FB$205^A102,IF(A102='Données projet'!$A$218,'Données projet'!$B$218,FE101+FD102-FM101)))</f>
        <v>327.2</v>
      </c>
      <c r="FF102" s="18">
        <f>FE102*VLOOKUP('Données projet'!$B$16,Paramètres!$A$1:$I$89,3,0)*VLOOKUP('Données projet'!$B$16,Paramètres!$A$1:$I$89,5,0)</f>
        <v>219.48576</v>
      </c>
      <c r="FG102" s="14">
        <f t="shared" si="101"/>
        <v>54.003102979276136</v>
      </c>
      <c r="FH102" s="22">
        <f t="shared" si="76"/>
        <v>476.32643635557253</v>
      </c>
      <c r="FI102" s="62">
        <f t="shared" si="77"/>
        <v>769.65976968890584</v>
      </c>
      <c r="FJ102" s="62">
        <f ca="1">AVERAGE(OFFSET($FI$3,0,0,'Données projet'!$E$16+1,1))-AVERAGE(OFFSET($H$3,0,0,'Données projet'!$E$16+1,1))</f>
        <v>335.83558218229564</v>
      </c>
      <c r="FK102" s="62">
        <f t="shared" si="102"/>
        <v>217.08423061559648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0</v>
      </c>
      <c r="FR102" s="23">
        <f>EXP(-LN(2)/25)*FR101+(1-EXP(-LN(2)/25))/(LN(2)/25)*Calculateur!FM102*Calculateur!FO102*VLOOKUP('Données projet'!$B$16,Paramètres!$A$1:$I$89,3,0)*0.475*44/12</f>
        <v>1.2316769835182804</v>
      </c>
      <c r="FS102" s="23">
        <f>EXP(-LN(2)/2)*FS101+(1-EXP(-LN(2)/2))/(LN(2)/2)*FM102*FP102*VLOOKUP('Données projet'!$B$16,Paramètres!$A$1:$I$89,3,0)*0.475*44/12</f>
        <v>4.54963641077198E-10</v>
      </c>
      <c r="FT102" s="24">
        <f t="shared" si="78"/>
        <v>1.231676983973244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1.9895196601282805E-13</v>
      </c>
      <c r="O103" s="14">
        <f>N103*VLOOKUP('Données projet'!$B$9,Paramètres!$A$1:$I$89,3,0)*VLOOKUP('Données projet'!$B$9,Paramètres!$A$1:$I$89,5,0)</f>
        <v>1.738044375088066E-13</v>
      </c>
      <c r="P103" s="14">
        <f t="shared" si="87"/>
        <v>2.4483293633950478E-12</v>
      </c>
      <c r="Q103" s="22">
        <f t="shared" si="107"/>
        <v>4.566883036574213E-12</v>
      </c>
      <c r="R103" s="62">
        <f t="shared" si="55"/>
        <v>293.33333333333786</v>
      </c>
      <c r="S103" s="62">
        <f ca="1">AVERAGE(OFFSET($R$3,0,0,'Données projet'!$E$9+1,1))-AVERAGE(OFFSET($H$3,0,0,'Données projet'!$E$9+1,1))</f>
        <v>321.23599968992932</v>
      </c>
      <c r="T103" s="62">
        <f t="shared" si="88"/>
        <v>388.05195847800502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3.6731860075062448</v>
      </c>
      <c r="AB103" s="23">
        <f>EXP(-LN(2)/2)*AB102+(1-EXP(-LN(2)/2))/(LN(2)/2)*V103*Y103*VLOOKUP('Données projet'!$B$9,Paramètres!$A$1:$I$89,3,0)*0.475*44/12</f>
        <v>5.3162535427412197E-10</v>
      </c>
      <c r="AC103" s="24">
        <f t="shared" si="57"/>
        <v>3.6731860080378702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333</v>
      </c>
      <c r="AG103" s="13">
        <f>VLOOKUP(A103,'Données projet'!$A$61:$I$81,9,0)</f>
        <v>5.6</v>
      </c>
      <c r="AH103" s="13">
        <f t="array" ref="AH103">INDEX(AG:AG,MIN(IF(ISNUMBER(AG103:AG299),ROW(AG103:AG299),"")))</f>
        <v>5.6</v>
      </c>
      <c r="AI103" s="14">
        <f>IF('Données projet'!$A$62&gt;35,AI102+AH103-AQ102,IF(A103&lt;'Données projet'!$A$62,$AF$205^A103,IF(A103='Données projet'!$A$62,'Données projet'!$B$62,AI102+AH103-AQ102)))</f>
        <v>333</v>
      </c>
      <c r="AJ103" s="14">
        <f>AI103*VLOOKUP('Données projet'!$B$10,Paramètres!$A$1:$I$89,3,0)*VLOOKUP('Données projet'!$B$10,Paramètres!$A$1:$I$89,5,0)</f>
        <v>301.29840000000002</v>
      </c>
      <c r="AK103" s="14">
        <f t="shared" si="89"/>
        <v>71.448589534990518</v>
      </c>
      <c r="AL103" s="22">
        <f t="shared" si="58"/>
        <v>649.2010067734418</v>
      </c>
      <c r="AM103" s="62">
        <f t="shared" si="59"/>
        <v>942.53434010677506</v>
      </c>
      <c r="AN103" s="62">
        <f ca="1">AVERAGE(OFFSET($AM$3,0,0,'Données projet'!$E$10+1,1))-AVERAGE(OFFSET($H$3,0,0,'Données projet'!$E$10+1,1))</f>
        <v>439.19854273764042</v>
      </c>
      <c r="AO103" s="62">
        <f t="shared" si="90"/>
        <v>278.21741231699929</v>
      </c>
      <c r="AP103" s="16">
        <f>IF(ISNA(VLOOKUP(A103,'Données projet'!$A$61:$I$81,3,0)),0,VLOOKUP(A103,'Données projet'!$A$61:$I$81,3,0))</f>
        <v>17</v>
      </c>
      <c r="AQ103" s="16">
        <f>IF(ISNA(VLOOKUP(A103,'Données projet'!$A$61:$I$81,4,0)),0,VLOOKUP(A103,'Données projet'!$A$61:$I$81,4,0))</f>
        <v>27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1.3110152693341117</v>
      </c>
      <c r="AW103" s="23">
        <f>EXP(-LN(2)/2)*AW102+(1-EXP(-LN(2)/2))/(LN(2)/2)*AQ103*AT103*VLOOKUP('Données projet'!$B$10,Paramètres!$A$1:$I$89,3,0)*0.475*44/12</f>
        <v>4.3393155340331308E-10</v>
      </c>
      <c r="AX103" s="23">
        <f t="shared" si="60"/>
        <v>1.3110152697680433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-2.8421709430404007E-13</v>
      </c>
      <c r="BE103" s="14">
        <f>BD103*VLOOKUP('Données projet'!$B$11,Paramètres!$A$1:$I$89,3,0)*VLOOKUP('Données projet'!$B$11,Paramètres!$A$1:$I$89,5,0)</f>
        <v>-2.2612312022829427E-13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352.88510024787888</v>
      </c>
      <c r="BJ103" s="62">
        <f t="shared" si="92"/>
        <v>343.77208530767069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1.7647865600328985</v>
      </c>
      <c r="BR103" s="23">
        <f>EXP(-LN(2)/2)*BR102+(1-EXP(-LN(2)/2))/(LN(2)/2)*BL103*BO103*VLOOKUP('Données projet'!$B$11,Paramètres!$A$1:$I$89,3,0)*0.475*44/12</f>
        <v>1.1489278779553356E-11</v>
      </c>
      <c r="BS103" s="24">
        <f t="shared" si="63"/>
        <v>1.7647865600443877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-2.8421709430404007E-13</v>
      </c>
      <c r="BZ103" s="14">
        <f>BY103*VLOOKUP('Données projet'!$B$12,Paramètres!$A$1:$I$89,3,0)*VLOOKUP('Données projet'!$B$12,Paramètres!$A$1:$I$89,5,0)</f>
        <v>-2.0838797354372215E-13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328.10411227536315</v>
      </c>
      <c r="CE103" s="62">
        <f t="shared" si="94"/>
        <v>320.24200483294322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2.2696773024294146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2.2696773024294146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5.6843418860808015E-14</v>
      </c>
      <c r="CU103" s="18">
        <f>CT103*VLOOKUP('Données projet'!$B$13,Paramètres!$A$1:$I$89,3,0)*VLOOKUP('Données projet'!$B$13,Paramètres!$A$1:$I$89,5,0)</f>
        <v>4.4337866711430253E-14</v>
      </c>
      <c r="CV103" s="14">
        <f t="shared" si="95"/>
        <v>7.3222115536967035E-13</v>
      </c>
      <c r="CW103" s="22">
        <f t="shared" si="67"/>
        <v>1.3525069634579169E-12</v>
      </c>
      <c r="CX103" s="62">
        <f t="shared" si="68"/>
        <v>293.33333333333468</v>
      </c>
      <c r="CY103" s="62">
        <f ca="1">AVERAGE(OFFSET($CX$3,0,0,'Données projet'!$E$13+1,1))-AVERAGE(OFFSET($H$3,0,0,'Données projet'!$E$13+1,1))</f>
        <v>288.82868507674738</v>
      </c>
      <c r="CZ103" s="62">
        <f t="shared" si="96"/>
        <v>283.48738729114024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2.5520791888592105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2.5520791888592105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333</v>
      </c>
      <c r="DM103" s="13">
        <f>VLOOKUP(A103,'Données projet'!$A$165:$I$185,9,0)</f>
        <v>5.8</v>
      </c>
      <c r="DN103" s="13">
        <f t="array" ref="DN103">INDEX(DM:DM,MIN(IF(ISNUMBER(DM103:DM299),ROW(DM103:DM299),"")))</f>
        <v>5.8</v>
      </c>
      <c r="DO103" s="13">
        <f>IF('Données projet'!$A$166&gt;35,DO102+DN103-DW102,IF(A103&lt;'Données projet'!$A$166,$DL$205^A103,IF(A103='Données projet'!$A$166,'Données projet'!$B$166,DO102+DN103-DW102)))</f>
        <v>333</v>
      </c>
      <c r="DP103" s="18">
        <f>DO103*VLOOKUP('Données projet'!$B$14,Paramètres!$A$1:$I$89,3,0)*VLOOKUP('Données projet'!$B$14,Paramètres!$A$1:$I$89,5,0)</f>
        <v>337.66200000000003</v>
      </c>
      <c r="DQ103" s="14">
        <f t="shared" si="97"/>
        <v>79.016707002632685</v>
      </c>
      <c r="DR103" s="22">
        <f t="shared" si="70"/>
        <v>725.71541469625208</v>
      </c>
      <c r="DS103" s="62">
        <f t="shared" si="71"/>
        <v>1019.0487480295853</v>
      </c>
      <c r="DT103" s="62">
        <f ca="1">AVERAGE(OFFSET($DS$3,0,0,'Données projet'!$E$14+1,1))-AVERAGE(OFFSET($H$3,0,0,'Données projet'!$E$14+1,1))</f>
        <v>487.04124684635974</v>
      </c>
      <c r="DU103" s="62">
        <f t="shared" si="98"/>
        <v>306.61893266146666</v>
      </c>
      <c r="DV103" s="16">
        <f>IF(ISNA(VLOOKUP(A103,'Données projet'!$A$165:$I$185,3,0)),0,VLOOKUP(A103,'Données projet'!$A$165:$I$185,3,0))</f>
        <v>17</v>
      </c>
      <c r="DW103" s="16">
        <f>IF(ISNA(VLOOKUP(A103,'Données projet'!$A$165:$I$185,4,0)),0,VLOOKUP(A103,'Données projet'!$A$165:$I$185,4,0))</f>
        <v>27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3.0611046033951226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3.0611046033951226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>
        <f>VLOOKUP(A103,'Données projet'!$A$191:$I$211,2,0)</f>
        <v>333</v>
      </c>
      <c r="EH103" s="13">
        <f>VLOOKUP(A103,'Données projet'!$A$191:$I$211,9,0)</f>
        <v>5.8</v>
      </c>
      <c r="EI103" s="13">
        <f t="array" ref="EI103">INDEX(EH:EH,MIN(IF(ISNUMBER(EH103:EH299),ROW(EH103:EH299),"")))</f>
        <v>5.8</v>
      </c>
      <c r="EJ103" s="13">
        <f>IF('Données projet'!$A$192&gt;35,EJ102+EI103-ER102,IF(A103&lt;'Données projet'!$A$192,$EG$205^A103,IF(A103='Données projet'!$A$192,'Données projet'!$B$192,EJ102+EI103-ER102)))</f>
        <v>333</v>
      </c>
      <c r="EK103" s="18">
        <f>EJ103*VLOOKUP('Données projet'!$B$15,Paramètres!$A$1:$I$89,3,0)*VLOOKUP('Données projet'!$B$15,Paramètres!$A$1:$I$89,5,0)</f>
        <v>316.88280000000003</v>
      </c>
      <c r="EL103" s="14">
        <f t="shared" si="99"/>
        <v>74.70439052583346</v>
      </c>
      <c r="EM103" s="22">
        <f t="shared" si="73"/>
        <v>682.01435683249326</v>
      </c>
      <c r="EN103" s="62">
        <f t="shared" si="74"/>
        <v>975.34769016582663</v>
      </c>
      <c r="EO103" s="62">
        <f ca="1">AVERAGE(OFFSET($EN$3,0,0,'Données projet'!$E$15+1,1))-AVERAGE(OFFSET($H$3,0,0,'Données projet'!$E$15+1,1))</f>
        <v>459.64120566196812</v>
      </c>
      <c r="EP103" s="62">
        <f t="shared" si="100"/>
        <v>290.39826583283588</v>
      </c>
      <c r="EQ103" s="16">
        <f>IF(ISNA(VLOOKUP(A103,'Données projet'!$A$191:$I$211,3,0)),0,VLOOKUP(A103,'Données projet'!$A$191:$I$211,3,0))</f>
        <v>17</v>
      </c>
      <c r="ER103" s="16">
        <f>IF(ISNA(VLOOKUP(A103,'Données projet'!$A$191:$I$211,4,0)),0,VLOOKUP(A103,'Données projet'!$A$191:$I$211,4,0))</f>
        <v>27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2.8727289354938832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2.8727289354938832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>
        <f>VLOOKUP(A103,'Données projet'!$A$217:$I$237,2,0)</f>
        <v>333</v>
      </c>
      <c r="FC103" s="13">
        <f>VLOOKUP(A103,'Données projet'!$A$217:$I$237,9,0)</f>
        <v>5.8</v>
      </c>
      <c r="FD103" s="13">
        <f t="array" ref="FD103">INDEX(FC:FC,MIN(IF(ISNUMBER(FC103:FC299),ROW(FC103:FC299),"")))</f>
        <v>5.8</v>
      </c>
      <c r="FE103" s="13">
        <f>IF('Données projet'!$A$218&gt;35,FE102+FD103-FM102,IF(A103&lt;'Données projet'!$A$218,$FB$205^A103,IF(A103='Données projet'!$A$218,'Données projet'!$B$218,FE102+FD103-FM102)))</f>
        <v>333</v>
      </c>
      <c r="FF103" s="18">
        <f>FE103*VLOOKUP('Données projet'!$B$16,Paramètres!$A$1:$I$89,3,0)*VLOOKUP('Données projet'!$B$16,Paramètres!$A$1:$I$89,5,0)</f>
        <v>223.37640000000002</v>
      </c>
      <c r="FG103" s="14">
        <f t="shared" si="101"/>
        <v>54.848077814326416</v>
      </c>
      <c r="FH103" s="22">
        <f t="shared" si="76"/>
        <v>484.5742988599518</v>
      </c>
      <c r="FI103" s="62">
        <f t="shared" si="77"/>
        <v>777.90763219328505</v>
      </c>
      <c r="FJ103" s="62">
        <f ca="1">AVERAGE(OFFSET($FI$3,0,0,'Données projet'!$E$16+1,1))-AVERAGE(OFFSET($H$3,0,0,'Données projet'!$E$16+1,1))</f>
        <v>335.83558218229564</v>
      </c>
      <c r="FK103" s="62">
        <f t="shared" si="102"/>
        <v>217.08423061559648</v>
      </c>
      <c r="FL103" s="16">
        <f>IF(ISNA(VLOOKUP(A103,'Données projet'!$A$217:$I$237,3,0)),0,VLOOKUP(A103,'Données projet'!$A$217:$I$237,3,0))</f>
        <v>17</v>
      </c>
      <c r="FM103" s="16">
        <f>IF(ISNA(VLOOKUP(A103,'Données projet'!$A$217:$I$237,4,0)),0,VLOOKUP(A103,'Données projet'!$A$217:$I$237,4,0))</f>
        <v>27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0</v>
      </c>
      <c r="FR103" s="23">
        <f>EXP(-LN(2)/25)*FR102+(1-EXP(-LN(2)/25))/(LN(2)/25)*Calculateur!FM103*Calculateur!FO103*VLOOKUP('Données projet'!$B$16,Paramètres!$A$1:$I$89,3,0)*0.475*44/12</f>
        <v>1.1979967116328956</v>
      </c>
      <c r="FS103" s="23">
        <f>EXP(-LN(2)/2)*FS102+(1-EXP(-LN(2)/2))/(LN(2)/2)*FM103*FP103*VLOOKUP('Données projet'!$B$16,Paramètres!$A$1:$I$89,3,0)*0.475*44/12</f>
        <v>3.2170787579900923E-10</v>
      </c>
      <c r="FT103" s="24">
        <f t="shared" si="78"/>
        <v>1.1979967119546033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1.9895196601282805E-13</v>
      </c>
      <c r="O104" s="14">
        <f>N104*VLOOKUP('Données projet'!$B$9,Paramètres!$A$1:$I$89,3,0)*VLOOKUP('Données projet'!$B$9,Paramètres!$A$1:$I$89,5,0)</f>
        <v>1.738044375088066E-13</v>
      </c>
      <c r="P104" s="14">
        <f t="shared" si="87"/>
        <v>2.4483293633950478E-12</v>
      </c>
      <c r="Q104" s="22">
        <f t="shared" si="107"/>
        <v>4.566883036574213E-12</v>
      </c>
      <c r="R104" s="62">
        <f t="shared" si="55"/>
        <v>293.33333333333786</v>
      </c>
      <c r="S104" s="62">
        <f ca="1">AVERAGE(OFFSET($R$3,0,0,'Données projet'!$E$9+1,1))-AVERAGE(OFFSET($H$3,0,0,'Données projet'!$E$9+1,1))</f>
        <v>321.23599968992932</v>
      </c>
      <c r="T104" s="62">
        <f t="shared" si="88"/>
        <v>388.05195847800502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3.5727425429665294</v>
      </c>
      <c r="AB104" s="23">
        <f>EXP(-LN(2)/2)*AB103+(1-EXP(-LN(2)/2))/(LN(2)/2)*V104*Y104*VLOOKUP('Données projet'!$B$9,Paramètres!$A$1:$I$89,3,0)*0.475*44/12</f>
        <v>3.7591589305793238E-10</v>
      </c>
      <c r="AC104" s="24">
        <f t="shared" si="57"/>
        <v>3.5727425433424451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5.4</v>
      </c>
      <c r="AI104" s="14">
        <f>IF('Données projet'!$A$62&gt;35,AI103+AH104-AQ103,IF(A104&lt;'Données projet'!$A$62,$AF$205^A104,IF(A104='Données projet'!$A$62,'Données projet'!$B$62,AI103+AH104-AQ103)))</f>
        <v>311.39999999999998</v>
      </c>
      <c r="AJ104" s="14">
        <f>AI104*VLOOKUP('Données projet'!$B$10,Paramètres!$A$1:$I$89,3,0)*VLOOKUP('Données projet'!$B$10,Paramètres!$A$1:$I$89,5,0)</f>
        <v>281.75471999999996</v>
      </c>
      <c r="AK104" s="14">
        <f t="shared" si="89"/>
        <v>67.337696723120317</v>
      </c>
      <c r="AL104" s="22">
        <f t="shared" si="58"/>
        <v>608.00262579276773</v>
      </c>
      <c r="AM104" s="62">
        <f t="shared" si="59"/>
        <v>901.33595912610099</v>
      </c>
      <c r="AN104" s="62">
        <f ca="1">AVERAGE(OFFSET($AM$3,0,0,'Données projet'!$E$10+1,1))-AVERAGE(OFFSET($H$3,0,0,'Données projet'!$E$10+1,1))</f>
        <v>439.19854273764042</v>
      </c>
      <c r="AO104" s="62">
        <f t="shared" si="90"/>
        <v>278.21741231699929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1.2751654878508738</v>
      </c>
      <c r="AW104" s="23">
        <f>EXP(-LN(2)/2)*AW103+(1-EXP(-LN(2)/2))/(LN(2)/2)*AQ104*AT104*VLOOKUP('Données projet'!$B$10,Paramètres!$A$1:$I$89,3,0)*0.475*44/12</f>
        <v>3.0683594398229516E-10</v>
      </c>
      <c r="AX104" s="23">
        <f t="shared" si="60"/>
        <v>1.2751654881577097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-2.8421709430404007E-13</v>
      </c>
      <c r="BE104" s="14">
        <f>BD104*VLOOKUP('Données projet'!$B$11,Paramètres!$A$1:$I$89,3,0)*VLOOKUP('Données projet'!$B$11,Paramètres!$A$1:$I$89,5,0)</f>
        <v>-2.2612312022829427E-13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352.88510024787888</v>
      </c>
      <c r="BJ104" s="62">
        <f t="shared" si="92"/>
        <v>343.77208530767069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1.7165283787427073</v>
      </c>
      <c r="BR104" s="23">
        <f>EXP(-LN(2)/2)*BR103+(1-EXP(-LN(2)/2))/(LN(2)/2)*BL104*BO104*VLOOKUP('Données projet'!$B$11,Paramètres!$A$1:$I$89,3,0)*0.475*44/12</f>
        <v>8.1241469359648789E-12</v>
      </c>
      <c r="BS104" s="24">
        <f t="shared" si="63"/>
        <v>1.7165283787508314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-2.8421709430404007E-13</v>
      </c>
      <c r="BZ104" s="14">
        <f>BY104*VLOOKUP('Données projet'!$B$12,Paramètres!$A$1:$I$89,3,0)*VLOOKUP('Données projet'!$B$12,Paramètres!$A$1:$I$89,5,0)</f>
        <v>-2.0838797354372215E-13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328.10411227536315</v>
      </c>
      <c r="CE104" s="62">
        <f t="shared" si="94"/>
        <v>320.24200483294322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2.2251703148952333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2.2251703148952333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5.6843418860808015E-14</v>
      </c>
      <c r="CU104" s="18">
        <f>CT104*VLOOKUP('Données projet'!$B$13,Paramètres!$A$1:$I$89,3,0)*VLOOKUP('Données projet'!$B$13,Paramètres!$A$1:$I$89,5,0)</f>
        <v>4.4337866711430253E-14</v>
      </c>
      <c r="CV104" s="14">
        <f t="shared" si="95"/>
        <v>7.3222115536967035E-13</v>
      </c>
      <c r="CW104" s="22">
        <f t="shared" si="67"/>
        <v>1.3525069634579169E-12</v>
      </c>
      <c r="CX104" s="62">
        <f t="shared" si="68"/>
        <v>293.33333333333468</v>
      </c>
      <c r="CY104" s="62">
        <f ca="1">AVERAGE(OFFSET($CX$3,0,0,'Données projet'!$E$13+1,1))-AVERAGE(OFFSET($H$3,0,0,'Données projet'!$E$13+1,1))</f>
        <v>288.82868507674738</v>
      </c>
      <c r="CZ104" s="62">
        <f t="shared" si="96"/>
        <v>283.48738729114024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2.5020344725802834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2.5020344725802834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5.4</v>
      </c>
      <c r="DO104" s="13">
        <f>IF('Données projet'!$A$166&gt;35,DO103+DN104-DW103,IF(A104&lt;'Données projet'!$A$166,$DL$205^A104,IF(A104='Données projet'!$A$166,'Données projet'!$B$166,DO103+DN104-DW103)))</f>
        <v>311.39999999999998</v>
      </c>
      <c r="DP104" s="18">
        <f>DO104*VLOOKUP('Données projet'!$B$14,Paramètres!$A$1:$I$89,3,0)*VLOOKUP('Données projet'!$B$14,Paramètres!$A$1:$I$89,5,0)</f>
        <v>315.75959999999998</v>
      </c>
      <c r="DQ104" s="14">
        <f t="shared" si="97"/>
        <v>74.470372149154613</v>
      </c>
      <c r="DR104" s="22">
        <f t="shared" si="70"/>
        <v>679.6505348264443</v>
      </c>
      <c r="DS104" s="62">
        <f t="shared" si="71"/>
        <v>972.98386815977756</v>
      </c>
      <c r="DT104" s="62">
        <f ca="1">AVERAGE(OFFSET($DS$3,0,0,'Données projet'!$E$14+1,1))-AVERAGE(OFFSET($H$3,0,0,'Données projet'!$E$14+1,1))</f>
        <v>487.04124684635974</v>
      </c>
      <c r="DU104" s="62">
        <f t="shared" si="98"/>
        <v>306.61893266146666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3.0010782092119923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3.0010782092119923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5.4</v>
      </c>
      <c r="EJ104" s="13">
        <f>IF('Données projet'!$A$192&gt;35,EJ103+EI104-ER103,IF(A104&lt;'Données projet'!$A$192,$EG$205^A104,IF(A104='Données projet'!$A$192,'Données projet'!$B$192,EJ103+EI104-ER103)))</f>
        <v>311.39999999999998</v>
      </c>
      <c r="EK104" s="18">
        <f>EJ104*VLOOKUP('Données projet'!$B$15,Paramètres!$A$1:$I$89,3,0)*VLOOKUP('Données projet'!$B$15,Paramètres!$A$1:$I$89,5,0)</f>
        <v>296.32823999999999</v>
      </c>
      <c r="EL104" s="14">
        <f t="shared" si="99"/>
        <v>70.406170728542762</v>
      </c>
      <c r="EM104" s="22">
        <f t="shared" si="73"/>
        <v>638.72909868554518</v>
      </c>
      <c r="EN104" s="62">
        <f t="shared" si="74"/>
        <v>932.06243201887855</v>
      </c>
      <c r="EO104" s="62">
        <f ca="1">AVERAGE(OFFSET($EN$3,0,0,'Données projet'!$E$15+1,1))-AVERAGE(OFFSET($H$3,0,0,'Données projet'!$E$15+1,1))</f>
        <v>459.64120566196812</v>
      </c>
      <c r="EP104" s="62">
        <f t="shared" si="100"/>
        <v>290.39826583283588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2.8163964732604843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2.8163964732604843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5.4</v>
      </c>
      <c r="FE104" s="13">
        <f>IF('Données projet'!$A$218&gt;35,FE103+FD104-FM103,IF(A104&lt;'Données projet'!$A$218,$FB$205^A104,IF(A104='Données projet'!$A$218,'Données projet'!$B$218,FE103+FD104-FM103)))</f>
        <v>311.39999999999998</v>
      </c>
      <c r="FF104" s="18">
        <f>FE104*VLOOKUP('Données projet'!$B$16,Paramètres!$A$1:$I$89,3,0)*VLOOKUP('Données projet'!$B$16,Paramètres!$A$1:$I$89,5,0)</f>
        <v>208.88711999999998</v>
      </c>
      <c r="FG104" s="14">
        <f t="shared" si="101"/>
        <v>51.692318263308358</v>
      </c>
      <c r="FH104" s="22">
        <f t="shared" si="76"/>
        <v>453.84252164192867</v>
      </c>
      <c r="FI104" s="62">
        <f t="shared" si="77"/>
        <v>747.17585497526193</v>
      </c>
      <c r="FJ104" s="62">
        <f ca="1">AVERAGE(OFFSET($FI$3,0,0,'Données projet'!$E$16+1,1))-AVERAGE(OFFSET($H$3,0,0,'Données projet'!$E$16+1,1))</f>
        <v>335.83558218229564</v>
      </c>
      <c r="FK104" s="62">
        <f t="shared" si="102"/>
        <v>217.08423061559648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0</v>
      </c>
      <c r="FR104" s="23">
        <f>EXP(-LN(2)/25)*FR103+(1-EXP(-LN(2)/25))/(LN(2)/25)*Calculateur!FM104*Calculateur!FO104*VLOOKUP('Données projet'!$B$16,Paramètres!$A$1:$I$89,3,0)*0.475*44/12</f>
        <v>1.1652374285533851</v>
      </c>
      <c r="FS104" s="23">
        <f>EXP(-LN(2)/2)*FS103+(1-EXP(-LN(2)/2))/(LN(2)/2)*FM104*FP104*VLOOKUP('Données projet'!$B$16,Paramètres!$A$1:$I$89,3,0)*0.475*44/12</f>
        <v>2.2748182053859905E-10</v>
      </c>
      <c r="FT104" s="24">
        <f t="shared" si="78"/>
        <v>1.1652374287808669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1.9895196601282805E-13</v>
      </c>
      <c r="O105" s="14">
        <f>N105*VLOOKUP('Données projet'!$B$9,Paramètres!$A$1:$I$89,3,0)*VLOOKUP('Données projet'!$B$9,Paramètres!$A$1:$I$89,5,0)</f>
        <v>1.738044375088066E-13</v>
      </c>
      <c r="P105" s="14">
        <f t="shared" si="87"/>
        <v>2.4483293633950478E-12</v>
      </c>
      <c r="Q105" s="22">
        <f t="shared" si="107"/>
        <v>4.566883036574213E-12</v>
      </c>
      <c r="R105" s="62">
        <f t="shared" si="55"/>
        <v>293.33333333333786</v>
      </c>
      <c r="S105" s="62">
        <f ca="1">AVERAGE(OFFSET($R$3,0,0,'Données projet'!$E$9+1,1))-AVERAGE(OFFSET($H$3,0,0,'Données projet'!$E$9+1,1))</f>
        <v>321.23599968992932</v>
      </c>
      <c r="T105" s="62">
        <f t="shared" si="88"/>
        <v>388.05195847800502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3.4750457102467447</v>
      </c>
      <c r="AB105" s="23">
        <f>EXP(-LN(2)/2)*AB104+(1-EXP(-LN(2)/2))/(LN(2)/2)*V105*Y105*VLOOKUP('Données projet'!$B$9,Paramètres!$A$1:$I$89,3,0)*0.475*44/12</f>
        <v>2.6581267713706098E-10</v>
      </c>
      <c r="AC105" s="24">
        <f t="shared" si="57"/>
        <v>3.4750457105125574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5.4</v>
      </c>
      <c r="AI105" s="14">
        <f>IF('Données projet'!$A$62&gt;35,AI104+AH105-AQ104,IF(A105&lt;'Données projet'!$A$62,$AF$205^A105,IF(A105='Données projet'!$A$62,'Données projet'!$B$62,AI104+AH105-AQ104)))</f>
        <v>316.79999999999995</v>
      </c>
      <c r="AJ105" s="14">
        <f>AI105*VLOOKUP('Données projet'!$B$10,Paramètres!$A$1:$I$89,3,0)*VLOOKUP('Données projet'!$B$10,Paramètres!$A$1:$I$89,5,0)</f>
        <v>286.64063999999996</v>
      </c>
      <c r="AK105" s="14">
        <f t="shared" si="89"/>
        <v>68.368446832003599</v>
      </c>
      <c r="AL105" s="22">
        <f t="shared" si="58"/>
        <v>618.30749289907283</v>
      </c>
      <c r="AM105" s="62">
        <f t="shared" si="59"/>
        <v>911.6408262324062</v>
      </c>
      <c r="AN105" s="62">
        <f ca="1">AVERAGE(OFFSET($AM$3,0,0,'Données projet'!$E$10+1,1))-AVERAGE(OFFSET($H$3,0,0,'Données projet'!$E$10+1,1))</f>
        <v>439.19854273764042</v>
      </c>
      <c r="AO105" s="62">
        <f t="shared" si="90"/>
        <v>278.21741231699929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1.2402960205275531</v>
      </c>
      <c r="AW105" s="23">
        <f>EXP(-LN(2)/2)*AW104+(1-EXP(-LN(2)/2))/(LN(2)/2)*AQ105*AT105*VLOOKUP('Données projet'!$B$10,Paramètres!$A$1:$I$89,3,0)*0.475*44/12</f>
        <v>2.1696577670165654E-10</v>
      </c>
      <c r="AX105" s="23">
        <f t="shared" si="60"/>
        <v>1.2402960207445188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-2.8421709430404007E-13</v>
      </c>
      <c r="BE105" s="14">
        <f>BD105*VLOOKUP('Données projet'!$B$11,Paramètres!$A$1:$I$89,3,0)*VLOOKUP('Données projet'!$B$11,Paramètres!$A$1:$I$89,5,0)</f>
        <v>-2.2612312022829427E-13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352.88510024787888</v>
      </c>
      <c r="BJ105" s="62">
        <f t="shared" si="92"/>
        <v>343.77208530767069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1.6695898199576837</v>
      </c>
      <c r="BR105" s="23">
        <f>EXP(-LN(2)/2)*BR104+(1-EXP(-LN(2)/2))/(LN(2)/2)*BL105*BO105*VLOOKUP('Données projet'!$B$11,Paramètres!$A$1:$I$89,3,0)*0.475*44/12</f>
        <v>5.7446393897766782E-12</v>
      </c>
      <c r="BS105" s="24">
        <f t="shared" si="63"/>
        <v>1.6695898199634285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-2.8421709430404007E-13</v>
      </c>
      <c r="BZ105" s="14">
        <f>BY105*VLOOKUP('Données projet'!$B$12,Paramètres!$A$1:$I$89,3,0)*VLOOKUP('Données projet'!$B$12,Paramètres!$A$1:$I$89,5,0)</f>
        <v>-2.0838797354372215E-13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328.10411227536315</v>
      </c>
      <c r="CE105" s="62">
        <f t="shared" si="94"/>
        <v>320.24200483294322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2.1815360822400156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2.1815360822400156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5.6843418860808015E-14</v>
      </c>
      <c r="CU105" s="18">
        <f>CT105*VLOOKUP('Données projet'!$B$13,Paramètres!$A$1:$I$89,3,0)*VLOOKUP('Données projet'!$B$13,Paramètres!$A$1:$I$89,5,0)</f>
        <v>4.4337866711430253E-14</v>
      </c>
      <c r="CV105" s="14">
        <f t="shared" si="95"/>
        <v>7.3222115536967035E-13</v>
      </c>
      <c r="CW105" s="22">
        <f t="shared" si="67"/>
        <v>1.3525069634579169E-12</v>
      </c>
      <c r="CX105" s="62">
        <f t="shared" si="68"/>
        <v>293.33333333333468</v>
      </c>
      <c r="CY105" s="62">
        <f ca="1">AVERAGE(OFFSET($CX$3,0,0,'Données projet'!$E$13+1,1))-AVERAGE(OFFSET($H$3,0,0,'Données projet'!$E$13+1,1))</f>
        <v>288.82868507674738</v>
      </c>
      <c r="CZ105" s="62">
        <f t="shared" si="96"/>
        <v>283.48738729114024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2.4529711026633234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2.4529711026633234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5.4</v>
      </c>
      <c r="DO105" s="13">
        <f>IF('Données projet'!$A$166&gt;35,DO104+DN105-DW104,IF(A105&lt;'Données projet'!$A$166,$DL$205^A105,IF(A105='Données projet'!$A$166,'Données projet'!$B$166,DO104+DN105-DW104)))</f>
        <v>316.79999999999995</v>
      </c>
      <c r="DP105" s="18">
        <f>DO105*VLOOKUP('Données projet'!$B$14,Paramètres!$A$1:$I$89,3,0)*VLOOKUP('Données projet'!$B$14,Paramètres!$A$1:$I$89,5,0)</f>
        <v>321.23519999999996</v>
      </c>
      <c r="DQ105" s="14">
        <f t="shared" si="97"/>
        <v>75.610303390297929</v>
      </c>
      <c r="DR105" s="22">
        <f t="shared" si="70"/>
        <v>691.17258507143549</v>
      </c>
      <c r="DS105" s="62">
        <f t="shared" si="71"/>
        <v>984.50591840476886</v>
      </c>
      <c r="DT105" s="62">
        <f ca="1">AVERAGE(OFFSET($DS$3,0,0,'Données projet'!$E$14+1,1))-AVERAGE(OFFSET($H$3,0,0,'Données projet'!$E$14+1,1))</f>
        <v>487.04124684635974</v>
      </c>
      <c r="DU105" s="62">
        <f t="shared" si="98"/>
        <v>306.61893266146666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2.9422288960063083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2.9422288960063083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5.4</v>
      </c>
      <c r="EJ105" s="13">
        <f>IF('Données projet'!$A$192&gt;35,EJ104+EI105-ER104,IF(A105&lt;'Données projet'!$A$192,$EG$205^A105,IF(A105='Données projet'!$A$192,'Données projet'!$B$192,EJ104+EI105-ER104)))</f>
        <v>316.79999999999995</v>
      </c>
      <c r="EK105" s="18">
        <f>EJ105*VLOOKUP('Données projet'!$B$15,Paramètres!$A$1:$I$89,3,0)*VLOOKUP('Données projet'!$B$15,Paramètres!$A$1:$I$89,5,0)</f>
        <v>301.46687999999995</v>
      </c>
      <c r="EL105" s="14">
        <f t="shared" si="99"/>
        <v>71.483890515171325</v>
      </c>
      <c r="EM105" s="22">
        <f t="shared" si="73"/>
        <v>649.55592531392324</v>
      </c>
      <c r="EN105" s="62">
        <f t="shared" si="74"/>
        <v>942.88925864725661</v>
      </c>
      <c r="EO105" s="62">
        <f ca="1">AVERAGE(OFFSET($EN$3,0,0,'Données projet'!$E$15+1,1))-AVERAGE(OFFSET($H$3,0,0,'Données projet'!$E$15+1,1))</f>
        <v>459.64120566196812</v>
      </c>
      <c r="EP105" s="62">
        <f t="shared" si="100"/>
        <v>290.39826583283588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2.7611686562520732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2.7611686562520732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5.4</v>
      </c>
      <c r="FE105" s="13">
        <f>IF('Données projet'!$A$218&gt;35,FE104+FD105-FM104,IF(A105&lt;'Données projet'!$A$218,$FB$205^A105,IF(A105='Données projet'!$A$218,'Données projet'!$B$218,FE104+FD105-FM104)))</f>
        <v>316.79999999999995</v>
      </c>
      <c r="FF105" s="18">
        <f>FE105*VLOOKUP('Données projet'!$B$16,Paramètres!$A$1:$I$89,3,0)*VLOOKUP('Données projet'!$B$16,Paramètres!$A$1:$I$89,5,0)</f>
        <v>212.50943999999998</v>
      </c>
      <c r="FG105" s="14">
        <f t="shared" si="101"/>
        <v>52.483581779454731</v>
      </c>
      <c r="FH105" s="22">
        <f t="shared" si="76"/>
        <v>461.52951293255023</v>
      </c>
      <c r="FI105" s="62">
        <f t="shared" si="77"/>
        <v>754.86284626588349</v>
      </c>
      <c r="FJ105" s="62">
        <f ca="1">AVERAGE(OFFSET($FI$3,0,0,'Données projet'!$E$16+1,1))-AVERAGE(OFFSET($H$3,0,0,'Données projet'!$E$16+1,1))</f>
        <v>335.83558218229564</v>
      </c>
      <c r="FK105" s="62">
        <f t="shared" si="102"/>
        <v>217.08423061559648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0</v>
      </c>
      <c r="FR105" s="23">
        <f>EXP(-LN(2)/25)*FR104+(1-EXP(-LN(2)/25))/(LN(2)/25)*Calculateur!FM105*Calculateur!FO105*VLOOKUP('Données projet'!$B$16,Paramètres!$A$1:$I$89,3,0)*0.475*44/12</f>
        <v>1.1333739497924196</v>
      </c>
      <c r="FS105" s="23">
        <f>EXP(-LN(2)/2)*FS104+(1-EXP(-LN(2)/2))/(LN(2)/2)*FM105*FP105*VLOOKUP('Données projet'!$B$16,Paramètres!$A$1:$I$89,3,0)*0.475*44/12</f>
        <v>1.6085393789950464E-10</v>
      </c>
      <c r="FT105" s="24">
        <f t="shared" si="78"/>
        <v>1.1333739499532736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1.9895196601282805E-13</v>
      </c>
      <c r="O106" s="14">
        <f>N106*VLOOKUP('Données projet'!$B$9,Paramètres!$A$1:$I$89,3,0)*VLOOKUP('Données projet'!$B$9,Paramètres!$A$1:$I$89,5,0)</f>
        <v>1.738044375088066E-13</v>
      </c>
      <c r="P106" s="14">
        <f t="shared" si="87"/>
        <v>2.4483293633950478E-12</v>
      </c>
      <c r="Q106" s="22">
        <f t="shared" si="107"/>
        <v>4.566883036574213E-12</v>
      </c>
      <c r="R106" s="62">
        <f t="shared" si="55"/>
        <v>293.33333333333786</v>
      </c>
      <c r="S106" s="62">
        <f ca="1">AVERAGE(OFFSET($R$3,0,0,'Données projet'!$E$9+1,1))-AVERAGE(OFFSET($H$3,0,0,'Données projet'!$E$9+1,1))</f>
        <v>321.23599968992932</v>
      </c>
      <c r="T106" s="62">
        <f t="shared" si="88"/>
        <v>388.05195847800502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3.3800204025553358</v>
      </c>
      <c r="AB106" s="23">
        <f>EXP(-LN(2)/2)*AB105+(1-EXP(-LN(2)/2))/(LN(2)/2)*V106*Y106*VLOOKUP('Données projet'!$B$9,Paramètres!$A$1:$I$89,3,0)*0.475*44/12</f>
        <v>1.8795794652896619E-10</v>
      </c>
      <c r="AC106" s="24">
        <f t="shared" si="57"/>
        <v>3.3800204027432939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5.4</v>
      </c>
      <c r="AI106" s="14">
        <f>IF('Données projet'!$A$62&gt;35,AI105+AH106-AQ105,IF(A106&lt;'Données projet'!$A$62,$AF$205^A106,IF(A106='Données projet'!$A$62,'Données projet'!$B$62,AI105+AH106-AQ105)))</f>
        <v>322.19999999999993</v>
      </c>
      <c r="AJ106" s="14">
        <f>AI106*VLOOKUP('Données projet'!$B$10,Paramètres!$A$1:$I$89,3,0)*VLOOKUP('Données projet'!$B$10,Paramètres!$A$1:$I$89,5,0)</f>
        <v>291.5265599999999</v>
      </c>
      <c r="AK106" s="14">
        <f t="shared" si="89"/>
        <v>69.397153761857183</v>
      </c>
      <c r="AL106" s="22">
        <f t="shared" si="58"/>
        <v>628.60880146856778</v>
      </c>
      <c r="AM106" s="62">
        <f t="shared" si="59"/>
        <v>921.94213480190115</v>
      </c>
      <c r="AN106" s="62">
        <f ca="1">AVERAGE(OFFSET($AM$3,0,0,'Données projet'!$E$10+1,1))-AVERAGE(OFFSET($H$3,0,0,'Données projet'!$E$10+1,1))</f>
        <v>439.19854273764042</v>
      </c>
      <c r="AO106" s="62">
        <f t="shared" si="90"/>
        <v>278.21741231699929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1.2063800606218942</v>
      </c>
      <c r="AW106" s="23">
        <f>EXP(-LN(2)/2)*AW105+(1-EXP(-LN(2)/2))/(LN(2)/2)*AQ106*AT106*VLOOKUP('Données projet'!$B$10,Paramètres!$A$1:$I$89,3,0)*0.475*44/12</f>
        <v>1.5341797199114758E-10</v>
      </c>
      <c r="AX106" s="23">
        <f t="shared" si="60"/>
        <v>1.2063800607753121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-2.8421709430404007E-13</v>
      </c>
      <c r="BE106" s="14">
        <f>BD106*VLOOKUP('Données projet'!$B$11,Paramètres!$A$1:$I$89,3,0)*VLOOKUP('Données projet'!$B$11,Paramètres!$A$1:$I$89,5,0)</f>
        <v>-2.2612312022829427E-13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352.88510024787888</v>
      </c>
      <c r="BJ106" s="62">
        <f t="shared" si="92"/>
        <v>343.77208530767069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1.6239347985310282</v>
      </c>
      <c r="BR106" s="23">
        <f>EXP(-LN(2)/2)*BR105+(1-EXP(-LN(2)/2))/(LN(2)/2)*BL106*BO106*VLOOKUP('Données projet'!$B$11,Paramètres!$A$1:$I$89,3,0)*0.475*44/12</f>
        <v>4.0620734679824395E-12</v>
      </c>
      <c r="BS106" s="24">
        <f t="shared" si="63"/>
        <v>1.6239347985350903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-2.8421709430404007E-13</v>
      </c>
      <c r="BZ106" s="14">
        <f>BY106*VLOOKUP('Données projet'!$B$12,Paramètres!$A$1:$I$89,3,0)*VLOOKUP('Données projet'!$B$12,Paramètres!$A$1:$I$89,5,0)</f>
        <v>-2.0838797354372215E-13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328.10411227536315</v>
      </c>
      <c r="CE106" s="62">
        <f t="shared" si="94"/>
        <v>320.24200483294322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2.1387574902729125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2.1387574902729125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5.6843418860808015E-14</v>
      </c>
      <c r="CU106" s="18">
        <f>CT106*VLOOKUP('Données projet'!$B$13,Paramètres!$A$1:$I$89,3,0)*VLOOKUP('Données projet'!$B$13,Paramètres!$A$1:$I$89,5,0)</f>
        <v>4.4337866711430253E-14</v>
      </c>
      <c r="CV106" s="14">
        <f t="shared" si="95"/>
        <v>7.3222115536967035E-13</v>
      </c>
      <c r="CW106" s="22">
        <f t="shared" si="67"/>
        <v>1.3525069634579169E-12</v>
      </c>
      <c r="CX106" s="62">
        <f t="shared" si="68"/>
        <v>293.33333333333468</v>
      </c>
      <c r="CY106" s="62">
        <f ca="1">AVERAGE(OFFSET($CX$3,0,0,'Données projet'!$E$13+1,1))-AVERAGE(OFFSET($H$3,0,0,'Données projet'!$E$13+1,1))</f>
        <v>288.82868507674738</v>
      </c>
      <c r="CZ106" s="62">
        <f t="shared" si="96"/>
        <v>283.48738729114024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2.4048698355047344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2.4048698355047344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5.4</v>
      </c>
      <c r="DO106" s="13">
        <f>IF('Données projet'!$A$166&gt;35,DO105+DN106-DW105,IF(A106&lt;'Données projet'!$A$166,$DL$205^A106,IF(A106='Données projet'!$A$166,'Données projet'!$B$166,DO105+DN106-DW105)))</f>
        <v>322.19999999999993</v>
      </c>
      <c r="DP106" s="18">
        <f>DO106*VLOOKUP('Données projet'!$B$14,Paramètres!$A$1:$I$89,3,0)*VLOOKUP('Données projet'!$B$14,Paramètres!$A$1:$I$89,5,0)</f>
        <v>326.71079999999995</v>
      </c>
      <c r="DQ106" s="14">
        <f t="shared" si="97"/>
        <v>76.747975030799893</v>
      </c>
      <c r="DR106" s="22">
        <f t="shared" si="70"/>
        <v>702.69069984530972</v>
      </c>
      <c r="DS106" s="62">
        <f t="shared" si="71"/>
        <v>996.02403317864309</v>
      </c>
      <c r="DT106" s="62">
        <f ca="1">AVERAGE(OFFSET($DS$3,0,0,'Données projet'!$E$14+1,1))-AVERAGE(OFFSET($H$3,0,0,'Données projet'!$E$14+1,1))</f>
        <v>487.04124684635974</v>
      </c>
      <c r="DU106" s="62">
        <f t="shared" si="98"/>
        <v>306.61893266146666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2.8845335819380509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2.8845335819380509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5.4</v>
      </c>
      <c r="EJ106" s="13">
        <f>IF('Données projet'!$A$192&gt;35,EJ105+EI106-ER105,IF(A106&lt;'Données projet'!$A$192,$EG$205^A106,IF(A106='Données projet'!$A$192,'Données projet'!$B$192,EJ105+EI106-ER105)))</f>
        <v>322.19999999999993</v>
      </c>
      <c r="EK106" s="18">
        <f>EJ106*VLOOKUP('Données projet'!$B$15,Paramètres!$A$1:$I$89,3,0)*VLOOKUP('Données projet'!$B$15,Paramètres!$A$1:$I$89,5,0)</f>
        <v>306.6055199999999</v>
      </c>
      <c r="EL106" s="14">
        <f t="shared" si="99"/>
        <v>72.559474018282785</v>
      </c>
      <c r="EM106" s="22">
        <f t="shared" si="73"/>
        <v>660.37903124850902</v>
      </c>
      <c r="EN106" s="62">
        <f t="shared" si="74"/>
        <v>953.71236458184239</v>
      </c>
      <c r="EO106" s="62">
        <f ca="1">AVERAGE(OFFSET($EN$3,0,0,'Données projet'!$E$15+1,1))-AVERAGE(OFFSET($H$3,0,0,'Données projet'!$E$15+1,1))</f>
        <v>459.64120566196812</v>
      </c>
      <c r="EP106" s="62">
        <f t="shared" si="100"/>
        <v>290.39826583283588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2.7070238230495547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2.7070238230495547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5.4</v>
      </c>
      <c r="FE106" s="13">
        <f>IF('Données projet'!$A$218&gt;35,FE105+FD106-FM105,IF(A106&lt;'Données projet'!$A$218,$FB$205^A106,IF(A106='Données projet'!$A$218,'Données projet'!$B$218,FE105+FD106-FM105)))</f>
        <v>322.19999999999993</v>
      </c>
      <c r="FF106" s="18">
        <f>FE106*VLOOKUP('Données projet'!$B$16,Paramètres!$A$1:$I$89,3,0)*VLOOKUP('Données projet'!$B$16,Paramètres!$A$1:$I$89,5,0)</f>
        <v>216.13175999999996</v>
      </c>
      <c r="FG106" s="14">
        <f t="shared" si="101"/>
        <v>53.273276832974595</v>
      </c>
      <c r="FH106" s="22">
        <f t="shared" si="76"/>
        <v>469.21377248409726</v>
      </c>
      <c r="FI106" s="62">
        <f t="shared" si="77"/>
        <v>762.54710581743052</v>
      </c>
      <c r="FJ106" s="62">
        <f ca="1">AVERAGE(OFFSET($FI$3,0,0,'Données projet'!$E$16+1,1))-AVERAGE(OFFSET($H$3,0,0,'Données projet'!$E$16+1,1))</f>
        <v>335.83558218229564</v>
      </c>
      <c r="FK106" s="62">
        <f t="shared" si="102"/>
        <v>217.08423061559648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0</v>
      </c>
      <c r="FR106" s="23">
        <f>EXP(-LN(2)/25)*FR105+(1-EXP(-LN(2)/25))/(LN(2)/25)*Calculateur!FM106*Calculateur!FO106*VLOOKUP('Données projet'!$B$16,Paramètres!$A$1:$I$89,3,0)*0.475*44/12</f>
        <v>1.1023817795338002</v>
      </c>
      <c r="FS106" s="23">
        <f>EXP(-LN(2)/2)*FS105+(1-EXP(-LN(2)/2))/(LN(2)/2)*FM106*FP106*VLOOKUP('Données projet'!$B$16,Paramètres!$A$1:$I$89,3,0)*0.475*44/12</f>
        <v>1.1374091026929954E-10</v>
      </c>
      <c r="FT106" s="24">
        <f t="shared" si="78"/>
        <v>1.1023817796475412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1.9895196601282805E-13</v>
      </c>
      <c r="O107" s="14">
        <f>N107*VLOOKUP('Données projet'!$B$9,Paramètres!$A$1:$I$89,3,0)*VLOOKUP('Données projet'!$B$9,Paramètres!$A$1:$I$89,5,0)</f>
        <v>1.738044375088066E-13</v>
      </c>
      <c r="P107" s="14">
        <f t="shared" si="87"/>
        <v>2.4483293633950478E-12</v>
      </c>
      <c r="Q107" s="22">
        <f t="shared" si="107"/>
        <v>4.566883036574213E-12</v>
      </c>
      <c r="R107" s="62">
        <f t="shared" si="55"/>
        <v>293.33333333333786</v>
      </c>
      <c r="S107" s="62">
        <f ca="1">AVERAGE(OFFSET($R$3,0,0,'Données projet'!$E$9+1,1))-AVERAGE(OFFSET($H$3,0,0,'Données projet'!$E$9+1,1))</f>
        <v>321.23599968992932</v>
      </c>
      <c r="T107" s="62">
        <f t="shared" si="88"/>
        <v>388.05195847800502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3.2875935668999121</v>
      </c>
      <c r="AB107" s="23">
        <f>EXP(-LN(2)/2)*AB106+(1-EXP(-LN(2)/2))/(LN(2)/2)*V107*Y107*VLOOKUP('Données projet'!$B$9,Paramètres!$A$1:$I$89,3,0)*0.475*44/12</f>
        <v>1.3290633856853049E-10</v>
      </c>
      <c r="AC107" s="24">
        <f t="shared" si="57"/>
        <v>3.2875935670328182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5.4</v>
      </c>
      <c r="AI107" s="14">
        <f>IF('Données projet'!$A$62&gt;35,AI106+AH107-AQ106,IF(A107&lt;'Données projet'!$A$62,$AF$205^A107,IF(A107='Données projet'!$A$62,'Données projet'!$B$62,AI106+AH107-AQ106)))</f>
        <v>327.59999999999991</v>
      </c>
      <c r="AJ107" s="14">
        <f>AI107*VLOOKUP('Données projet'!$B$10,Paramètres!$A$1:$I$89,3,0)*VLOOKUP('Données projet'!$B$10,Paramètres!$A$1:$I$89,5,0)</f>
        <v>296.4124799999999</v>
      </c>
      <c r="AK107" s="14">
        <f t="shared" si="89"/>
        <v>70.423855708154704</v>
      </c>
      <c r="AL107" s="22">
        <f t="shared" si="58"/>
        <v>638.90661802503598</v>
      </c>
      <c r="AM107" s="62">
        <f t="shared" si="59"/>
        <v>932.23995135836935</v>
      </c>
      <c r="AN107" s="62">
        <f ca="1">AVERAGE(OFFSET($AM$3,0,0,'Données projet'!$E$10+1,1))-AVERAGE(OFFSET($H$3,0,0,'Données projet'!$E$10+1,1))</f>
        <v>439.19854273764042</v>
      </c>
      <c r="AO107" s="62">
        <f t="shared" si="90"/>
        <v>278.21741231699929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1.1733915344234183</v>
      </c>
      <c r="AW107" s="23">
        <f>EXP(-LN(2)/2)*AW106+(1-EXP(-LN(2)/2))/(LN(2)/2)*AQ107*AT107*VLOOKUP('Données projet'!$B$10,Paramètres!$A$1:$I$89,3,0)*0.475*44/12</f>
        <v>1.0848288835082827E-10</v>
      </c>
      <c r="AX107" s="23">
        <f t="shared" si="60"/>
        <v>1.173391534531901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-2.8421709430404007E-13</v>
      </c>
      <c r="BE107" s="14">
        <f>BD107*VLOOKUP('Données projet'!$B$11,Paramètres!$A$1:$I$89,3,0)*VLOOKUP('Données projet'!$B$11,Paramètres!$A$1:$I$89,5,0)</f>
        <v>-2.2612312022829427E-13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352.88510024787888</v>
      </c>
      <c r="BJ107" s="62">
        <f t="shared" si="92"/>
        <v>343.77208530767069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1.5795282160661777</v>
      </c>
      <c r="BR107" s="23">
        <f>EXP(-LN(2)/2)*BR106+(1-EXP(-LN(2)/2))/(LN(2)/2)*BL107*BO107*VLOOKUP('Données projet'!$B$11,Paramètres!$A$1:$I$89,3,0)*0.475*44/12</f>
        <v>2.8723196948883391E-12</v>
      </c>
      <c r="BS107" s="24">
        <f t="shared" si="63"/>
        <v>1.57952821606905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-2.8421709430404007E-13</v>
      </c>
      <c r="BZ107" s="14">
        <f>BY107*VLOOKUP('Données projet'!$B$12,Paramètres!$A$1:$I$89,3,0)*VLOOKUP('Données projet'!$B$12,Paramètres!$A$1:$I$89,5,0)</f>
        <v>-2.0838797354372215E-13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328.10411227536315</v>
      </c>
      <c r="CE107" s="62">
        <f t="shared" si="94"/>
        <v>320.24200483294322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2.0968177604019198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2.0968177604019198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5.6843418860808015E-14</v>
      </c>
      <c r="CU107" s="18">
        <f>CT107*VLOOKUP('Données projet'!$B$13,Paramètres!$A$1:$I$89,3,0)*VLOOKUP('Données projet'!$B$13,Paramètres!$A$1:$I$89,5,0)</f>
        <v>4.4337866711430253E-14</v>
      </c>
      <c r="CV107" s="14">
        <f t="shared" si="95"/>
        <v>7.3222115536967035E-13</v>
      </c>
      <c r="CW107" s="22">
        <f t="shared" si="67"/>
        <v>1.3525069634579169E-12</v>
      </c>
      <c r="CX107" s="62">
        <f t="shared" si="68"/>
        <v>293.33333333333468</v>
      </c>
      <c r="CY107" s="62">
        <f ca="1">AVERAGE(OFFSET($CX$3,0,0,'Données projet'!$E$13+1,1))-AVERAGE(OFFSET($H$3,0,0,'Données projet'!$E$13+1,1))</f>
        <v>288.82868507674738</v>
      </c>
      <c r="CZ107" s="62">
        <f t="shared" si="96"/>
        <v>283.48738729114024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2.3577118048562493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2.3577118048562493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5.4</v>
      </c>
      <c r="DO107" s="13">
        <f>IF('Données projet'!$A$166&gt;35,DO106+DN107-DW106,IF(A107&lt;'Données projet'!$A$166,$DL$205^A107,IF(A107='Données projet'!$A$166,'Données projet'!$B$166,DO106+DN107-DW106)))</f>
        <v>327.59999999999991</v>
      </c>
      <c r="DP107" s="18">
        <f>DO107*VLOOKUP('Données projet'!$B$14,Paramètres!$A$1:$I$89,3,0)*VLOOKUP('Données projet'!$B$14,Paramètres!$A$1:$I$89,5,0)</f>
        <v>332.18639999999994</v>
      </c>
      <c r="DQ107" s="14">
        <f t="shared" si="97"/>
        <v>77.88342931194974</v>
      </c>
      <c r="DR107" s="22">
        <f t="shared" si="70"/>
        <v>714.20495271831226</v>
      </c>
      <c r="DS107" s="62">
        <f t="shared" si="71"/>
        <v>1007.5382860516456</v>
      </c>
      <c r="DT107" s="62">
        <f ca="1">AVERAGE(OFFSET($DS$3,0,0,'Données projet'!$E$14+1,1))-AVERAGE(OFFSET($H$3,0,0,'Données projet'!$E$14+1,1))</f>
        <v>487.04124684635974</v>
      </c>
      <c r="DU107" s="62">
        <f t="shared" si="98"/>
        <v>306.61893266146666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2.827969637788005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2.827969637788005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5.4</v>
      </c>
      <c r="EJ107" s="13">
        <f>IF('Données projet'!$A$192&gt;35,EJ106+EI107-ER106,IF(A107&lt;'Données projet'!$A$192,$EG$205^A107,IF(A107='Données projet'!$A$192,'Données projet'!$B$192,EJ106+EI107-ER106)))</f>
        <v>327.59999999999991</v>
      </c>
      <c r="EK107" s="18">
        <f>EJ107*VLOOKUP('Données projet'!$B$15,Paramètres!$A$1:$I$89,3,0)*VLOOKUP('Données projet'!$B$15,Paramètres!$A$1:$I$89,5,0)</f>
        <v>311.74415999999991</v>
      </c>
      <c r="EL107" s="14">
        <f t="shared" si="99"/>
        <v>73.632961173858902</v>
      </c>
      <c r="EM107" s="22">
        <f t="shared" si="73"/>
        <v>671.19848604447077</v>
      </c>
      <c r="EN107" s="62">
        <f t="shared" si="74"/>
        <v>964.53181937780414</v>
      </c>
      <c r="EO107" s="62">
        <f ca="1">AVERAGE(OFFSET($EN$3,0,0,'Données projet'!$E$15+1,1))-AVERAGE(OFFSET($H$3,0,0,'Données projet'!$E$15+1,1))</f>
        <v>459.64120566196812</v>
      </c>
      <c r="EP107" s="62">
        <f t="shared" si="100"/>
        <v>290.39826583283588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2.6539407370010504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2.6539407370010504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5.4</v>
      </c>
      <c r="FE107" s="13">
        <f>IF('Données projet'!$A$218&gt;35,FE106+FD107-FM106,IF(A107&lt;'Données projet'!$A$218,$FB$205^A107,IF(A107='Données projet'!$A$218,'Données projet'!$B$218,FE106+FD107-FM106)))</f>
        <v>327.59999999999991</v>
      </c>
      <c r="FF107" s="18">
        <f>FE107*VLOOKUP('Données projet'!$B$16,Paramètres!$A$1:$I$89,3,0)*VLOOKUP('Données projet'!$B$16,Paramètres!$A$1:$I$89,5,0)</f>
        <v>219.75407999999996</v>
      </c>
      <c r="FG107" s="14">
        <f t="shared" si="101"/>
        <v>54.061432744926762</v>
      </c>
      <c r="FH107" s="22">
        <f t="shared" si="76"/>
        <v>476.89535136408062</v>
      </c>
      <c r="FI107" s="62">
        <f t="shared" si="77"/>
        <v>770.22868469741388</v>
      </c>
      <c r="FJ107" s="62">
        <f ca="1">AVERAGE(OFFSET($FI$3,0,0,'Données projet'!$E$16+1,1))-AVERAGE(OFFSET($H$3,0,0,'Données projet'!$E$16+1,1))</f>
        <v>335.83558218229564</v>
      </c>
      <c r="FK107" s="62">
        <f t="shared" si="102"/>
        <v>217.08423061559648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0</v>
      </c>
      <c r="FR107" s="23">
        <f>EXP(-LN(2)/25)*FR106+(1-EXP(-LN(2)/25))/(LN(2)/25)*Calculateur!FM107*Calculateur!FO107*VLOOKUP('Données projet'!$B$16,Paramètres!$A$1:$I$89,3,0)*0.475*44/12</f>
        <v>1.0722370918007103</v>
      </c>
      <c r="FS107" s="23">
        <f>EXP(-LN(2)/2)*FS106+(1-EXP(-LN(2)/2))/(LN(2)/2)*FM107*FP107*VLOOKUP('Données projet'!$B$16,Paramètres!$A$1:$I$89,3,0)*0.475*44/12</f>
        <v>8.0426968949752334E-11</v>
      </c>
      <c r="FT107" s="24">
        <f t="shared" si="78"/>
        <v>1.0722370918811372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1.9895196601282805E-13</v>
      </c>
      <c r="O108" s="14">
        <f>N108*VLOOKUP('Données projet'!$B$9,Paramètres!$A$1:$I$89,3,0)*VLOOKUP('Données projet'!$B$9,Paramètres!$A$1:$I$89,5,0)</f>
        <v>1.738044375088066E-13</v>
      </c>
      <c r="P108" s="14">
        <f t="shared" si="87"/>
        <v>2.4483293633950478E-12</v>
      </c>
      <c r="Q108" s="22">
        <f t="shared" si="107"/>
        <v>4.566883036574213E-12</v>
      </c>
      <c r="R108" s="62">
        <f t="shared" si="55"/>
        <v>293.33333333333786</v>
      </c>
      <c r="S108" s="62">
        <f ca="1">AVERAGE(OFFSET($R$3,0,0,'Données projet'!$E$9+1,1))-AVERAGE(OFFSET($H$3,0,0,'Données projet'!$E$9+1,1))</f>
        <v>321.23599968992932</v>
      </c>
      <c r="T108" s="62">
        <f t="shared" si="88"/>
        <v>388.05195847800502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3.1976941479260024</v>
      </c>
      <c r="AB108" s="23">
        <f>EXP(-LN(2)/2)*AB107+(1-EXP(-LN(2)/2))/(LN(2)/2)*V108*Y108*VLOOKUP('Données projet'!$B$9,Paramètres!$A$1:$I$89,3,0)*0.475*44/12</f>
        <v>9.3978973264483094E-11</v>
      </c>
      <c r="AC108" s="24">
        <f t="shared" si="57"/>
        <v>3.1976941480199814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333</v>
      </c>
      <c r="AG108" s="13">
        <f>VLOOKUP(A108,'Données projet'!$A$61:$I$81,9,0)</f>
        <v>5.4</v>
      </c>
      <c r="AH108" s="13">
        <f t="array" ref="AH108">INDEX(AG:AG,MIN(IF(ISNUMBER(AG108:AG304),ROW(AG108:AG304),"")))</f>
        <v>5.4</v>
      </c>
      <c r="AI108" s="14">
        <f>IF('Données projet'!$A$62&gt;35,AI107+AH108-AQ107,IF(A108&lt;'Données projet'!$A$62,$AF$205^A108,IF(A108='Données projet'!$A$62,'Données projet'!$B$62,AI107+AH108-AQ107)))</f>
        <v>332.99999999999989</v>
      </c>
      <c r="AJ108" s="14">
        <f>AI108*VLOOKUP('Données projet'!$B$10,Paramètres!$A$1:$I$89,3,0)*VLOOKUP('Données projet'!$B$10,Paramètres!$A$1:$I$89,5,0)</f>
        <v>301.2983999999999</v>
      </c>
      <c r="AK108" s="14">
        <f t="shared" si="89"/>
        <v>71.448589534990518</v>
      </c>
      <c r="AL108" s="22">
        <f t="shared" si="58"/>
        <v>649.20100677344158</v>
      </c>
      <c r="AM108" s="62">
        <f t="shared" si="59"/>
        <v>942.53434010677483</v>
      </c>
      <c r="AN108" s="62">
        <f ca="1">AVERAGE(OFFSET($AM$3,0,0,'Données projet'!$E$10+1,1))-AVERAGE(OFFSET($H$3,0,0,'Données projet'!$E$10+1,1))</f>
        <v>439.19854273764042</v>
      </c>
      <c r="AO108" s="62">
        <f t="shared" si="90"/>
        <v>278.21741231699929</v>
      </c>
      <c r="AP108" s="16">
        <f>IF(ISNA(VLOOKUP(A108,'Données projet'!$A$61:$I$81,3,0)),0,VLOOKUP(A108,'Données projet'!$A$61:$I$81,3,0))</f>
        <v>18</v>
      </c>
      <c r="AQ108" s="16">
        <f>IF(ISNA(VLOOKUP(A108,'Données projet'!$A$61:$I$81,4,0)),0,VLOOKUP(A108,'Données projet'!$A$61:$I$81,4,0))</f>
        <v>26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1.1413050812086309</v>
      </c>
      <c r="AW108" s="23">
        <f>EXP(-LN(2)/2)*AW107+(1-EXP(-LN(2)/2))/(LN(2)/2)*AQ108*AT108*VLOOKUP('Données projet'!$B$10,Paramètres!$A$1:$I$89,3,0)*0.475*44/12</f>
        <v>7.6708985995573791E-11</v>
      </c>
      <c r="AX108" s="23">
        <f t="shared" si="60"/>
        <v>1.14130508128534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-2.8421709430404007E-13</v>
      </c>
      <c r="BE108" s="14">
        <f>BD108*VLOOKUP('Données projet'!$B$11,Paramètres!$A$1:$I$89,3,0)*VLOOKUP('Données projet'!$B$11,Paramètres!$A$1:$I$89,5,0)</f>
        <v>-2.2612312022829427E-13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352.88510024787888</v>
      </c>
      <c r="BJ108" s="62">
        <f t="shared" si="92"/>
        <v>343.77208530767069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1.5363359339340692</v>
      </c>
      <c r="BR108" s="23">
        <f>EXP(-LN(2)/2)*BR107+(1-EXP(-LN(2)/2))/(LN(2)/2)*BL108*BO108*VLOOKUP('Données projet'!$B$11,Paramètres!$A$1:$I$89,3,0)*0.475*44/12</f>
        <v>2.0310367339912197E-12</v>
      </c>
      <c r="BS108" s="24">
        <f t="shared" si="63"/>
        <v>1.5363359339361002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-2.8421709430404007E-13</v>
      </c>
      <c r="BZ108" s="14">
        <f>BY108*VLOOKUP('Données projet'!$B$12,Paramètres!$A$1:$I$89,3,0)*VLOOKUP('Données projet'!$B$12,Paramètres!$A$1:$I$89,5,0)</f>
        <v>-2.0838797354372215E-13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328.10411227536315</v>
      </c>
      <c r="CE108" s="62">
        <f t="shared" si="94"/>
        <v>320.24200483294322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2.0557004430529879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2.0557004430529879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5.6843418860808015E-14</v>
      </c>
      <c r="CU108" s="18">
        <f>CT108*VLOOKUP('Données projet'!$B$13,Paramètres!$A$1:$I$89,3,0)*VLOOKUP('Données projet'!$B$13,Paramètres!$A$1:$I$89,5,0)</f>
        <v>4.4337866711430253E-14</v>
      </c>
      <c r="CV108" s="14">
        <f t="shared" si="95"/>
        <v>7.3222115536967035E-13</v>
      </c>
      <c r="CW108" s="22">
        <f t="shared" si="67"/>
        <v>1.3525069634579169E-12</v>
      </c>
      <c r="CX108" s="62">
        <f t="shared" si="68"/>
        <v>293.33333333333468</v>
      </c>
      <c r="CY108" s="62">
        <f ca="1">AVERAGE(OFFSET($CX$3,0,0,'Données projet'!$E$13+1,1))-AVERAGE(OFFSET($H$3,0,0,'Données projet'!$E$13+1,1))</f>
        <v>288.82868507674738</v>
      </c>
      <c r="CZ108" s="62">
        <f t="shared" si="96"/>
        <v>283.48738729114024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2.3114785144252226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2.3114785144252226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>
        <f>VLOOKUP(A108,'Données projet'!$A$165:$I$185,2,0)</f>
        <v>333</v>
      </c>
      <c r="DM108" s="13">
        <f>VLOOKUP(A108,'Données projet'!$A$165:$I$185,9,0)</f>
        <v>5.4</v>
      </c>
      <c r="DN108" s="13">
        <f t="array" ref="DN108">INDEX(DM:DM,MIN(IF(ISNUMBER(DM108:DM304),ROW(DM108:DM304),"")))</f>
        <v>5.4</v>
      </c>
      <c r="DO108" s="13">
        <f>IF('Données projet'!$A$166&gt;35,DO107+DN108-DW107,IF(A108&lt;'Données projet'!$A$166,$DL$205^A108,IF(A108='Données projet'!$A$166,'Données projet'!$B$166,DO107+DN108-DW107)))</f>
        <v>332.99999999999989</v>
      </c>
      <c r="DP108" s="18">
        <f>DO108*VLOOKUP('Données projet'!$B$14,Paramètres!$A$1:$I$89,3,0)*VLOOKUP('Données projet'!$B$14,Paramètres!$A$1:$I$89,5,0)</f>
        <v>337.66199999999992</v>
      </c>
      <c r="DQ108" s="14">
        <f t="shared" si="97"/>
        <v>79.016707002632685</v>
      </c>
      <c r="DR108" s="22">
        <f t="shared" si="70"/>
        <v>725.71541469625174</v>
      </c>
      <c r="DS108" s="62">
        <f t="shared" si="71"/>
        <v>1019.0487480295851</v>
      </c>
      <c r="DT108" s="62">
        <f ca="1">AVERAGE(OFFSET($DS$3,0,0,'Données projet'!$E$14+1,1))-AVERAGE(OFFSET($H$3,0,0,'Données projet'!$E$14+1,1))</f>
        <v>487.04124684635974</v>
      </c>
      <c r="DU108" s="62">
        <f t="shared" si="98"/>
        <v>306.61893266146666</v>
      </c>
      <c r="DV108" s="16">
        <f>IF(ISNA(VLOOKUP(A108,'Données projet'!$A$165:$I$185,3,0)),0,VLOOKUP(A108,'Données projet'!$A$165:$I$185,3,0))</f>
        <v>18</v>
      </c>
      <c r="DW108" s="16">
        <f>IF(ISNA(VLOOKUP(A108,'Données projet'!$A$165:$I$185,4,0)),0,VLOOKUP(A108,'Données projet'!$A$165:$I$185,4,0))</f>
        <v>26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2.7725148780821423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2.7725148780821423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>
        <f>VLOOKUP(A108,'Données projet'!$A$191:$I$211,2,0)</f>
        <v>333</v>
      </c>
      <c r="EH108" s="13">
        <f>VLOOKUP(A108,'Données projet'!$A$191:$I$211,9,0)</f>
        <v>5.4</v>
      </c>
      <c r="EI108" s="13">
        <f t="array" ref="EI108">INDEX(EH:EH,MIN(IF(ISNUMBER(EH108:EH304),ROW(EH108:EH304),"")))</f>
        <v>5.4</v>
      </c>
      <c r="EJ108" s="13">
        <f>IF('Données projet'!$A$192&gt;35,EJ107+EI108-ER107,IF(A108&lt;'Données projet'!$A$192,$EG$205^A108,IF(A108='Données projet'!$A$192,'Données projet'!$B$192,EJ107+EI108-ER107)))</f>
        <v>332.99999999999989</v>
      </c>
      <c r="EK108" s="18">
        <f>EJ108*VLOOKUP('Données projet'!$B$15,Paramètres!$A$1:$I$89,3,0)*VLOOKUP('Données projet'!$B$15,Paramètres!$A$1:$I$89,5,0)</f>
        <v>316.88279999999992</v>
      </c>
      <c r="EL108" s="14">
        <f t="shared" si="99"/>
        <v>74.70439052583346</v>
      </c>
      <c r="EM108" s="22">
        <f t="shared" si="73"/>
        <v>682.01435683249304</v>
      </c>
      <c r="EN108" s="62">
        <f t="shared" si="74"/>
        <v>975.34769016582641</v>
      </c>
      <c r="EO108" s="62">
        <f ca="1">AVERAGE(OFFSET($EN$3,0,0,'Données projet'!$E$15+1,1))-AVERAGE(OFFSET($H$3,0,0,'Données projet'!$E$15+1,1))</f>
        <v>459.64120566196812</v>
      </c>
      <c r="EP108" s="62">
        <f t="shared" si="100"/>
        <v>290.39826583283588</v>
      </c>
      <c r="EQ108" s="16">
        <f>IF(ISNA(VLOOKUP(A108,'Données projet'!$A$191:$I$211,3,0)),0,VLOOKUP(A108,'Données projet'!$A$191:$I$211,3,0))</f>
        <v>18</v>
      </c>
      <c r="ER108" s="16">
        <f>IF(ISNA(VLOOKUP(A108,'Données projet'!$A$191:$I$211,4,0)),0,VLOOKUP(A108,'Données projet'!$A$191:$I$211,4,0))</f>
        <v>26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2.6018985778924715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2.6018985778924715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>
        <f>VLOOKUP(A108,'Données projet'!$A$217:$I$237,2,0)</f>
        <v>333</v>
      </c>
      <c r="FC108" s="13">
        <f>VLOOKUP(A108,'Données projet'!$A$217:$I$237,9,0)</f>
        <v>5.4</v>
      </c>
      <c r="FD108" s="13">
        <f t="array" ref="FD108">INDEX(FC:FC,MIN(IF(ISNUMBER(FC108:FC304),ROW(FC108:FC304),"")))</f>
        <v>5.4</v>
      </c>
      <c r="FE108" s="13">
        <f>IF('Données projet'!$A$218&gt;35,FE107+FD108-FM107,IF(A108&lt;'Données projet'!$A$218,$FB$205^A108,IF(A108='Données projet'!$A$218,'Données projet'!$B$218,FE107+FD108-FM107)))</f>
        <v>332.99999999999989</v>
      </c>
      <c r="FF108" s="18">
        <f>FE108*VLOOKUP('Données projet'!$B$16,Paramètres!$A$1:$I$89,3,0)*VLOOKUP('Données projet'!$B$16,Paramètres!$A$1:$I$89,5,0)</f>
        <v>223.3763999999999</v>
      </c>
      <c r="FG108" s="14">
        <f t="shared" si="101"/>
        <v>54.848077814326416</v>
      </c>
      <c r="FH108" s="22">
        <f t="shared" si="76"/>
        <v>484.57429885995163</v>
      </c>
      <c r="FI108" s="62">
        <f t="shared" si="77"/>
        <v>777.90763219328494</v>
      </c>
      <c r="FJ108" s="62">
        <f ca="1">AVERAGE(OFFSET($FI$3,0,0,'Données projet'!$E$16+1,1))-AVERAGE(OFFSET($H$3,0,0,'Données projet'!$E$16+1,1))</f>
        <v>335.83558218229564</v>
      </c>
      <c r="FK108" s="62">
        <f t="shared" si="102"/>
        <v>217.08423061559648</v>
      </c>
      <c r="FL108" s="16">
        <f>IF(ISNA(VLOOKUP(A108,'Données projet'!$A$217:$I$237,3,0)),0,VLOOKUP(A108,'Données projet'!$A$217:$I$237,3,0))</f>
        <v>18</v>
      </c>
      <c r="FM108" s="16">
        <f>IF(ISNA(VLOOKUP(A108,'Données projet'!$A$217:$I$237,4,0)),0,VLOOKUP(A108,'Données projet'!$A$217:$I$237,4,0))</f>
        <v>26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0</v>
      </c>
      <c r="FR108" s="23">
        <f>EXP(-LN(2)/25)*FR107+(1-EXP(-LN(2)/25))/(LN(2)/25)*Calculateur!FM108*Calculateur!FO108*VLOOKUP('Données projet'!$B$16,Paramètres!$A$1:$I$89,3,0)*0.475*44/12</f>
        <v>1.0429167121389218</v>
      </c>
      <c r="FS108" s="23">
        <f>EXP(-LN(2)/2)*FS107+(1-EXP(-LN(2)/2))/(LN(2)/2)*FM108*FP108*VLOOKUP('Données projet'!$B$16,Paramètres!$A$1:$I$89,3,0)*0.475*44/12</f>
        <v>5.6870455134649782E-11</v>
      </c>
      <c r="FT108" s="24">
        <f t="shared" si="78"/>
        <v>1.0429167121957923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1.9895196601282805E-13</v>
      </c>
      <c r="O109" s="14">
        <f>N109*VLOOKUP('Données projet'!$B$9,Paramètres!$A$1:$I$89,3,0)*VLOOKUP('Données projet'!$B$9,Paramètres!$A$1:$I$89,5,0)</f>
        <v>1.738044375088066E-13</v>
      </c>
      <c r="P109" s="14">
        <f t="shared" si="87"/>
        <v>2.4483293633950478E-12</v>
      </c>
      <c r="Q109" s="22">
        <f t="shared" si="107"/>
        <v>4.566883036574213E-12</v>
      </c>
      <c r="R109" s="62">
        <f t="shared" si="55"/>
        <v>293.33333333333786</v>
      </c>
      <c r="S109" s="62">
        <f ca="1">AVERAGE(OFFSET($R$3,0,0,'Données projet'!$E$9+1,1))-AVERAGE(OFFSET($H$3,0,0,'Données projet'!$E$9+1,1))</f>
        <v>321.23599968992932</v>
      </c>
      <c r="T109" s="62">
        <f t="shared" si="88"/>
        <v>388.05195847800502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3.110253033291539</v>
      </c>
      <c r="AB109" s="23">
        <f>EXP(-LN(2)/2)*AB108+(1-EXP(-LN(2)/2))/(LN(2)/2)*V109*Y109*VLOOKUP('Données projet'!$B$9,Paramètres!$A$1:$I$89,3,0)*0.475*44/12</f>
        <v>6.6453169284265246E-11</v>
      </c>
      <c r="AC109" s="24">
        <f t="shared" si="57"/>
        <v>3.1102530333579921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5</v>
      </c>
      <c r="AI109" s="14">
        <f>IF('Données projet'!$A$62&gt;35,AI108+AH109-AQ108,IF(A109&lt;'Données projet'!$A$62,$AF$205^A109,IF(A109='Données projet'!$A$62,'Données projet'!$B$62,AI108+AH109-AQ108)))</f>
        <v>311.99999999999989</v>
      </c>
      <c r="AJ109" s="14">
        <f>AI109*VLOOKUP('Données projet'!$B$10,Paramètres!$A$1:$I$89,3,0)*VLOOKUP('Données projet'!$B$10,Paramètres!$A$1:$I$89,5,0)</f>
        <v>282.29759999999987</v>
      </c>
      <c r="AK109" s="14">
        <f t="shared" si="89"/>
        <v>67.452326629470178</v>
      </c>
      <c r="AL109" s="22">
        <f t="shared" si="58"/>
        <v>609.14778887966042</v>
      </c>
      <c r="AM109" s="62">
        <f t="shared" si="59"/>
        <v>902.4811222129938</v>
      </c>
      <c r="AN109" s="62">
        <f ca="1">AVERAGE(OFFSET($AM$3,0,0,'Données projet'!$E$10+1,1))-AVERAGE(OFFSET($H$3,0,0,'Données projet'!$E$10+1,1))</f>
        <v>439.19854273764042</v>
      </c>
      <c r="AO109" s="62">
        <f t="shared" si="90"/>
        <v>278.21741231699929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1.1100960337443553</v>
      </c>
      <c r="AW109" s="23">
        <f>EXP(-LN(2)/2)*AW108+(1-EXP(-LN(2)/2))/(LN(2)/2)*AQ109*AT109*VLOOKUP('Données projet'!$B$10,Paramètres!$A$1:$I$89,3,0)*0.475*44/12</f>
        <v>5.4241444175414136E-11</v>
      </c>
      <c r="AX109" s="23">
        <f t="shared" si="60"/>
        <v>1.1100960337985968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-2.8421709430404007E-13</v>
      </c>
      <c r="BE109" s="14">
        <f>BD109*VLOOKUP('Données projet'!$B$11,Paramètres!$A$1:$I$89,3,0)*VLOOKUP('Données projet'!$B$11,Paramètres!$A$1:$I$89,5,0)</f>
        <v>-2.2612312022829427E-13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352.88510024787888</v>
      </c>
      <c r="BJ109" s="62">
        <f t="shared" si="92"/>
        <v>343.77208530767069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1.4943247470282466</v>
      </c>
      <c r="BR109" s="23">
        <f>EXP(-LN(2)/2)*BR108+(1-EXP(-LN(2)/2))/(LN(2)/2)*BL109*BO109*VLOOKUP('Données projet'!$B$11,Paramètres!$A$1:$I$89,3,0)*0.475*44/12</f>
        <v>1.4361598474441696E-12</v>
      </c>
      <c r="BS109" s="24">
        <f t="shared" si="63"/>
        <v>1.4943247470296828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-2.8421709430404007E-13</v>
      </c>
      <c r="BZ109" s="14">
        <f>BY109*VLOOKUP('Données projet'!$B$12,Paramètres!$A$1:$I$89,3,0)*VLOOKUP('Données projet'!$B$12,Paramètres!$A$1:$I$89,5,0)</f>
        <v>-2.0838797354372215E-13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328.10411227536315</v>
      </c>
      <c r="CE109" s="62">
        <f t="shared" si="94"/>
        <v>320.24200483294322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2.0153894112181812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2.0153894112181812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5.6843418860808015E-14</v>
      </c>
      <c r="CU109" s="18">
        <f>CT109*VLOOKUP('Données projet'!$B$13,Paramètres!$A$1:$I$89,3,0)*VLOOKUP('Données projet'!$B$13,Paramètres!$A$1:$I$89,5,0)</f>
        <v>4.4337866711430253E-14</v>
      </c>
      <c r="CV109" s="14">
        <f t="shared" si="95"/>
        <v>7.3222115536967035E-13</v>
      </c>
      <c r="CW109" s="22">
        <f t="shared" si="67"/>
        <v>1.3525069634579169E-12</v>
      </c>
      <c r="CX109" s="62">
        <f t="shared" si="68"/>
        <v>293.33333333333468</v>
      </c>
      <c r="CY109" s="62">
        <f ca="1">AVERAGE(OFFSET($CX$3,0,0,'Données projet'!$E$13+1,1))-AVERAGE(OFFSET($H$3,0,0,'Données projet'!$E$13+1,1))</f>
        <v>288.82868507674738</v>
      </c>
      <c r="CZ109" s="62">
        <f t="shared" si="96"/>
        <v>283.48738729114024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2.2661518306200255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2.2661518306200255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5</v>
      </c>
      <c r="DO109" s="13">
        <f>IF('Données projet'!$A$166&gt;35,DO108+DN109-DW108,IF(A109&lt;'Données projet'!$A$166,$DL$205^A109,IF(A109='Données projet'!$A$166,'Données projet'!$B$166,DO108+DN109-DW108)))</f>
        <v>311.99999999999989</v>
      </c>
      <c r="DP109" s="18">
        <f>DO109*VLOOKUP('Données projet'!$B$14,Paramètres!$A$1:$I$89,3,0)*VLOOKUP('Données projet'!$B$14,Paramètres!$A$1:$I$89,5,0)</f>
        <v>316.36799999999988</v>
      </c>
      <c r="DQ109" s="14">
        <f t="shared" si="97"/>
        <v>74.597144109003438</v>
      </c>
      <c r="DR109" s="22">
        <f t="shared" si="70"/>
        <v>680.93095932318067</v>
      </c>
      <c r="DS109" s="62">
        <f t="shared" si="71"/>
        <v>974.26429265651404</v>
      </c>
      <c r="DT109" s="62">
        <f ca="1">AVERAGE(OFFSET($DS$3,0,0,'Données projet'!$E$14+1,1))-AVERAGE(OFFSET($H$3,0,0,'Données projet'!$E$14+1,1))</f>
        <v>487.04124684635974</v>
      </c>
      <c r="DU109" s="62">
        <f t="shared" si="98"/>
        <v>306.61893266146666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2.718147552390048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2.718147552390048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5</v>
      </c>
      <c r="EJ109" s="13">
        <f>IF('Données projet'!$A$192&gt;35,EJ108+EI109-ER108,IF(A109&lt;'Données projet'!$A$192,$EG$205^A109,IF(A109='Données projet'!$A$192,'Données projet'!$B$192,EJ108+EI109-ER108)))</f>
        <v>311.99999999999989</v>
      </c>
      <c r="EK109" s="18">
        <f>EJ109*VLOOKUP('Données projet'!$B$15,Paramètres!$A$1:$I$89,3,0)*VLOOKUP('Données projet'!$B$15,Paramètres!$A$1:$I$89,5,0)</f>
        <v>296.89919999999989</v>
      </c>
      <c r="EL109" s="14">
        <f t="shared" si="99"/>
        <v>70.526024141264102</v>
      </c>
      <c r="EM109" s="22">
        <f t="shared" si="73"/>
        <v>639.932265379368</v>
      </c>
      <c r="EN109" s="62">
        <f t="shared" si="74"/>
        <v>933.26559871270138</v>
      </c>
      <c r="EO109" s="62">
        <f ca="1">AVERAGE(OFFSET($EN$3,0,0,'Données projet'!$E$15+1,1))-AVERAGE(OFFSET($H$3,0,0,'Données projet'!$E$15+1,1))</f>
        <v>459.64120566196812</v>
      </c>
      <c r="EP109" s="62">
        <f t="shared" si="100"/>
        <v>290.39826583283588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2.5508769337814292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2.5508769337814292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5</v>
      </c>
      <c r="FE109" s="13">
        <f>IF('Données projet'!$A$218&gt;35,FE108+FD109-FM108,IF(A109&lt;'Données projet'!$A$218,$FB$205^A109,IF(A109='Données projet'!$A$218,'Données projet'!$B$218,FE108+FD109-FM108)))</f>
        <v>311.99999999999989</v>
      </c>
      <c r="FF109" s="18">
        <f>FE109*VLOOKUP('Données projet'!$B$16,Paramètres!$A$1:$I$89,3,0)*VLOOKUP('Données projet'!$B$16,Paramètres!$A$1:$I$89,5,0)</f>
        <v>209.28959999999992</v>
      </c>
      <c r="FG109" s="14">
        <f t="shared" si="101"/>
        <v>51.780314822292169</v>
      </c>
      <c r="FH109" s="22">
        <f t="shared" si="76"/>
        <v>454.69676831549208</v>
      </c>
      <c r="FI109" s="62">
        <f t="shared" si="77"/>
        <v>748.03010164882539</v>
      </c>
      <c r="FJ109" s="62">
        <f ca="1">AVERAGE(OFFSET($FI$3,0,0,'Données projet'!$E$16+1,1))-AVERAGE(OFFSET($H$3,0,0,'Données projet'!$E$16+1,1))</f>
        <v>335.83558218229564</v>
      </c>
      <c r="FK109" s="62">
        <f t="shared" si="102"/>
        <v>217.08423061559648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0</v>
      </c>
      <c r="FR109" s="23">
        <f>EXP(-LN(2)/25)*FR108+(1-EXP(-LN(2)/25))/(LN(2)/25)*Calculateur!FM109*Calculateur!FO109*VLOOKUP('Données projet'!$B$16,Paramètres!$A$1:$I$89,3,0)*0.475*44/12</f>
        <v>1.0143980998008768</v>
      </c>
      <c r="FS109" s="23">
        <f>EXP(-LN(2)/2)*FS108+(1-EXP(-LN(2)/2))/(LN(2)/2)*FM109*FP109*VLOOKUP('Données projet'!$B$16,Paramètres!$A$1:$I$89,3,0)*0.475*44/12</f>
        <v>4.0213484474876174E-11</v>
      </c>
      <c r="FT109" s="24">
        <f t="shared" si="78"/>
        <v>1.0143980998410902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1.9895196601282805E-13</v>
      </c>
      <c r="O110" s="14">
        <f>N110*VLOOKUP('Données projet'!$B$9,Paramètres!$A$1:$I$89,3,0)*VLOOKUP('Données projet'!$B$9,Paramètres!$A$1:$I$89,5,0)</f>
        <v>1.738044375088066E-13</v>
      </c>
      <c r="P110" s="14">
        <f t="shared" si="87"/>
        <v>2.4483293633950478E-12</v>
      </c>
      <c r="Q110" s="22">
        <f t="shared" si="107"/>
        <v>4.566883036574213E-12</v>
      </c>
      <c r="R110" s="62">
        <f t="shared" si="55"/>
        <v>293.33333333333786</v>
      </c>
      <c r="S110" s="62">
        <f ca="1">AVERAGE(OFFSET($R$3,0,0,'Données projet'!$E$9+1,1))-AVERAGE(OFFSET($H$3,0,0,'Données projet'!$E$9+1,1))</f>
        <v>321.23599968992932</v>
      </c>
      <c r="T110" s="62">
        <f t="shared" si="88"/>
        <v>388.05195847800502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3.0252030005350834</v>
      </c>
      <c r="AB110" s="23">
        <f>EXP(-LN(2)/2)*AB109+(1-EXP(-LN(2)/2))/(LN(2)/2)*V110*Y110*VLOOKUP('Données projet'!$B$9,Paramètres!$A$1:$I$89,3,0)*0.475*44/12</f>
        <v>4.6989486632241547E-11</v>
      </c>
      <c r="AC110" s="24">
        <f t="shared" si="57"/>
        <v>3.0252030005820729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5</v>
      </c>
      <c r="AI110" s="14">
        <f>IF('Données projet'!$A$62&gt;35,AI109+AH110-AQ109,IF(A110&lt;'Données projet'!$A$62,$AF$205^A110,IF(A110='Données projet'!$A$62,'Données projet'!$B$62,AI109+AH110-AQ109)))</f>
        <v>316.99999999999989</v>
      </c>
      <c r="AJ110" s="14">
        <f>AI110*VLOOKUP('Données projet'!$B$10,Paramètres!$A$1:$I$89,3,0)*VLOOKUP('Données projet'!$B$10,Paramètres!$A$1:$I$89,5,0)</f>
        <v>286.82159999999988</v>
      </c>
      <c r="AK110" s="14">
        <f t="shared" si="89"/>
        <v>68.406583284351413</v>
      </c>
      <c r="AL110" s="22">
        <f t="shared" si="58"/>
        <v>618.68908588691181</v>
      </c>
      <c r="AM110" s="62">
        <f t="shared" si="59"/>
        <v>912.02241922024518</v>
      </c>
      <c r="AN110" s="62">
        <f ca="1">AVERAGE(OFFSET($AM$3,0,0,'Données projet'!$E$10+1,1))-AVERAGE(OFFSET($H$3,0,0,'Données projet'!$E$10+1,1))</f>
        <v>439.19854273764042</v>
      </c>
      <c r="AO110" s="62">
        <f t="shared" si="90"/>
        <v>278.21741231699929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1.0797403993242027</v>
      </c>
      <c r="AW110" s="23">
        <f>EXP(-LN(2)/2)*AW109+(1-EXP(-LN(2)/2))/(LN(2)/2)*AQ110*AT110*VLOOKUP('Données projet'!$B$10,Paramètres!$A$1:$I$89,3,0)*0.475*44/12</f>
        <v>3.8354492997786895E-11</v>
      </c>
      <c r="AX110" s="23">
        <f t="shared" si="60"/>
        <v>1.0797403993625572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-2.8421709430404007E-13</v>
      </c>
      <c r="BE110" s="14">
        <f>BD110*VLOOKUP('Données projet'!$B$11,Paramètres!$A$1:$I$89,3,0)*VLOOKUP('Données projet'!$B$11,Paramètres!$A$1:$I$89,5,0)</f>
        <v>-2.2612312022829427E-13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352.88510024787888</v>
      </c>
      <c r="BJ110" s="62">
        <f t="shared" si="92"/>
        <v>343.77208530767069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1.453462358237636</v>
      </c>
      <c r="BR110" s="23">
        <f>EXP(-LN(2)/2)*BR109+(1-EXP(-LN(2)/2))/(LN(2)/2)*BL110*BO110*VLOOKUP('Données projet'!$B$11,Paramètres!$A$1:$I$89,3,0)*0.475*44/12</f>
        <v>1.0155183669956099E-12</v>
      </c>
      <c r="BS110" s="24">
        <f t="shared" si="63"/>
        <v>1.4534623582386514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-2.8421709430404007E-13</v>
      </c>
      <c r="BZ110" s="14">
        <f>BY110*VLOOKUP('Données projet'!$B$12,Paramètres!$A$1:$I$89,3,0)*VLOOKUP('Données projet'!$B$12,Paramètres!$A$1:$I$89,5,0)</f>
        <v>-2.0838797354372215E-13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328.10411227536315</v>
      </c>
      <c r="CE110" s="62">
        <f t="shared" si="94"/>
        <v>320.24200483294322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1.9758688541303535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1.9758688541303535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5.6843418860808015E-14</v>
      </c>
      <c r="CU110" s="18">
        <f>CT110*VLOOKUP('Données projet'!$B$13,Paramètres!$A$1:$I$89,3,0)*VLOOKUP('Données projet'!$B$13,Paramètres!$A$1:$I$89,5,0)</f>
        <v>4.4337866711430253E-14</v>
      </c>
      <c r="CV110" s="14">
        <f t="shared" si="95"/>
        <v>7.3222115536967035E-13</v>
      </c>
      <c r="CW110" s="22">
        <f t="shared" si="67"/>
        <v>1.3525069634579169E-12</v>
      </c>
      <c r="CX110" s="62">
        <f t="shared" si="68"/>
        <v>293.33333333333468</v>
      </c>
      <c r="CY110" s="62">
        <f ca="1">AVERAGE(OFFSET($CX$3,0,0,'Données projet'!$E$13+1,1))-AVERAGE(OFFSET($H$3,0,0,'Données projet'!$E$13+1,1))</f>
        <v>288.82868507674738</v>
      </c>
      <c r="CZ110" s="62">
        <f t="shared" si="96"/>
        <v>283.48738729114024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2.2217139754377011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2.2217139754377011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5</v>
      </c>
      <c r="DO110" s="13">
        <f>IF('Données projet'!$A$166&gt;35,DO109+DN110-DW109,IF(A110&lt;'Données projet'!$A$166,$DL$205^A110,IF(A110='Données projet'!$A$166,'Données projet'!$B$166,DO109+DN110-DW109)))</f>
        <v>316.99999999999989</v>
      </c>
      <c r="DP110" s="18">
        <f>DO110*VLOOKUP('Données projet'!$B$14,Paramètres!$A$1:$I$89,3,0)*VLOOKUP('Données projet'!$B$14,Paramètres!$A$1:$I$89,5,0)</f>
        <v>321.43799999999987</v>
      </c>
      <c r="DQ110" s="14">
        <f t="shared" si="97"/>
        <v>75.652479406660177</v>
      </c>
      <c r="DR110" s="22">
        <f t="shared" si="70"/>
        <v>691.59925163326625</v>
      </c>
      <c r="DS110" s="62">
        <f t="shared" si="71"/>
        <v>984.93258496659951</v>
      </c>
      <c r="DT110" s="62">
        <f ca="1">AVERAGE(OFFSET($DS$3,0,0,'Données projet'!$E$14+1,1))-AVERAGE(OFFSET($H$3,0,0,'Données projet'!$E$14+1,1))</f>
        <v>487.04124684635974</v>
      </c>
      <c r="DU110" s="62">
        <f t="shared" si="98"/>
        <v>306.61893266146666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2.6648463367939814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2.6648463367939814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5</v>
      </c>
      <c r="EJ110" s="13">
        <f>IF('Données projet'!$A$192&gt;35,EJ109+EI110-ER109,IF(A110&lt;'Données projet'!$A$192,$EG$205^A110,IF(A110='Données projet'!$A$192,'Données projet'!$B$192,EJ109+EI110-ER109)))</f>
        <v>316.99999999999989</v>
      </c>
      <c r="EK110" s="18">
        <f>EJ110*VLOOKUP('Données projet'!$B$15,Paramètres!$A$1:$I$89,3,0)*VLOOKUP('Données projet'!$B$15,Paramètres!$A$1:$I$89,5,0)</f>
        <v>301.65719999999988</v>
      </c>
      <c r="EL110" s="14">
        <f t="shared" si="99"/>
        <v>71.523764786280154</v>
      </c>
      <c r="EM110" s="22">
        <f t="shared" si="73"/>
        <v>649.95684700277104</v>
      </c>
      <c r="EN110" s="62">
        <f t="shared" si="74"/>
        <v>943.29018033610441</v>
      </c>
      <c r="EO110" s="62">
        <f ca="1">AVERAGE(OFFSET($EN$3,0,0,'Données projet'!$E$15+1,1))-AVERAGE(OFFSET($H$3,0,0,'Données projet'!$E$15+1,1))</f>
        <v>459.64120566196812</v>
      </c>
      <c r="EP110" s="62">
        <f t="shared" si="100"/>
        <v>290.39826583283588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2.5008557929912745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2.5008557929912745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5</v>
      </c>
      <c r="FE110" s="13">
        <f>IF('Données projet'!$A$218&gt;35,FE109+FD110-FM109,IF(A110&lt;'Données projet'!$A$218,$FB$205^A110,IF(A110='Données projet'!$A$218,'Données projet'!$B$218,FE109+FD110-FM109)))</f>
        <v>316.99999999999989</v>
      </c>
      <c r="FF110" s="18">
        <f>FE110*VLOOKUP('Données projet'!$B$16,Paramètres!$A$1:$I$89,3,0)*VLOOKUP('Données projet'!$B$16,Paramètres!$A$1:$I$89,5,0)</f>
        <v>212.64359999999994</v>
      </c>
      <c r="FG110" s="14">
        <f t="shared" si="101"/>
        <v>52.512857530306484</v>
      </c>
      <c r="FH110" s="22">
        <f t="shared" si="76"/>
        <v>461.81416353195027</v>
      </c>
      <c r="FI110" s="62">
        <f t="shared" si="77"/>
        <v>755.14749686528353</v>
      </c>
      <c r="FJ110" s="62">
        <f ca="1">AVERAGE(OFFSET($FI$3,0,0,'Données projet'!$E$16+1,1))-AVERAGE(OFFSET($H$3,0,0,'Données projet'!$E$16+1,1))</f>
        <v>335.83558218229564</v>
      </c>
      <c r="FK110" s="62">
        <f t="shared" si="102"/>
        <v>217.08423061559648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0</v>
      </c>
      <c r="FR110" s="23">
        <f>EXP(-LN(2)/25)*FR109+(1-EXP(-LN(2)/25))/(LN(2)/25)*Calculateur!FM110*Calculateur!FO110*VLOOKUP('Données projet'!$B$16,Paramètres!$A$1:$I$89,3,0)*0.475*44/12</f>
        <v>0.9866593304169442</v>
      </c>
      <c r="FS110" s="23">
        <f>EXP(-LN(2)/2)*FS109+(1-EXP(-LN(2)/2))/(LN(2)/2)*FM110*FP110*VLOOKUP('Données projet'!$B$16,Paramètres!$A$1:$I$89,3,0)*0.475*44/12</f>
        <v>2.8435227567324894E-11</v>
      </c>
      <c r="FT110" s="24">
        <f t="shared" si="78"/>
        <v>0.98665933044537946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1.9895196601282805E-13</v>
      </c>
      <c r="O111" s="14">
        <f>N111*VLOOKUP('Données projet'!$B$9,Paramètres!$A$1:$I$89,3,0)*VLOOKUP('Données projet'!$B$9,Paramètres!$A$1:$I$89,5,0)</f>
        <v>1.738044375088066E-13</v>
      </c>
      <c r="P111" s="14">
        <f t="shared" si="87"/>
        <v>2.4483293633950478E-12</v>
      </c>
      <c r="Q111" s="22">
        <f t="shared" si="107"/>
        <v>4.566883036574213E-12</v>
      </c>
      <c r="R111" s="62">
        <f t="shared" si="55"/>
        <v>293.33333333333786</v>
      </c>
      <c r="S111" s="62">
        <f ca="1">AVERAGE(OFFSET($R$3,0,0,'Données projet'!$E$9+1,1))-AVERAGE(OFFSET($H$3,0,0,'Données projet'!$E$9+1,1))</f>
        <v>321.23599968992932</v>
      </c>
      <c r="T111" s="62">
        <f t="shared" si="88"/>
        <v>388.05195847800502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2.9424786653969401</v>
      </c>
      <c r="AB111" s="23">
        <f>EXP(-LN(2)/2)*AB110+(1-EXP(-LN(2)/2))/(LN(2)/2)*V111*Y111*VLOOKUP('Données projet'!$B$9,Paramètres!$A$1:$I$89,3,0)*0.475*44/12</f>
        <v>3.3226584642132623E-11</v>
      </c>
      <c r="AC111" s="24">
        <f t="shared" si="57"/>
        <v>2.9424786654301669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5</v>
      </c>
      <c r="AI111" s="14">
        <f>IF('Données projet'!$A$62&gt;35,AI110+AH111-AQ110,IF(A111&lt;'Données projet'!$A$62,$AF$205^A111,IF(A111='Données projet'!$A$62,'Données projet'!$B$62,AI110+AH111-AQ110)))</f>
        <v>321.99999999999989</v>
      </c>
      <c r="AJ111" s="14">
        <f>AI111*VLOOKUP('Données projet'!$B$10,Paramètres!$A$1:$I$89,3,0)*VLOOKUP('Données projet'!$B$10,Paramètres!$A$1:$I$89,5,0)</f>
        <v>291.34559999999993</v>
      </c>
      <c r="AK111" s="14">
        <f t="shared" si="89"/>
        <v>69.359089490698707</v>
      </c>
      <c r="AL111" s="22">
        <f t="shared" si="58"/>
        <v>628.22733419630015</v>
      </c>
      <c r="AM111" s="62">
        <f t="shared" si="59"/>
        <v>921.56066752963352</v>
      </c>
      <c r="AN111" s="62">
        <f ca="1">AVERAGE(OFFSET($AM$3,0,0,'Données projet'!$E$10+1,1))-AVERAGE(OFFSET($H$3,0,0,'Données projet'!$E$10+1,1))</f>
        <v>439.19854273764042</v>
      </c>
      <c r="AO111" s="62">
        <f t="shared" si="90"/>
        <v>278.21741231699929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1.0502148413236025</v>
      </c>
      <c r="AW111" s="23">
        <f>EXP(-LN(2)/2)*AW110+(1-EXP(-LN(2)/2))/(LN(2)/2)*AQ111*AT111*VLOOKUP('Données projet'!$B$10,Paramètres!$A$1:$I$89,3,0)*0.475*44/12</f>
        <v>2.7120722087707068E-11</v>
      </c>
      <c r="AX111" s="23">
        <f t="shared" si="60"/>
        <v>1.0502148413507233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-2.8421709430404007E-13</v>
      </c>
      <c r="BE111" s="14">
        <f>BD111*VLOOKUP('Données projet'!$B$11,Paramètres!$A$1:$I$89,3,0)*VLOOKUP('Données projet'!$B$11,Paramètres!$A$1:$I$89,5,0)</f>
        <v>-2.2612312022829427E-13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352.88510024787888</v>
      </c>
      <c r="BJ111" s="62">
        <f t="shared" si="92"/>
        <v>343.77208530767069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1.4137173536173644</v>
      </c>
      <c r="BR111" s="23">
        <f>EXP(-LN(2)/2)*BR110+(1-EXP(-LN(2)/2))/(LN(2)/2)*BL111*BO111*VLOOKUP('Données projet'!$B$11,Paramètres!$A$1:$I$89,3,0)*0.475*44/12</f>
        <v>7.1807992372208478E-13</v>
      </c>
      <c r="BS111" s="24">
        <f t="shared" si="63"/>
        <v>1.4137173536180825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-2.8421709430404007E-13</v>
      </c>
      <c r="BZ111" s="14">
        <f>BY111*VLOOKUP('Données projet'!$B$12,Paramètres!$A$1:$I$89,3,0)*VLOOKUP('Données projet'!$B$12,Paramètres!$A$1:$I$89,5,0)</f>
        <v>-2.0838797354372215E-13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328.10411227536315</v>
      </c>
      <c r="CE111" s="62">
        <f t="shared" si="94"/>
        <v>320.24200483294322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1.9371232710618584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1.9371232710618584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5.6843418860808015E-14</v>
      </c>
      <c r="CU111" s="18">
        <f>CT111*VLOOKUP('Données projet'!$B$13,Paramètres!$A$1:$I$89,3,0)*VLOOKUP('Données projet'!$B$13,Paramètres!$A$1:$I$89,5,0)</f>
        <v>4.4337866711430253E-14</v>
      </c>
      <c r="CV111" s="14">
        <f t="shared" si="95"/>
        <v>7.3222115536967035E-13</v>
      </c>
      <c r="CW111" s="22">
        <f t="shared" si="67"/>
        <v>1.3525069634579169E-12</v>
      </c>
      <c r="CX111" s="62">
        <f t="shared" si="68"/>
        <v>293.33333333333468</v>
      </c>
      <c r="CY111" s="62">
        <f ca="1">AVERAGE(OFFSET($CX$3,0,0,'Données projet'!$E$13+1,1))-AVERAGE(OFFSET($H$3,0,0,'Données projet'!$E$13+1,1))</f>
        <v>288.82868507674738</v>
      </c>
      <c r="CZ111" s="62">
        <f t="shared" si="96"/>
        <v>283.48738729114024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2.1781475194910866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2.1781475194910866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5</v>
      </c>
      <c r="DO111" s="13">
        <f>IF('Données projet'!$A$166&gt;35,DO110+DN111-DW110,IF(A111&lt;'Données projet'!$A$166,$DL$205^A111,IF(A111='Données projet'!$A$166,'Données projet'!$B$166,DO110+DN111-DW110)))</f>
        <v>321.99999999999989</v>
      </c>
      <c r="DP111" s="18">
        <f>DO111*VLOOKUP('Données projet'!$B$14,Paramètres!$A$1:$I$89,3,0)*VLOOKUP('Données projet'!$B$14,Paramètres!$A$1:$I$89,5,0)</f>
        <v>326.50799999999987</v>
      </c>
      <c r="DQ111" s="14">
        <f t="shared" si="97"/>
        <v>76.705878841344258</v>
      </c>
      <c r="DR111" s="22">
        <f t="shared" si="70"/>
        <v>702.26417231534106</v>
      </c>
      <c r="DS111" s="62">
        <f t="shared" si="71"/>
        <v>995.59750564867431</v>
      </c>
      <c r="DT111" s="62">
        <f ca="1">AVERAGE(OFFSET($DS$3,0,0,'Données projet'!$E$14+1,1))-AVERAGE(OFFSET($H$3,0,0,'Données projet'!$E$14+1,1))</f>
        <v>487.04124684635974</v>
      </c>
      <c r="DU111" s="62">
        <f t="shared" si="98"/>
        <v>306.61893266146666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2.6125903255252223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2.6125903255252223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5</v>
      </c>
      <c r="EJ111" s="13">
        <f>IF('Données projet'!$A$192&gt;35,EJ110+EI111-ER110,IF(A111&lt;'Données projet'!$A$192,$EG$205^A111,IF(A111='Données projet'!$A$192,'Données projet'!$B$192,EJ110+EI111-ER110)))</f>
        <v>321.99999999999989</v>
      </c>
      <c r="EK111" s="18">
        <f>EJ111*VLOOKUP('Données projet'!$B$15,Paramètres!$A$1:$I$89,3,0)*VLOOKUP('Données projet'!$B$15,Paramètres!$A$1:$I$89,5,0)</f>
        <v>306.41519999999991</v>
      </c>
      <c r="EL111" s="14">
        <f t="shared" si="99"/>
        <v>72.519675217547672</v>
      </c>
      <c r="EM111" s="22">
        <f t="shared" si="73"/>
        <v>659.97824100389539</v>
      </c>
      <c r="EN111" s="62">
        <f t="shared" si="74"/>
        <v>953.31157433722865</v>
      </c>
      <c r="EO111" s="62">
        <f ca="1">AVERAGE(OFFSET($EN$3,0,0,'Données projet'!$E$15+1,1))-AVERAGE(OFFSET($H$3,0,0,'Données projet'!$E$15+1,1))</f>
        <v>459.64120566196812</v>
      </c>
      <c r="EP111" s="62">
        <f t="shared" si="100"/>
        <v>290.39826583283588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2.4518155362621314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2.4518155362621314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5</v>
      </c>
      <c r="FE111" s="13">
        <f>IF('Données projet'!$A$218&gt;35,FE110+FD111-FM110,IF(A111&lt;'Données projet'!$A$218,$FB$205^A111,IF(A111='Données projet'!$A$218,'Données projet'!$B$218,FE110+FD111-FM110)))</f>
        <v>321.99999999999989</v>
      </c>
      <c r="FF111" s="18">
        <f>FE111*VLOOKUP('Données projet'!$B$16,Paramètres!$A$1:$I$89,3,0)*VLOOKUP('Données projet'!$B$16,Paramètres!$A$1:$I$89,5,0)</f>
        <v>215.99759999999992</v>
      </c>
      <c r="FG111" s="14">
        <f t="shared" si="101"/>
        <v>53.244056492586679</v>
      </c>
      <c r="FH111" s="22">
        <f t="shared" si="76"/>
        <v>468.92921839125489</v>
      </c>
      <c r="FI111" s="62">
        <f t="shared" si="77"/>
        <v>762.26255172458821</v>
      </c>
      <c r="FJ111" s="62">
        <f ca="1">AVERAGE(OFFSET($FI$3,0,0,'Données projet'!$E$16+1,1))-AVERAGE(OFFSET($H$3,0,0,'Données projet'!$E$16+1,1))</f>
        <v>335.83558218229564</v>
      </c>
      <c r="FK111" s="62">
        <f t="shared" si="102"/>
        <v>217.08423061559648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0</v>
      </c>
      <c r="FR111" s="23">
        <f>EXP(-LN(2)/25)*FR110+(1-EXP(-LN(2)/25))/(LN(2)/25)*Calculateur!FM111*Calculateur!FO111*VLOOKUP('Données projet'!$B$16,Paramètres!$A$1:$I$89,3,0)*0.475*44/12</f>
        <v>0.95967907914053374</v>
      </c>
      <c r="FS111" s="23">
        <f>EXP(-LN(2)/2)*FS110+(1-EXP(-LN(2)/2))/(LN(2)/2)*FM111*FP111*VLOOKUP('Données projet'!$B$16,Paramètres!$A$1:$I$89,3,0)*0.475*44/12</f>
        <v>2.010674223743809E-11</v>
      </c>
      <c r="FT111" s="24">
        <f t="shared" si="78"/>
        <v>0.95967907916064044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1.9895196601282805E-13</v>
      </c>
      <c r="O112" s="14">
        <f>N112*VLOOKUP('Données projet'!$B$9,Paramètres!$A$1:$I$89,3,0)*VLOOKUP('Données projet'!$B$9,Paramètres!$A$1:$I$89,5,0)</f>
        <v>1.738044375088066E-13</v>
      </c>
      <c r="P112" s="14">
        <f t="shared" si="87"/>
        <v>2.4483293633950478E-12</v>
      </c>
      <c r="Q112" s="22">
        <f t="shared" si="107"/>
        <v>4.566883036574213E-12</v>
      </c>
      <c r="R112" s="62">
        <f t="shared" si="55"/>
        <v>293.33333333333786</v>
      </c>
      <c r="S112" s="62">
        <f ca="1">AVERAGE(OFFSET($R$3,0,0,'Données projet'!$E$9+1,1))-AVERAGE(OFFSET($H$3,0,0,'Données projet'!$E$9+1,1))</f>
        <v>321.23599968992932</v>
      </c>
      <c r="T112" s="62">
        <f t="shared" si="88"/>
        <v>388.05195847800502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2.8620164315534331</v>
      </c>
      <c r="AB112" s="23">
        <f>EXP(-LN(2)/2)*AB111+(1-EXP(-LN(2)/2))/(LN(2)/2)*V112*Y112*VLOOKUP('Données projet'!$B$9,Paramètres!$A$1:$I$89,3,0)*0.475*44/12</f>
        <v>2.3494743316120774E-11</v>
      </c>
      <c r="AC112" s="24">
        <f t="shared" si="57"/>
        <v>2.8620164315769276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5</v>
      </c>
      <c r="AI112" s="14">
        <f>IF('Données projet'!$A$62&gt;35,AI111+AH112-AQ111,IF(A112&lt;'Données projet'!$A$62,$AF$205^A112,IF(A112='Données projet'!$A$62,'Données projet'!$B$62,AI111+AH112-AQ111)))</f>
        <v>326.99999999999989</v>
      </c>
      <c r="AJ112" s="14">
        <f>AI112*VLOOKUP('Données projet'!$B$10,Paramètres!$A$1:$I$89,3,0)*VLOOKUP('Données projet'!$B$10,Paramètres!$A$1:$I$89,5,0)</f>
        <v>295.86959999999988</v>
      </c>
      <c r="AK112" s="14">
        <f t="shared" si="89"/>
        <v>70.309875568291218</v>
      </c>
      <c r="AL112" s="22">
        <f t="shared" si="58"/>
        <v>637.76258661477357</v>
      </c>
      <c r="AM112" s="62">
        <f t="shared" si="59"/>
        <v>931.09591994810694</v>
      </c>
      <c r="AN112" s="62">
        <f ca="1">AVERAGE(OFFSET($AM$3,0,0,'Données projet'!$E$10+1,1))-AVERAGE(OFFSET($H$3,0,0,'Données projet'!$E$10+1,1))</f>
        <v>439.19854273764042</v>
      </c>
      <c r="AO112" s="62">
        <f t="shared" si="90"/>
        <v>278.21741231699929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1.0214966612592105</v>
      </c>
      <c r="AW112" s="23">
        <f>EXP(-LN(2)/2)*AW111+(1-EXP(-LN(2)/2))/(LN(2)/2)*AQ112*AT112*VLOOKUP('Données projet'!$B$10,Paramètres!$A$1:$I$89,3,0)*0.475*44/12</f>
        <v>1.9177246498893448E-11</v>
      </c>
      <c r="AX112" s="23">
        <f t="shared" si="60"/>
        <v>1.0214966612783878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-2.8421709430404007E-13</v>
      </c>
      <c r="BE112" s="14">
        <f>BD112*VLOOKUP('Données projet'!$B$11,Paramètres!$A$1:$I$89,3,0)*VLOOKUP('Données projet'!$B$11,Paramètres!$A$1:$I$89,5,0)</f>
        <v>-2.2612312022829427E-13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352.88510024787888</v>
      </c>
      <c r="BJ112" s="62">
        <f t="shared" si="92"/>
        <v>343.77208530767069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1.3750591782385331</v>
      </c>
      <c r="BR112" s="23">
        <f>EXP(-LN(2)/2)*BR111+(1-EXP(-LN(2)/2))/(LN(2)/2)*BL112*BO112*VLOOKUP('Données projet'!$B$11,Paramètres!$A$1:$I$89,3,0)*0.475*44/12</f>
        <v>5.0775918349780493E-13</v>
      </c>
      <c r="BS112" s="24">
        <f t="shared" si="63"/>
        <v>1.3750591782390409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-2.8421709430404007E-13</v>
      </c>
      <c r="BZ112" s="14">
        <f>BY112*VLOOKUP('Données projet'!$B$12,Paramètres!$A$1:$I$89,3,0)*VLOOKUP('Données projet'!$B$12,Paramètres!$A$1:$I$89,5,0)</f>
        <v>-2.0838797354372215E-13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328.10411227536315</v>
      </c>
      <c r="CE112" s="62">
        <f t="shared" si="94"/>
        <v>320.24200483294322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1.8991374652448645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1.8991374652448645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5.6843418860808015E-14</v>
      </c>
      <c r="CU112" s="18">
        <f>CT112*VLOOKUP('Données projet'!$B$13,Paramètres!$A$1:$I$89,3,0)*VLOOKUP('Données projet'!$B$13,Paramètres!$A$1:$I$89,5,0)</f>
        <v>4.4337866711430253E-14</v>
      </c>
      <c r="CV112" s="14">
        <f t="shared" si="95"/>
        <v>7.3222115536967035E-13</v>
      </c>
      <c r="CW112" s="22">
        <f t="shared" si="67"/>
        <v>1.3525069634579169E-12</v>
      </c>
      <c r="CX112" s="62">
        <f t="shared" si="68"/>
        <v>293.33333333333468</v>
      </c>
      <c r="CY112" s="62">
        <f ca="1">AVERAGE(OFFSET($CX$3,0,0,'Données projet'!$E$13+1,1))-AVERAGE(OFFSET($H$3,0,0,'Données projet'!$E$13+1,1))</f>
        <v>288.82868507674738</v>
      </c>
      <c r="CZ112" s="62">
        <f t="shared" si="96"/>
        <v>283.48738729114024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2.1354353751726709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2.1354353751726709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5</v>
      </c>
      <c r="DO112" s="13">
        <f>IF('Données projet'!$A$166&gt;35,DO111+DN112-DW111,IF(A112&lt;'Données projet'!$A$166,$DL$205^A112,IF(A112='Données projet'!$A$166,'Données projet'!$B$166,DO111+DN112-DW111)))</f>
        <v>326.99999999999989</v>
      </c>
      <c r="DP112" s="18">
        <f>DO112*VLOOKUP('Données projet'!$B$14,Paramètres!$A$1:$I$89,3,0)*VLOOKUP('Données projet'!$B$14,Paramètres!$A$1:$I$89,5,0)</f>
        <v>331.57799999999992</v>
      </c>
      <c r="DQ112" s="14">
        <f t="shared" si="97"/>
        <v>77.75737594442586</v>
      </c>
      <c r="DR112" s="22">
        <f t="shared" si="70"/>
        <v>712.92577976987479</v>
      </c>
      <c r="DS112" s="62">
        <f t="shared" si="71"/>
        <v>1006.2591131032082</v>
      </c>
      <c r="DT112" s="62">
        <f ca="1">AVERAGE(OFFSET($DS$3,0,0,'Données projet'!$E$14+1,1))-AVERAGE(OFFSET($H$3,0,0,'Données projet'!$E$14+1,1))</f>
        <v>487.04124684635974</v>
      </c>
      <c r="DU112" s="62">
        <f t="shared" si="98"/>
        <v>306.61893266146666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2.5613590227644241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2.5613590227644241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5</v>
      </c>
      <c r="EJ112" s="13">
        <f>IF('Données projet'!$A$192&gt;35,EJ111+EI112-ER111,IF(A112&lt;'Données projet'!$A$192,$EG$205^A112,IF(A112='Données projet'!$A$192,'Données projet'!$B$192,EJ111+EI112-ER111)))</f>
        <v>326.99999999999989</v>
      </c>
      <c r="EK112" s="18">
        <f>EJ112*VLOOKUP('Données projet'!$B$15,Paramètres!$A$1:$I$89,3,0)*VLOOKUP('Données projet'!$B$15,Paramètres!$A$1:$I$89,5,0)</f>
        <v>311.17319999999989</v>
      </c>
      <c r="EL112" s="14">
        <f t="shared" si="99"/>
        <v>73.513787136470953</v>
      </c>
      <c r="EM112" s="22">
        <f t="shared" si="73"/>
        <v>669.99650259602015</v>
      </c>
      <c r="EN112" s="62">
        <f t="shared" si="74"/>
        <v>963.32983592935352</v>
      </c>
      <c r="EO112" s="62">
        <f ca="1">AVERAGE(OFFSET($EN$3,0,0,'Données projet'!$E$15+1,1))-AVERAGE(OFFSET($H$3,0,0,'Données projet'!$E$15+1,1))</f>
        <v>459.64120566196812</v>
      </c>
      <c r="EP112" s="62">
        <f t="shared" si="100"/>
        <v>290.39826583283588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2.4037369290558437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2.4037369290558437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5</v>
      </c>
      <c r="FE112" s="13">
        <f>IF('Données projet'!$A$218&gt;35,FE111+FD112-FM111,IF(A112&lt;'Données projet'!$A$218,$FB$205^A112,IF(A112='Données projet'!$A$218,'Données projet'!$B$218,FE111+FD112-FM111)))</f>
        <v>326.99999999999989</v>
      </c>
      <c r="FF112" s="18">
        <f>FE112*VLOOKUP('Données projet'!$B$16,Paramètres!$A$1:$I$89,3,0)*VLOOKUP('Données projet'!$B$16,Paramètres!$A$1:$I$89,5,0)</f>
        <v>219.35159999999993</v>
      </c>
      <c r="FG112" s="14">
        <f t="shared" si="101"/>
        <v>53.973934984352134</v>
      </c>
      <c r="FH112" s="22">
        <f t="shared" si="76"/>
        <v>476.0419734310799</v>
      </c>
      <c r="FI112" s="62">
        <f t="shared" si="77"/>
        <v>769.37530676441315</v>
      </c>
      <c r="FJ112" s="62">
        <f ca="1">AVERAGE(OFFSET($FI$3,0,0,'Données projet'!$E$16+1,1))-AVERAGE(OFFSET($H$3,0,0,'Données projet'!$E$16+1,1))</f>
        <v>335.83558218229564</v>
      </c>
      <c r="FK112" s="62">
        <f t="shared" si="102"/>
        <v>217.08423061559648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0</v>
      </c>
      <c r="FR112" s="23">
        <f>EXP(-LN(2)/25)*FR111+(1-EXP(-LN(2)/25))/(LN(2)/25)*Calculateur!FM112*Calculateur!FO112*VLOOKUP('Données projet'!$B$16,Paramètres!$A$1:$I$89,3,0)*0.475*44/12</f>
        <v>0.93343660425410646</v>
      </c>
      <c r="FS112" s="23">
        <f>EXP(-LN(2)/2)*FS111+(1-EXP(-LN(2)/2))/(LN(2)/2)*FM112*FP112*VLOOKUP('Données projet'!$B$16,Paramètres!$A$1:$I$89,3,0)*0.475*44/12</f>
        <v>1.4217613783662449E-11</v>
      </c>
      <c r="FT112" s="24">
        <f t="shared" si="78"/>
        <v>0.93343660426832409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1.9895196601282805E-13</v>
      </c>
      <c r="O113" s="14">
        <f>N113*VLOOKUP('Données projet'!$B$9,Paramètres!$A$1:$I$89,3,0)*VLOOKUP('Données projet'!$B$9,Paramètres!$A$1:$I$89,5,0)</f>
        <v>1.738044375088066E-13</v>
      </c>
      <c r="P113" s="14">
        <f t="shared" si="87"/>
        <v>2.4483293633950478E-12</v>
      </c>
      <c r="Q113" s="22">
        <f t="shared" si="107"/>
        <v>4.566883036574213E-12</v>
      </c>
      <c r="R113" s="62">
        <f t="shared" si="55"/>
        <v>293.33333333333786</v>
      </c>
      <c r="S113" s="62">
        <f ca="1">AVERAGE(OFFSET($R$3,0,0,'Données projet'!$E$9+1,1))-AVERAGE(OFFSET($H$3,0,0,'Données projet'!$E$9+1,1))</f>
        <v>321.23599968992932</v>
      </c>
      <c r="T113" s="62">
        <f t="shared" si="88"/>
        <v>388.05195847800502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2.7837544417257014</v>
      </c>
      <c r="AB113" s="23">
        <f>EXP(-LN(2)/2)*AB112+(1-EXP(-LN(2)/2))/(LN(2)/2)*V113*Y113*VLOOKUP('Données projet'!$B$9,Paramètres!$A$1:$I$89,3,0)*0.475*44/12</f>
        <v>1.6613292321066311E-11</v>
      </c>
      <c r="AC113" s="24">
        <f t="shared" si="57"/>
        <v>2.7837544417423148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332</v>
      </c>
      <c r="AG113" s="13">
        <f>VLOOKUP(A113,'Données projet'!$A$61:$I$81,9,0)</f>
        <v>5</v>
      </c>
      <c r="AH113" s="13">
        <f t="array" ref="AH113">INDEX(AG:AG,MIN(IF(ISNUMBER(AG113:AG309),ROW(AG113:AG309),"")))</f>
        <v>5</v>
      </c>
      <c r="AI113" s="14">
        <f>IF('Données projet'!$A$62&gt;35,AI112+AH113-AQ112,IF(A113&lt;'Données projet'!$A$62,$AF$205^A113,IF(A113='Données projet'!$A$62,'Données projet'!$B$62,AI112+AH113-AQ112)))</f>
        <v>331.99999999999989</v>
      </c>
      <c r="AJ113" s="14">
        <f>AI113*VLOOKUP('Données projet'!$B$10,Paramètres!$A$1:$I$89,3,0)*VLOOKUP('Données projet'!$B$10,Paramètres!$A$1:$I$89,5,0)</f>
        <v>300.39359999999988</v>
      </c>
      <c r="AK113" s="14">
        <f t="shared" si="89"/>
        <v>71.258970856492667</v>
      </c>
      <c r="AL113" s="22">
        <f t="shared" si="58"/>
        <v>647.29489424172459</v>
      </c>
      <c r="AM113" s="62">
        <f t="shared" si="59"/>
        <v>940.62822757505796</v>
      </c>
      <c r="AN113" s="62">
        <f ca="1">AVERAGE(OFFSET($AM$3,0,0,'Données projet'!$E$10+1,1))-AVERAGE(OFFSET($H$3,0,0,'Données projet'!$E$10+1,1))</f>
        <v>439.19854273764042</v>
      </c>
      <c r="AO113" s="62">
        <f t="shared" si="90"/>
        <v>278.21741231699929</v>
      </c>
      <c r="AP113" s="16">
        <f>IF(ISNA(VLOOKUP(A113,'Données projet'!$A$61:$I$81,3,0)),0,VLOOKUP(A113,'Données projet'!$A$61:$I$81,3,0))</f>
        <v>19</v>
      </c>
      <c r="AQ113" s="16">
        <f>IF(ISNA(VLOOKUP(A113,'Données projet'!$A$61:$I$81,4,0)),0,VLOOKUP(A113,'Données projet'!$A$61:$I$81,4,0))</f>
        <v>25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0.99356378133890255</v>
      </c>
      <c r="AW113" s="23">
        <f>EXP(-LN(2)/2)*AW112+(1-EXP(-LN(2)/2))/(LN(2)/2)*AQ113*AT113*VLOOKUP('Données projet'!$B$10,Paramètres!$A$1:$I$89,3,0)*0.475*44/12</f>
        <v>1.3560361043853534E-11</v>
      </c>
      <c r="AX113" s="23">
        <f t="shared" si="60"/>
        <v>0.99356378135246293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-2.8421709430404007E-13</v>
      </c>
      <c r="BE113" s="14">
        <f>BD113*VLOOKUP('Données projet'!$B$11,Paramètres!$A$1:$I$89,3,0)*VLOOKUP('Données projet'!$B$11,Paramètres!$A$1:$I$89,5,0)</f>
        <v>-2.2612312022829427E-13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352.88510024787888</v>
      </c>
      <c r="BJ113" s="62">
        <f t="shared" si="92"/>
        <v>343.77208530767069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1.3374581126983809</v>
      </c>
      <c r="BR113" s="23">
        <f>EXP(-LN(2)/2)*BR112+(1-EXP(-LN(2)/2))/(LN(2)/2)*BL113*BO113*VLOOKUP('Données projet'!$B$11,Paramètres!$A$1:$I$89,3,0)*0.475*44/12</f>
        <v>3.5903996186104239E-13</v>
      </c>
      <c r="BS113" s="24">
        <f t="shared" si="63"/>
        <v>1.3374581126987399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-2.8421709430404007E-13</v>
      </c>
      <c r="BZ113" s="14">
        <f>BY113*VLOOKUP('Données projet'!$B$12,Paramètres!$A$1:$I$89,3,0)*VLOOKUP('Données projet'!$B$12,Paramètres!$A$1:$I$89,5,0)</f>
        <v>-2.0838797354372215E-13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328.10411227536315</v>
      </c>
      <c r="CE113" s="62">
        <f t="shared" si="94"/>
        <v>320.24200483294322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1.861896537910888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1.861896537910888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5.6843418860808015E-14</v>
      </c>
      <c r="CU113" s="18">
        <f>CT113*VLOOKUP('Données projet'!$B$13,Paramètres!$A$1:$I$89,3,0)*VLOOKUP('Données projet'!$B$13,Paramètres!$A$1:$I$89,5,0)</f>
        <v>4.4337866711430253E-14</v>
      </c>
      <c r="CV113" s="14">
        <f t="shared" si="95"/>
        <v>7.3222115536967035E-13</v>
      </c>
      <c r="CW113" s="22">
        <f t="shared" si="67"/>
        <v>1.3525069634579169E-12</v>
      </c>
      <c r="CX113" s="62">
        <f t="shared" si="68"/>
        <v>293.33333333333468</v>
      </c>
      <c r="CY113" s="62">
        <f ca="1">AVERAGE(OFFSET($CX$3,0,0,'Données projet'!$E$13+1,1))-AVERAGE(OFFSET($H$3,0,0,'Données projet'!$E$13+1,1))</f>
        <v>288.82868507674738</v>
      </c>
      <c r="CZ113" s="62">
        <f t="shared" si="96"/>
        <v>283.48738729114024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2.0935607899525039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2.0935607899525039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>
        <f>VLOOKUP(A113,'Données projet'!$A$165:$I$185,2,0)</f>
        <v>332</v>
      </c>
      <c r="DM113" s="13">
        <f>VLOOKUP(A113,'Données projet'!$A$165:$I$185,9,0)</f>
        <v>5</v>
      </c>
      <c r="DN113" s="13">
        <f t="array" ref="DN113">INDEX(DM:DM,MIN(IF(ISNUMBER(DM113:DM309),ROW(DM113:DM309),"")))</f>
        <v>5</v>
      </c>
      <c r="DO113" s="13">
        <f>IF('Données projet'!$A$166&gt;35,DO112+DN113-DW112,IF(A113&lt;'Données projet'!$A$166,$DL$205^A113,IF(A113='Données projet'!$A$166,'Données projet'!$B$166,DO112+DN113-DW112)))</f>
        <v>331.99999999999989</v>
      </c>
      <c r="DP113" s="18">
        <f>DO113*VLOOKUP('Données projet'!$B$14,Paramètres!$A$1:$I$89,3,0)*VLOOKUP('Données projet'!$B$14,Paramètres!$A$1:$I$89,5,0)</f>
        <v>336.64799999999991</v>
      </c>
      <c r="DQ113" s="14">
        <f t="shared" si="97"/>
        <v>78.807003163010307</v>
      </c>
      <c r="DR113" s="22">
        <f t="shared" si="70"/>
        <v>723.58413050890942</v>
      </c>
      <c r="DS113" s="62">
        <f t="shared" si="71"/>
        <v>1016.9174638422428</v>
      </c>
      <c r="DT113" s="62">
        <f ca="1">AVERAGE(OFFSET($DS$3,0,0,'Données projet'!$E$14+1,1))-AVERAGE(OFFSET($H$3,0,0,'Données projet'!$E$14+1,1))</f>
        <v>487.04124684635974</v>
      </c>
      <c r="DU113" s="62">
        <f t="shared" si="98"/>
        <v>306.61893266146666</v>
      </c>
      <c r="DV113" s="16">
        <f>IF(ISNA(VLOOKUP(A113,'Données projet'!$A$165:$I$185,3,0)),0,VLOOKUP(A113,'Données projet'!$A$165:$I$185,3,0))</f>
        <v>19</v>
      </c>
      <c r="DW113" s="16">
        <f>IF(ISNA(VLOOKUP(A113,'Données projet'!$A$165:$I$185,4,0)),0,VLOOKUP(A113,'Données projet'!$A$165:$I$185,4,0))</f>
        <v>25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2.5111323346027556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2.5111323346027556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>
        <f>VLOOKUP(A113,'Données projet'!$A$191:$I$211,2,0)</f>
        <v>332</v>
      </c>
      <c r="EH113" s="13">
        <f>VLOOKUP(A113,'Données projet'!$A$191:$I$211,9,0)</f>
        <v>5</v>
      </c>
      <c r="EI113" s="13">
        <f t="array" ref="EI113">INDEX(EH:EH,MIN(IF(ISNUMBER(EH113:EH309),ROW(EH113:EH309),"")))</f>
        <v>5</v>
      </c>
      <c r="EJ113" s="13">
        <f>IF('Données projet'!$A$192&gt;35,EJ112+EI113-ER112,IF(A113&lt;'Données projet'!$A$192,$EG$205^A113,IF(A113='Données projet'!$A$192,'Données projet'!$B$192,EJ112+EI113-ER112)))</f>
        <v>331.99999999999989</v>
      </c>
      <c r="EK113" s="18">
        <f>EJ113*VLOOKUP('Données projet'!$B$15,Paramètres!$A$1:$I$89,3,0)*VLOOKUP('Données projet'!$B$15,Paramètres!$A$1:$I$89,5,0)</f>
        <v>315.93119999999988</v>
      </c>
      <c r="EL113" s="14">
        <f t="shared" si="99"/>
        <v>74.506131219363056</v>
      </c>
      <c r="EM113" s="22">
        <f t="shared" si="73"/>
        <v>680.01168520705698</v>
      </c>
      <c r="EN113" s="62">
        <f t="shared" si="74"/>
        <v>973.34501854039036</v>
      </c>
      <c r="EO113" s="62">
        <f ca="1">AVERAGE(OFFSET($EN$3,0,0,'Données projet'!$E$15+1,1))-AVERAGE(OFFSET($H$3,0,0,'Données projet'!$E$15+1,1))</f>
        <v>459.64120566196812</v>
      </c>
      <c r="EP113" s="62">
        <f t="shared" si="100"/>
        <v>290.39826583283588</v>
      </c>
      <c r="EQ113" s="16">
        <f>IF(ISNA(VLOOKUP(A113,'Données projet'!$A$191:$I$211,3,0)),0,VLOOKUP(A113,'Données projet'!$A$191:$I$211,3,0))</f>
        <v>19</v>
      </c>
      <c r="ER113" s="16">
        <f>IF(ISNA(VLOOKUP(A113,'Données projet'!$A$191:$I$211,4,0)),0,VLOOKUP(A113,'Données projet'!$A$191:$I$211,4,0))</f>
        <v>25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2.3566011140118164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2.3566011140118164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>
        <f>VLOOKUP(A113,'Données projet'!$A$217:$I$237,2,0)</f>
        <v>332</v>
      </c>
      <c r="FC113" s="13">
        <f>VLOOKUP(A113,'Données projet'!$A$217:$I$237,9,0)</f>
        <v>5</v>
      </c>
      <c r="FD113" s="13">
        <f t="array" ref="FD113">INDEX(FC:FC,MIN(IF(ISNUMBER(FC113:FC309),ROW(FC113:FC309),"")))</f>
        <v>5</v>
      </c>
      <c r="FE113" s="13">
        <f>IF('Données projet'!$A$218&gt;35,FE112+FD113-FM112,IF(A113&lt;'Données projet'!$A$218,$FB$205^A113,IF(A113='Données projet'!$A$218,'Données projet'!$B$218,FE112+FD113-FM112)))</f>
        <v>331.99999999999989</v>
      </c>
      <c r="FF113" s="18">
        <f>FE113*VLOOKUP('Données projet'!$B$16,Paramètres!$A$1:$I$89,3,0)*VLOOKUP('Données projet'!$B$16,Paramètres!$A$1:$I$89,5,0)</f>
        <v>222.70559999999995</v>
      </c>
      <c r="FG113" s="14">
        <f t="shared" si="101"/>
        <v>54.702515528198902</v>
      </c>
      <c r="FH113" s="22">
        <f t="shared" si="76"/>
        <v>483.15246787827965</v>
      </c>
      <c r="FI113" s="62">
        <f t="shared" si="77"/>
        <v>776.48580121161297</v>
      </c>
      <c r="FJ113" s="62">
        <f ca="1">AVERAGE(OFFSET($FI$3,0,0,'Données projet'!$E$16+1,1))-AVERAGE(OFFSET($H$3,0,0,'Données projet'!$E$16+1,1))</f>
        <v>335.83558218229564</v>
      </c>
      <c r="FK113" s="62">
        <f t="shared" si="102"/>
        <v>217.08423061559648</v>
      </c>
      <c r="FL113" s="16">
        <f>IF(ISNA(VLOOKUP(A113,'Données projet'!$A$217:$I$237,3,0)),0,VLOOKUP(A113,'Données projet'!$A$217:$I$237,3,0))</f>
        <v>19</v>
      </c>
      <c r="FM113" s="16">
        <f>IF(ISNA(VLOOKUP(A113,'Données projet'!$A$217:$I$237,4,0)),0,VLOOKUP(A113,'Données projet'!$A$217:$I$237,4,0))</f>
        <v>25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0</v>
      </c>
      <c r="FR113" s="23">
        <f>EXP(-LN(2)/25)*FR112+(1-EXP(-LN(2)/25))/(LN(2)/25)*Calculateur!FM113*Calculateur!FO113*VLOOKUP('Données projet'!$B$16,Paramètres!$A$1:$I$89,3,0)*0.475*44/12</f>
        <v>0.90791173122348034</v>
      </c>
      <c r="FS113" s="23">
        <f>EXP(-LN(2)/2)*FS112+(1-EXP(-LN(2)/2))/(LN(2)/2)*FM113*FP113*VLOOKUP('Données projet'!$B$16,Paramètres!$A$1:$I$89,3,0)*0.475*44/12</f>
        <v>1.0053371118719047E-11</v>
      </c>
      <c r="FT113" s="24">
        <f t="shared" si="78"/>
        <v>0.90791173123353375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1.9895196601282805E-13</v>
      </c>
      <c r="O114" s="14">
        <f>N114*VLOOKUP('Données projet'!$B$9,Paramètres!$A$1:$I$89,3,0)*VLOOKUP('Données projet'!$B$9,Paramètres!$A$1:$I$89,5,0)</f>
        <v>1.738044375088066E-13</v>
      </c>
      <c r="P114" s="14">
        <f t="shared" si="87"/>
        <v>2.4483293633950478E-12</v>
      </c>
      <c r="Q114" s="22">
        <f t="shared" si="107"/>
        <v>4.566883036574213E-12</v>
      </c>
      <c r="R114" s="62">
        <f t="shared" si="55"/>
        <v>293.33333333333786</v>
      </c>
      <c r="S114" s="62">
        <f ca="1">AVERAGE(OFFSET($R$3,0,0,'Données projet'!$E$9+1,1))-AVERAGE(OFFSET($H$3,0,0,'Données projet'!$E$9+1,1))</f>
        <v>321.23599968992932</v>
      </c>
      <c r="T114" s="62">
        <f t="shared" si="88"/>
        <v>388.05195847800502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2.7076325301254283</v>
      </c>
      <c r="AB114" s="23">
        <f>EXP(-LN(2)/2)*AB113+(1-EXP(-LN(2)/2))/(LN(2)/2)*V114*Y114*VLOOKUP('Données projet'!$B$9,Paramètres!$A$1:$I$89,3,0)*0.475*44/12</f>
        <v>1.1747371658060387E-11</v>
      </c>
      <c r="AC114" s="24">
        <f t="shared" si="57"/>
        <v>2.7076325301371758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4.8</v>
      </c>
      <c r="AI114" s="14">
        <f>IF('Données projet'!$A$62&gt;35,AI113+AH114-AQ113,IF(A114&lt;'Données projet'!$A$62,$AF$205^A114,IF(A114='Données projet'!$A$62,'Données projet'!$B$62,AI113+AH114-AQ113)))</f>
        <v>311.7999999999999</v>
      </c>
      <c r="AJ114" s="14">
        <f>AI114*VLOOKUP('Données projet'!$B$10,Paramètres!$A$1:$I$89,3,0)*VLOOKUP('Données projet'!$B$10,Paramètres!$A$1:$I$89,5,0)</f>
        <v>282.1166399999999</v>
      </c>
      <c r="AK114" s="14">
        <f t="shared" si="89"/>
        <v>67.414119514142243</v>
      </c>
      <c r="AL114" s="22">
        <f t="shared" si="58"/>
        <v>608.76607282046416</v>
      </c>
      <c r="AM114" s="62">
        <f t="shared" si="59"/>
        <v>902.09940615379742</v>
      </c>
      <c r="AN114" s="62">
        <f ca="1">AVERAGE(OFFSET($AM$3,0,0,'Données projet'!$E$10+1,1))-AVERAGE(OFFSET($H$3,0,0,'Données projet'!$E$10+1,1))</f>
        <v>439.19854273764042</v>
      </c>
      <c r="AO114" s="62">
        <f t="shared" si="90"/>
        <v>278.21741231699929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0.96639472748894184</v>
      </c>
      <c r="AW114" s="23">
        <f>EXP(-LN(2)/2)*AW113+(1-EXP(-LN(2)/2))/(LN(2)/2)*AQ114*AT114*VLOOKUP('Données projet'!$B$10,Paramètres!$A$1:$I$89,3,0)*0.475*44/12</f>
        <v>9.5886232494467239E-12</v>
      </c>
      <c r="AX114" s="23">
        <f t="shared" si="60"/>
        <v>0.9663947274985305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-2.8421709430404007E-13</v>
      </c>
      <c r="BE114" s="14">
        <f>BD114*VLOOKUP('Données projet'!$B$11,Paramètres!$A$1:$I$89,3,0)*VLOOKUP('Données projet'!$B$11,Paramètres!$A$1:$I$89,5,0)</f>
        <v>-2.2612312022829427E-13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352.88510024787888</v>
      </c>
      <c r="BJ114" s="62">
        <f t="shared" si="92"/>
        <v>343.77208530767069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1.3008852502727783</v>
      </c>
      <c r="BR114" s="23">
        <f>EXP(-LN(2)/2)*BR113+(1-EXP(-LN(2)/2))/(LN(2)/2)*BL114*BO114*VLOOKUP('Données projet'!$B$11,Paramètres!$A$1:$I$89,3,0)*0.475*44/12</f>
        <v>2.5387959174890247E-13</v>
      </c>
      <c r="BS114" s="24">
        <f t="shared" si="63"/>
        <v>1.3008852502730321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-2.8421709430404007E-13</v>
      </c>
      <c r="BZ114" s="14">
        <f>BY114*VLOOKUP('Données projet'!$B$12,Paramètres!$A$1:$I$89,3,0)*VLOOKUP('Données projet'!$B$12,Paramètres!$A$1:$I$89,5,0)</f>
        <v>-2.0838797354372215E-13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328.10411227536315</v>
      </c>
      <c r="CE114" s="62">
        <f t="shared" si="94"/>
        <v>320.24200483294322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1.825385882447208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1.825385882447208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5.6843418860808015E-14</v>
      </c>
      <c r="CU114" s="18">
        <f>CT114*VLOOKUP('Données projet'!$B$13,Paramètres!$A$1:$I$89,3,0)*VLOOKUP('Données projet'!$B$13,Paramètres!$A$1:$I$89,5,0)</f>
        <v>4.4337866711430253E-14</v>
      </c>
      <c r="CV114" s="14">
        <f t="shared" si="95"/>
        <v>7.3222115536967035E-13</v>
      </c>
      <c r="CW114" s="22">
        <f t="shared" si="67"/>
        <v>1.3525069634579169E-12</v>
      </c>
      <c r="CX114" s="62">
        <f t="shared" si="68"/>
        <v>293.33333333333468</v>
      </c>
      <c r="CY114" s="62">
        <f ca="1">AVERAGE(OFFSET($CX$3,0,0,'Données projet'!$E$13+1,1))-AVERAGE(OFFSET($H$3,0,0,'Données projet'!$E$13+1,1))</f>
        <v>288.82868507674738</v>
      </c>
      <c r="CZ114" s="62">
        <f t="shared" si="96"/>
        <v>283.48738729114024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2.0525073398075291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2.0525073398075291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4.5999999999999996</v>
      </c>
      <c r="DO114" s="13">
        <f>IF('Données projet'!$A$166&gt;35,DO113+DN114-DW113,IF(A114&lt;'Données projet'!$A$166,$DL$205^A114,IF(A114='Données projet'!$A$166,'Données projet'!$B$166,DO113+DN114-DW113)))</f>
        <v>311.59999999999991</v>
      </c>
      <c r="DP114" s="18">
        <f>DO114*VLOOKUP('Données projet'!$B$14,Paramètres!$A$1:$I$89,3,0)*VLOOKUP('Données projet'!$B$14,Paramètres!$A$1:$I$89,5,0)</f>
        <v>315.96239999999989</v>
      </c>
      <c r="DQ114" s="14">
        <f t="shared" si="97"/>
        <v>74.512632625562503</v>
      </c>
      <c r="DR114" s="22">
        <f t="shared" si="70"/>
        <v>680.07734848952111</v>
      </c>
      <c r="DS114" s="62">
        <f t="shared" si="71"/>
        <v>973.41068182285449</v>
      </c>
      <c r="DT114" s="62">
        <f ca="1">AVERAGE(OFFSET($DS$3,0,0,'Données projet'!$E$14+1,1))-AVERAGE(OFFSET($H$3,0,0,'Données projet'!$E$14+1,1))</f>
        <v>487.04124684635974</v>
      </c>
      <c r="DU114" s="62">
        <f t="shared" si="98"/>
        <v>306.61893266146666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2.4618905611606827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2.4618905611606827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4.5999999999999996</v>
      </c>
      <c r="EJ114" s="13">
        <f>IF('Données projet'!$A$192&gt;35,EJ113+EI114-ER113,IF(A114&lt;'Données projet'!$A$192,$EG$205^A114,IF(A114='Données projet'!$A$192,'Données projet'!$B$192,EJ113+EI114-ER113)))</f>
        <v>311.59999999999991</v>
      </c>
      <c r="EK114" s="18">
        <f>EJ114*VLOOKUP('Données projet'!$B$15,Paramètres!$A$1:$I$89,3,0)*VLOOKUP('Données projet'!$B$15,Paramètres!$A$1:$I$89,5,0)</f>
        <v>296.51855999999992</v>
      </c>
      <c r="EL114" s="14">
        <f t="shared" si="99"/>
        <v>70.446124850311946</v>
      </c>
      <c r="EM114" s="22">
        <f t="shared" si="73"/>
        <v>639.1301594476264</v>
      </c>
      <c r="EN114" s="62">
        <f t="shared" si="74"/>
        <v>932.46349278095977</v>
      </c>
      <c r="EO114" s="62">
        <f ca="1">AVERAGE(OFFSET($EN$3,0,0,'Données projet'!$E$15+1,1))-AVERAGE(OFFSET($H$3,0,0,'Données projet'!$E$15+1,1))</f>
        <v>459.64120566196812</v>
      </c>
      <c r="EP114" s="62">
        <f t="shared" si="100"/>
        <v>290.39826583283588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2.310389603550794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2.310389603550794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4.5999999999999996</v>
      </c>
      <c r="FE114" s="13">
        <f>IF('Données projet'!$A$218&gt;35,FE113+FD114-FM113,IF(A114&lt;'Données projet'!$A$218,$FB$205^A114,IF(A114='Données projet'!$A$218,'Données projet'!$B$218,FE113+FD114-FM113)))</f>
        <v>311.59999999999991</v>
      </c>
      <c r="FF114" s="18">
        <f>FE114*VLOOKUP('Données projet'!$B$16,Paramètres!$A$1:$I$89,3,0)*VLOOKUP('Données projet'!$B$16,Paramètres!$A$1:$I$89,5,0)</f>
        <v>209.02127999999996</v>
      </c>
      <c r="FG114" s="14">
        <f t="shared" si="101"/>
        <v>51.72165264063711</v>
      </c>
      <c r="FH114" s="22">
        <f t="shared" si="76"/>
        <v>454.12727434910954</v>
      </c>
      <c r="FI114" s="62">
        <f t="shared" si="77"/>
        <v>747.46060768244286</v>
      </c>
      <c r="FJ114" s="62">
        <f ca="1">AVERAGE(OFFSET($FI$3,0,0,'Données projet'!$E$16+1,1))-AVERAGE(OFFSET($H$3,0,0,'Données projet'!$E$16+1,1))</f>
        <v>335.83558218229564</v>
      </c>
      <c r="FK114" s="62">
        <f t="shared" si="102"/>
        <v>217.08423061559648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0</v>
      </c>
      <c r="FR114" s="23">
        <f>EXP(-LN(2)/25)*FR113+(1-EXP(-LN(2)/25))/(LN(2)/25)*Calculateur!FM114*Calculateur!FO114*VLOOKUP('Données projet'!$B$16,Paramètres!$A$1:$I$89,3,0)*0.475*44/12</f>
        <v>0.88308483718817143</v>
      </c>
      <c r="FS114" s="23">
        <f>EXP(-LN(2)/2)*FS113+(1-EXP(-LN(2)/2))/(LN(2)/2)*FM114*FP114*VLOOKUP('Données projet'!$B$16,Paramètres!$A$1:$I$89,3,0)*0.475*44/12</f>
        <v>7.108806891831226E-12</v>
      </c>
      <c r="FT114" s="24">
        <f t="shared" si="78"/>
        <v>0.88308483719528019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1.9895196601282805E-13</v>
      </c>
      <c r="O115" s="14">
        <f>N115*VLOOKUP('Données projet'!$B$9,Paramètres!$A$1:$I$89,3,0)*VLOOKUP('Données projet'!$B$9,Paramètres!$A$1:$I$89,5,0)</f>
        <v>1.738044375088066E-13</v>
      </c>
      <c r="P115" s="14">
        <f t="shared" si="87"/>
        <v>2.4483293633950478E-12</v>
      </c>
      <c r="Q115" s="22">
        <f t="shared" si="107"/>
        <v>4.566883036574213E-12</v>
      </c>
      <c r="R115" s="62">
        <f t="shared" si="55"/>
        <v>293.33333333333786</v>
      </c>
      <c r="S115" s="62">
        <f ca="1">AVERAGE(OFFSET($R$3,0,0,'Données projet'!$E$9+1,1))-AVERAGE(OFFSET($H$3,0,0,'Données projet'!$E$9+1,1))</f>
        <v>321.23599968992932</v>
      </c>
      <c r="T115" s="62">
        <f t="shared" si="88"/>
        <v>388.05195847800502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2.633592176200942</v>
      </c>
      <c r="AB115" s="23">
        <f>EXP(-LN(2)/2)*AB114+(1-EXP(-LN(2)/2))/(LN(2)/2)*V115*Y115*VLOOKUP('Données projet'!$B$9,Paramètres!$A$1:$I$89,3,0)*0.475*44/12</f>
        <v>8.3066461605331557E-12</v>
      </c>
      <c r="AC115" s="24">
        <f t="shared" si="57"/>
        <v>2.6335921762092487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4.8</v>
      </c>
      <c r="AI115" s="14">
        <f>IF('Données projet'!$A$62&gt;35,AI114+AH115-AQ114,IF(A115&lt;'Données projet'!$A$62,$AF$205^A115,IF(A115='Données projet'!$A$62,'Données projet'!$B$62,AI114+AH115-AQ114)))</f>
        <v>316.59999999999991</v>
      </c>
      <c r="AJ115" s="14">
        <f>AI115*VLOOKUP('Données projet'!$B$10,Paramètres!$A$1:$I$89,3,0)*VLOOKUP('Données projet'!$B$10,Paramètres!$A$1:$I$89,5,0)</f>
        <v>286.45967999999988</v>
      </c>
      <c r="AK115" s="14">
        <f t="shared" si="89"/>
        <v>68.330307577101138</v>
      </c>
      <c r="AL115" s="22">
        <f t="shared" si="58"/>
        <v>617.92589503011754</v>
      </c>
      <c r="AM115" s="62">
        <f t="shared" si="59"/>
        <v>911.2592283634508</v>
      </c>
      <c r="AN115" s="62">
        <f ca="1">AVERAGE(OFFSET($AM$3,0,0,'Données projet'!$E$10+1,1))-AVERAGE(OFFSET($H$3,0,0,'Données projet'!$E$10+1,1))</f>
        <v>439.19854273764042</v>
      </c>
      <c r="AO115" s="62">
        <f t="shared" si="90"/>
        <v>278.21741231699929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0.93996861284526678</v>
      </c>
      <c r="AW115" s="23">
        <f>EXP(-LN(2)/2)*AW114+(1-EXP(-LN(2)/2))/(LN(2)/2)*AQ115*AT115*VLOOKUP('Données projet'!$B$10,Paramètres!$A$1:$I$89,3,0)*0.475*44/12</f>
        <v>6.7801805219267669E-12</v>
      </c>
      <c r="AX115" s="23">
        <f t="shared" si="60"/>
        <v>0.93996861285204691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-2.8421709430404007E-13</v>
      </c>
      <c r="BE115" s="14">
        <f>BD115*VLOOKUP('Données projet'!$B$11,Paramètres!$A$1:$I$89,3,0)*VLOOKUP('Données projet'!$B$11,Paramètres!$A$1:$I$89,5,0)</f>
        <v>-2.2612312022829427E-13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352.88510024787888</v>
      </c>
      <c r="BJ115" s="62">
        <f t="shared" si="92"/>
        <v>343.77208530767069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1.2653124746934872</v>
      </c>
      <c r="BR115" s="23">
        <f>EXP(-LN(2)/2)*BR114+(1-EXP(-LN(2)/2))/(LN(2)/2)*BL115*BO115*VLOOKUP('Données projet'!$B$11,Paramètres!$A$1:$I$89,3,0)*0.475*44/12</f>
        <v>1.7951998093052119E-13</v>
      </c>
      <c r="BS115" s="24">
        <f t="shared" si="63"/>
        <v>1.2653124746936666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-2.8421709430404007E-13</v>
      </c>
      <c r="BZ115" s="14">
        <f>BY115*VLOOKUP('Données projet'!$B$12,Paramètres!$A$1:$I$89,3,0)*VLOOKUP('Données projet'!$B$12,Paramètres!$A$1:$I$89,5,0)</f>
        <v>-2.0838797354372215E-13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328.10411227536315</v>
      </c>
      <c r="CE115" s="62">
        <f t="shared" si="94"/>
        <v>320.24200483294322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1.7895911786678698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1.7895911786678698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5.6843418860808015E-14</v>
      </c>
      <c r="CU115" s="18">
        <f>CT115*VLOOKUP('Données projet'!$B$13,Paramètres!$A$1:$I$89,3,0)*VLOOKUP('Données projet'!$B$13,Paramètres!$A$1:$I$89,5,0)</f>
        <v>4.4337866711430253E-14</v>
      </c>
      <c r="CV115" s="14">
        <f t="shared" si="95"/>
        <v>7.3222115536967035E-13</v>
      </c>
      <c r="CW115" s="22">
        <f t="shared" si="67"/>
        <v>1.3525069634579169E-12</v>
      </c>
      <c r="CX115" s="62">
        <f t="shared" si="68"/>
        <v>293.33333333333468</v>
      </c>
      <c r="CY115" s="62">
        <f ca="1">AVERAGE(OFFSET($CX$3,0,0,'Données projet'!$E$13+1,1))-AVERAGE(OFFSET($H$3,0,0,'Données projet'!$E$13+1,1))</f>
        <v>288.82868507674738</v>
      </c>
      <c r="CZ115" s="62">
        <f t="shared" si="96"/>
        <v>283.48738729114024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2.0122589227797651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2.0122589227797651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4.5999999999999996</v>
      </c>
      <c r="DO115" s="13">
        <f>IF('Données projet'!$A$166&gt;35,DO114+DN115-DW114,IF(A115&lt;'Données projet'!$A$166,$DL$205^A115,IF(A115='Données projet'!$A$166,'Données projet'!$B$166,DO114+DN115-DW114)))</f>
        <v>316.19999999999993</v>
      </c>
      <c r="DP115" s="18">
        <f>DO115*VLOOKUP('Données projet'!$B$14,Paramètres!$A$1:$I$89,3,0)*VLOOKUP('Données projet'!$B$14,Paramètres!$A$1:$I$89,5,0)</f>
        <v>320.62679999999995</v>
      </c>
      <c r="DQ115" s="14">
        <f t="shared" si="97"/>
        <v>75.483756735990909</v>
      </c>
      <c r="DR115" s="22">
        <f t="shared" si="70"/>
        <v>689.89255298185071</v>
      </c>
      <c r="DS115" s="62">
        <f t="shared" si="71"/>
        <v>983.22588631518397</v>
      </c>
      <c r="DT115" s="62">
        <f ca="1">AVERAGE(OFFSET($DS$3,0,0,'Données projet'!$E$14+1,1))-AVERAGE(OFFSET($H$3,0,0,'Données projet'!$E$14+1,1))</f>
        <v>487.04124684635974</v>
      </c>
      <c r="DU115" s="62">
        <f t="shared" si="98"/>
        <v>306.61893266146666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2.4136143888612929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2.4136143888612929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4.5999999999999996</v>
      </c>
      <c r="EJ115" s="13">
        <f>IF('Données projet'!$A$192&gt;35,EJ114+EI115-ER114,IF(A115&lt;'Données projet'!$A$192,$EG$205^A115,IF(A115='Données projet'!$A$192,'Données projet'!$B$192,EJ114+EI115-ER114)))</f>
        <v>316.19999999999993</v>
      </c>
      <c r="EK115" s="18">
        <f>EJ115*VLOOKUP('Données projet'!$B$15,Paramètres!$A$1:$I$89,3,0)*VLOOKUP('Données projet'!$B$15,Paramètres!$A$1:$I$89,5,0)</f>
        <v>300.89591999999993</v>
      </c>
      <c r="EL115" s="14">
        <f t="shared" si="99"/>
        <v>71.364250111999624</v>
      </c>
      <c r="EM115" s="22">
        <f t="shared" si="73"/>
        <v>648.35312961173247</v>
      </c>
      <c r="EN115" s="62">
        <f t="shared" si="74"/>
        <v>941.68646294506584</v>
      </c>
      <c r="EO115" s="62">
        <f ca="1">AVERAGE(OFFSET($EN$3,0,0,'Données projet'!$E$15+1,1))-AVERAGE(OFFSET($H$3,0,0,'Données projet'!$E$15+1,1))</f>
        <v>459.64120566196812</v>
      </c>
      <c r="EP115" s="62">
        <f t="shared" si="100"/>
        <v>290.39826583283588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2.2650842726236742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2.2650842726236742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4.5999999999999996</v>
      </c>
      <c r="FE115" s="13">
        <f>IF('Données projet'!$A$218&gt;35,FE114+FD115-FM114,IF(A115&lt;'Données projet'!$A$218,$FB$205^A115,IF(A115='Données projet'!$A$218,'Données projet'!$B$218,FE114+FD115-FM114)))</f>
        <v>316.19999999999993</v>
      </c>
      <c r="FF115" s="18">
        <f>FE115*VLOOKUP('Données projet'!$B$16,Paramètres!$A$1:$I$89,3,0)*VLOOKUP('Données projet'!$B$16,Paramètres!$A$1:$I$89,5,0)</f>
        <v>212.10695999999999</v>
      </c>
      <c r="FG115" s="14">
        <f t="shared" si="101"/>
        <v>52.395741612408244</v>
      </c>
      <c r="FH115" s="22">
        <f t="shared" si="76"/>
        <v>460.67553864161101</v>
      </c>
      <c r="FI115" s="62">
        <f t="shared" si="77"/>
        <v>754.00887197494433</v>
      </c>
      <c r="FJ115" s="62">
        <f ca="1">AVERAGE(OFFSET($FI$3,0,0,'Données projet'!$E$16+1,1))-AVERAGE(OFFSET($H$3,0,0,'Données projet'!$E$16+1,1))</f>
        <v>335.83558218229564</v>
      </c>
      <c r="FK115" s="62">
        <f t="shared" si="102"/>
        <v>217.08423061559648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0</v>
      </c>
      <c r="FR115" s="23">
        <f>EXP(-LN(2)/25)*FR114+(1-EXP(-LN(2)/25))/(LN(2)/25)*Calculateur!FM115*Calculateur!FO115*VLOOKUP('Données projet'!$B$16,Paramètres!$A$1:$I$89,3,0)*0.475*44/12</f>
        <v>0.85893683587584757</v>
      </c>
      <c r="FS115" s="23">
        <f>EXP(-LN(2)/2)*FS114+(1-EXP(-LN(2)/2))/(LN(2)/2)*FM115*FP115*VLOOKUP('Données projet'!$B$16,Paramètres!$A$1:$I$89,3,0)*0.475*44/12</f>
        <v>5.0266855593595241E-12</v>
      </c>
      <c r="FT115" s="24">
        <f t="shared" si="78"/>
        <v>0.85893683588087422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1.9895196601282805E-13</v>
      </c>
      <c r="O116" s="14">
        <f>N116*VLOOKUP('Données projet'!$B$9,Paramètres!$A$1:$I$89,3,0)*VLOOKUP('Données projet'!$B$9,Paramètres!$A$1:$I$89,5,0)</f>
        <v>1.738044375088066E-13</v>
      </c>
      <c r="P116" s="14">
        <f t="shared" si="87"/>
        <v>2.4483293633950478E-12</v>
      </c>
      <c r="Q116" s="22">
        <f t="shared" si="107"/>
        <v>4.566883036574213E-12</v>
      </c>
      <c r="R116" s="62">
        <f t="shared" si="55"/>
        <v>293.33333333333786</v>
      </c>
      <c r="S116" s="62">
        <f ca="1">AVERAGE(OFFSET($R$3,0,0,'Données projet'!$E$9+1,1))-AVERAGE(OFFSET($H$3,0,0,'Données projet'!$E$9+1,1))</f>
        <v>321.23599968992932</v>
      </c>
      <c r="T116" s="62">
        <f t="shared" si="88"/>
        <v>388.05195847800502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2.5615764596481339</v>
      </c>
      <c r="AB116" s="23">
        <f>EXP(-LN(2)/2)*AB115+(1-EXP(-LN(2)/2))/(LN(2)/2)*V116*Y116*VLOOKUP('Données projet'!$B$9,Paramètres!$A$1:$I$89,3,0)*0.475*44/12</f>
        <v>5.8736858290301934E-12</v>
      </c>
      <c r="AC116" s="24">
        <f t="shared" si="57"/>
        <v>2.5615764596540074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4.8</v>
      </c>
      <c r="AI116" s="14">
        <f>IF('Données projet'!$A$62&gt;35,AI115+AH116-AQ115,IF(A116&lt;'Données projet'!$A$62,$AF$205^A116,IF(A116='Données projet'!$A$62,'Données projet'!$B$62,AI115+AH116-AQ115)))</f>
        <v>321.39999999999992</v>
      </c>
      <c r="AJ116" s="14">
        <f>AI116*VLOOKUP('Données projet'!$B$10,Paramètres!$A$1:$I$89,3,0)*VLOOKUP('Données projet'!$B$10,Paramètres!$A$1:$I$89,5,0)</f>
        <v>290.80271999999991</v>
      </c>
      <c r="AK116" s="14">
        <f t="shared" si="89"/>
        <v>69.244880157128961</v>
      </c>
      <c r="AL116" s="22">
        <f t="shared" si="58"/>
        <v>627.08290360699937</v>
      </c>
      <c r="AM116" s="62">
        <f t="shared" si="59"/>
        <v>920.41623694033274</v>
      </c>
      <c r="AN116" s="62">
        <f ca="1">AVERAGE(OFFSET($AM$3,0,0,'Données projet'!$E$10+1,1))-AVERAGE(OFFSET($H$3,0,0,'Données projet'!$E$10+1,1))</f>
        <v>439.19854273764042</v>
      </c>
      <c r="AO116" s="62">
        <f t="shared" si="90"/>
        <v>278.21741231699929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0.91426512169621199</v>
      </c>
      <c r="AW116" s="23">
        <f>EXP(-LN(2)/2)*AW115+(1-EXP(-LN(2)/2))/(LN(2)/2)*AQ116*AT116*VLOOKUP('Données projet'!$B$10,Paramètres!$A$1:$I$89,3,0)*0.475*44/12</f>
        <v>4.7943116247233619E-12</v>
      </c>
      <c r="AX116" s="23">
        <f t="shared" si="60"/>
        <v>0.91426512170100627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-2.8421709430404007E-13</v>
      </c>
      <c r="BE116" s="14">
        <f>BD116*VLOOKUP('Données projet'!$B$11,Paramètres!$A$1:$I$89,3,0)*VLOOKUP('Données projet'!$B$11,Paramètres!$A$1:$I$89,5,0)</f>
        <v>-2.2612312022829427E-13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352.88510024787888</v>
      </c>
      <c r="BJ116" s="62">
        <f t="shared" si="92"/>
        <v>343.77208530767069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1.2307124385331025</v>
      </c>
      <c r="BR116" s="23">
        <f>EXP(-LN(2)/2)*BR115+(1-EXP(-LN(2)/2))/(LN(2)/2)*BL116*BO116*VLOOKUP('Données projet'!$B$11,Paramètres!$A$1:$I$89,3,0)*0.475*44/12</f>
        <v>1.2693979587445123E-13</v>
      </c>
      <c r="BS116" s="24">
        <f t="shared" si="63"/>
        <v>1.2307124385332295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-2.8421709430404007E-13</v>
      </c>
      <c r="BZ116" s="14">
        <f>BY116*VLOOKUP('Données projet'!$B$12,Paramètres!$A$1:$I$89,3,0)*VLOOKUP('Données projet'!$B$12,Paramètres!$A$1:$I$89,5,0)</f>
        <v>-2.0838797354372215E-13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328.10411227536315</v>
      </c>
      <c r="CE116" s="62">
        <f t="shared" si="94"/>
        <v>320.24200483294322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1.754498387197031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1.754498387197031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5.6843418860808015E-14</v>
      </c>
      <c r="CU116" s="18">
        <f>CT116*VLOOKUP('Données projet'!$B$13,Paramètres!$A$1:$I$89,3,0)*VLOOKUP('Données projet'!$B$13,Paramètres!$A$1:$I$89,5,0)</f>
        <v>4.4337866711430253E-14</v>
      </c>
      <c r="CV116" s="14">
        <f t="shared" si="95"/>
        <v>7.3222115536967035E-13</v>
      </c>
      <c r="CW116" s="22">
        <f t="shared" si="67"/>
        <v>1.3525069634579169E-12</v>
      </c>
      <c r="CX116" s="62">
        <f t="shared" si="68"/>
        <v>293.33333333333468</v>
      </c>
      <c r="CY116" s="62">
        <f ca="1">AVERAGE(OFFSET($CX$3,0,0,'Données projet'!$E$13+1,1))-AVERAGE(OFFSET($H$3,0,0,'Données projet'!$E$13+1,1))</f>
        <v>288.82868507674738</v>
      </c>
      <c r="CZ116" s="62">
        <f t="shared" si="96"/>
        <v>283.48738729114024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1.9727997526608054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1.9727997526608054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4.5999999999999996</v>
      </c>
      <c r="DO116" s="13">
        <f>IF('Données projet'!$A$166&gt;35,DO115+DN116-DW115,IF(A116&lt;'Données projet'!$A$166,$DL$205^A116,IF(A116='Données projet'!$A$166,'Données projet'!$B$166,DO115+DN116-DW115)))</f>
        <v>320.79999999999995</v>
      </c>
      <c r="DP116" s="18">
        <f>DO116*VLOOKUP('Données projet'!$B$14,Paramètres!$A$1:$I$89,3,0)*VLOOKUP('Données projet'!$B$14,Paramètres!$A$1:$I$89,5,0)</f>
        <v>325.2912</v>
      </c>
      <c r="DQ116" s="14">
        <f t="shared" si="97"/>
        <v>76.453237715285965</v>
      </c>
      <c r="DR116" s="22">
        <f t="shared" si="70"/>
        <v>699.70489568745631</v>
      </c>
      <c r="DS116" s="62">
        <f t="shared" si="71"/>
        <v>993.03822902078969</v>
      </c>
      <c r="DT116" s="62">
        <f ca="1">AVERAGE(OFFSET($DS$3,0,0,'Données projet'!$E$14+1,1))-AVERAGE(OFFSET($H$3,0,0,'Données projet'!$E$14+1,1))</f>
        <v>487.04124684635974</v>
      </c>
      <c r="DU116" s="62">
        <f t="shared" si="98"/>
        <v>306.61893266146666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2.3662848828551364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2.3662848828551364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4.5999999999999996</v>
      </c>
      <c r="EJ116" s="13">
        <f>IF('Données projet'!$A$192&gt;35,EJ115+EI116-ER115,IF(A116&lt;'Données projet'!$A$192,$EG$205^A116,IF(A116='Données projet'!$A$192,'Données projet'!$B$192,EJ115+EI116-ER115)))</f>
        <v>320.79999999999995</v>
      </c>
      <c r="EK116" s="18">
        <f>EJ116*VLOOKUP('Données projet'!$B$15,Paramètres!$A$1:$I$89,3,0)*VLOOKUP('Données projet'!$B$15,Paramètres!$A$1:$I$89,5,0)</f>
        <v>305.27327999999994</v>
      </c>
      <c r="EL116" s="14">
        <f t="shared" si="99"/>
        <v>72.280821916013338</v>
      </c>
      <c r="EM116" s="22">
        <f t="shared" si="73"/>
        <v>657.57339417038975</v>
      </c>
      <c r="EN116" s="62">
        <f t="shared" si="74"/>
        <v>950.906727503723</v>
      </c>
      <c r="EO116" s="62">
        <f ca="1">AVERAGE(OFFSET($EN$3,0,0,'Données projet'!$E$15+1,1))-AVERAGE(OFFSET($H$3,0,0,'Données projet'!$E$15+1,1))</f>
        <v>459.64120566196812</v>
      </c>
      <c r="EP116" s="62">
        <f t="shared" si="100"/>
        <v>290.39826583283588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2.2206673516025122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2.2206673516025122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4.5999999999999996</v>
      </c>
      <c r="FE116" s="13">
        <f>IF('Données projet'!$A$218&gt;35,FE115+FD116-FM115,IF(A116&lt;'Données projet'!$A$218,$FB$205^A116,IF(A116='Données projet'!$A$218,'Données projet'!$B$218,FE115+FD116-FM115)))</f>
        <v>320.79999999999995</v>
      </c>
      <c r="FF116" s="18">
        <f>FE116*VLOOKUP('Données projet'!$B$16,Paramètres!$A$1:$I$89,3,0)*VLOOKUP('Données projet'!$B$16,Paramètres!$A$1:$I$89,5,0)</f>
        <v>215.19263999999998</v>
      </c>
      <c r="FG116" s="14">
        <f t="shared" si="101"/>
        <v>53.068690033178463</v>
      </c>
      <c r="FH116" s="22">
        <f t="shared" si="76"/>
        <v>467.22181647445245</v>
      </c>
      <c r="FI116" s="62">
        <f t="shared" si="77"/>
        <v>760.55514980778571</v>
      </c>
      <c r="FJ116" s="62">
        <f ca="1">AVERAGE(OFFSET($FI$3,0,0,'Données projet'!$E$16+1,1))-AVERAGE(OFFSET($H$3,0,0,'Données projet'!$E$16+1,1))</f>
        <v>335.83558218229564</v>
      </c>
      <c r="FK116" s="62">
        <f t="shared" si="102"/>
        <v>217.08423061559648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0</v>
      </c>
      <c r="FR116" s="23">
        <f>EXP(-LN(2)/25)*FR115+(1-EXP(-LN(2)/25))/(LN(2)/25)*Calculateur!FM116*Calculateur!FO116*VLOOKUP('Données projet'!$B$16,Paramètres!$A$1:$I$89,3,0)*0.475*44/12</f>
        <v>0.8354491629292975</v>
      </c>
      <c r="FS116" s="23">
        <f>EXP(-LN(2)/2)*FS115+(1-EXP(-LN(2)/2))/(LN(2)/2)*FM116*FP116*VLOOKUP('Données projet'!$B$16,Paramètres!$A$1:$I$89,3,0)*0.475*44/12</f>
        <v>3.5544034459156134E-12</v>
      </c>
      <c r="FT116" s="24">
        <f t="shared" si="78"/>
        <v>0.83544916293285187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1.9895196601282805E-13</v>
      </c>
      <c r="O117" s="14">
        <f>N117*VLOOKUP('Données projet'!$B$9,Paramètres!$A$1:$I$89,3,0)*VLOOKUP('Données projet'!$B$9,Paramètres!$A$1:$I$89,5,0)</f>
        <v>1.738044375088066E-13</v>
      </c>
      <c r="P117" s="14">
        <f t="shared" si="87"/>
        <v>2.4483293633950478E-12</v>
      </c>
      <c r="Q117" s="22">
        <f t="shared" si="107"/>
        <v>4.566883036574213E-12</v>
      </c>
      <c r="R117" s="62">
        <f t="shared" si="55"/>
        <v>293.33333333333786</v>
      </c>
      <c r="S117" s="62">
        <f ca="1">AVERAGE(OFFSET($R$3,0,0,'Données projet'!$E$9+1,1))-AVERAGE(OFFSET($H$3,0,0,'Données projet'!$E$9+1,1))</f>
        <v>321.23599968992932</v>
      </c>
      <c r="T117" s="62">
        <f t="shared" si="88"/>
        <v>388.05195847800502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2.4915300166516041</v>
      </c>
      <c r="AB117" s="23">
        <f>EXP(-LN(2)/2)*AB116+(1-EXP(-LN(2)/2))/(LN(2)/2)*V117*Y117*VLOOKUP('Données projet'!$B$9,Paramètres!$A$1:$I$89,3,0)*0.475*44/12</f>
        <v>4.1533230802665779E-12</v>
      </c>
      <c r="AC117" s="24">
        <f t="shared" si="57"/>
        <v>2.4915300166557572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4.8</v>
      </c>
      <c r="AI117" s="14">
        <f>IF('Données projet'!$A$62&gt;35,AI116+AH117-AQ116,IF(A117&lt;'Données projet'!$A$62,$AF$205^A117,IF(A117='Données projet'!$A$62,'Données projet'!$B$62,AI116+AH117-AQ116)))</f>
        <v>326.19999999999993</v>
      </c>
      <c r="AJ117" s="14">
        <f>AI117*VLOOKUP('Données projet'!$B$10,Paramètres!$A$1:$I$89,3,0)*VLOOKUP('Données projet'!$B$10,Paramètres!$A$1:$I$89,5,0)</f>
        <v>295.14575999999994</v>
      </c>
      <c r="AK117" s="14">
        <f t="shared" si="89"/>
        <v>70.157864167878188</v>
      </c>
      <c r="AL117" s="22">
        <f t="shared" si="58"/>
        <v>636.237145425721</v>
      </c>
      <c r="AM117" s="62">
        <f t="shared" si="59"/>
        <v>929.57047875905437</v>
      </c>
      <c r="AN117" s="62">
        <f ca="1">AVERAGE(OFFSET($AM$3,0,0,'Données projet'!$E$10+1,1))-AVERAGE(OFFSET($H$3,0,0,'Données projet'!$E$10+1,1))</f>
        <v>439.19854273764042</v>
      </c>
      <c r="AO117" s="62">
        <f t="shared" si="90"/>
        <v>278.21741231699929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0.88926449386431594</v>
      </c>
      <c r="AW117" s="23">
        <f>EXP(-LN(2)/2)*AW116+(1-EXP(-LN(2)/2))/(LN(2)/2)*AQ117*AT117*VLOOKUP('Données projet'!$B$10,Paramètres!$A$1:$I$89,3,0)*0.475*44/12</f>
        <v>3.3900902609633835E-12</v>
      </c>
      <c r="AX117" s="23">
        <f t="shared" si="60"/>
        <v>0.88926449386770601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-2.8421709430404007E-13</v>
      </c>
      <c r="BE117" s="14">
        <f>BD117*VLOOKUP('Données projet'!$B$11,Paramètres!$A$1:$I$89,3,0)*VLOOKUP('Données projet'!$B$11,Paramètres!$A$1:$I$89,5,0)</f>
        <v>-2.2612312022829427E-13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352.88510024787888</v>
      </c>
      <c r="BJ117" s="62">
        <f t="shared" si="92"/>
        <v>343.77208530767069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1.1970585421810604</v>
      </c>
      <c r="BR117" s="23">
        <f>EXP(-LN(2)/2)*BR116+(1-EXP(-LN(2)/2))/(LN(2)/2)*BL117*BO117*VLOOKUP('Données projet'!$B$11,Paramètres!$A$1:$I$89,3,0)*0.475*44/12</f>
        <v>8.9759990465260597E-14</v>
      </c>
      <c r="BS117" s="24">
        <f t="shared" si="63"/>
        <v>1.1970585421811502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-2.8421709430404007E-13</v>
      </c>
      <c r="BZ117" s="14">
        <f>BY117*VLOOKUP('Données projet'!$B$12,Paramètres!$A$1:$I$89,3,0)*VLOOKUP('Données projet'!$B$12,Paramètres!$A$1:$I$89,5,0)</f>
        <v>-2.0838797354372215E-13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328.10411227536315</v>
      </c>
      <c r="CE117" s="62">
        <f t="shared" si="94"/>
        <v>320.24200483294322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1.720093743962446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1.720093743962446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5.6843418860808015E-14</v>
      </c>
      <c r="CU117" s="18">
        <f>CT117*VLOOKUP('Données projet'!$B$13,Paramètres!$A$1:$I$89,3,0)*VLOOKUP('Données projet'!$B$13,Paramètres!$A$1:$I$89,5,0)</f>
        <v>4.4337866711430253E-14</v>
      </c>
      <c r="CV117" s="14">
        <f t="shared" si="95"/>
        <v>7.3222115536967035E-13</v>
      </c>
      <c r="CW117" s="22">
        <f t="shared" si="67"/>
        <v>1.3525069634579169E-12</v>
      </c>
      <c r="CX117" s="62">
        <f t="shared" si="68"/>
        <v>293.33333333333468</v>
      </c>
      <c r="CY117" s="62">
        <f ca="1">AVERAGE(OFFSET($CX$3,0,0,'Données projet'!$E$13+1,1))-AVERAGE(OFFSET($H$3,0,0,'Données projet'!$E$13+1,1))</f>
        <v>288.82868507674738</v>
      </c>
      <c r="CZ117" s="62">
        <f t="shared" si="96"/>
        <v>283.48738729114024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1.9341143528001612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1.9341143528001612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4.5999999999999996</v>
      </c>
      <c r="DO117" s="13">
        <f>IF('Données projet'!$A$166&gt;35,DO116+DN117-DW116,IF(A117&lt;'Données projet'!$A$166,$DL$205^A117,IF(A117='Données projet'!$A$166,'Données projet'!$B$166,DO116+DN117-DW116)))</f>
        <v>325.39999999999998</v>
      </c>
      <c r="DP117" s="18">
        <f>DO117*VLOOKUP('Données projet'!$B$14,Paramètres!$A$1:$I$89,3,0)*VLOOKUP('Données projet'!$B$14,Paramètres!$A$1:$I$89,5,0)</f>
        <v>329.9556</v>
      </c>
      <c r="DQ117" s="14">
        <f t="shared" si="97"/>
        <v>77.421101846941795</v>
      </c>
      <c r="DR117" s="22">
        <f t="shared" si="70"/>
        <v>709.51442238342361</v>
      </c>
      <c r="DS117" s="62">
        <f t="shared" si="71"/>
        <v>1002.8477557167569</v>
      </c>
      <c r="DT117" s="62">
        <f ca="1">AVERAGE(OFFSET($DS$3,0,0,'Données projet'!$E$14+1,1))-AVERAGE(OFFSET($H$3,0,0,'Données projet'!$E$14+1,1))</f>
        <v>487.04124684635974</v>
      </c>
      <c r="DU117" s="62">
        <f t="shared" si="98"/>
        <v>306.61893266146666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2.3198834795936127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2.3198834795936127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4.5999999999999996</v>
      </c>
      <c r="EJ117" s="13">
        <f>IF('Données projet'!$A$192&gt;35,EJ116+EI117-ER116,IF(A117&lt;'Données projet'!$A$192,$EG$205^A117,IF(A117='Données projet'!$A$192,'Données projet'!$B$192,EJ116+EI117-ER116)))</f>
        <v>325.39999999999998</v>
      </c>
      <c r="EK117" s="18">
        <f>EJ117*VLOOKUP('Données projet'!$B$15,Paramètres!$A$1:$I$89,3,0)*VLOOKUP('Données projet'!$B$15,Paramètres!$A$1:$I$89,5,0)</f>
        <v>309.65063999999995</v>
      </c>
      <c r="EL117" s="14">
        <f t="shared" si="99"/>
        <v>73.195865111432241</v>
      </c>
      <c r="EM117" s="22">
        <f t="shared" si="73"/>
        <v>666.790996402411</v>
      </c>
      <c r="EN117" s="62">
        <f t="shared" si="74"/>
        <v>960.12432973574437</v>
      </c>
      <c r="EO117" s="62">
        <f ca="1">AVERAGE(OFFSET($EN$3,0,0,'Données projet'!$E$15+1,1))-AVERAGE(OFFSET($H$3,0,0,'Données projet'!$E$15+1,1))</f>
        <v>459.64120566196812</v>
      </c>
      <c r="EP117" s="62">
        <f t="shared" si="100"/>
        <v>290.39826583283588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2.1771214193109283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2.1771214193109283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4.5999999999999996</v>
      </c>
      <c r="FE117" s="13">
        <f>IF('Données projet'!$A$218&gt;35,FE116+FD117-FM116,IF(A117&lt;'Données projet'!$A$218,$FB$205^A117,IF(A117='Données projet'!$A$218,'Données projet'!$B$218,FE116+FD117-FM116)))</f>
        <v>325.39999999999998</v>
      </c>
      <c r="FF117" s="18">
        <f>FE117*VLOOKUP('Données projet'!$B$16,Paramètres!$A$1:$I$89,3,0)*VLOOKUP('Données projet'!$B$16,Paramètres!$A$1:$I$89,5,0)</f>
        <v>218.27832000000001</v>
      </c>
      <c r="FG117" s="14">
        <f t="shared" si="101"/>
        <v>53.740516147179761</v>
      </c>
      <c r="FH117" s="22">
        <f t="shared" si="76"/>
        <v>473.76613962300468</v>
      </c>
      <c r="FI117" s="62">
        <f t="shared" si="77"/>
        <v>767.09947295633799</v>
      </c>
      <c r="FJ117" s="62">
        <f ca="1">AVERAGE(OFFSET($FI$3,0,0,'Données projet'!$E$16+1,1))-AVERAGE(OFFSET($H$3,0,0,'Données projet'!$E$16+1,1))</f>
        <v>335.83558218229564</v>
      </c>
      <c r="FK117" s="62">
        <f t="shared" si="102"/>
        <v>217.08423061559648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0</v>
      </c>
      <c r="FR117" s="23">
        <f>EXP(-LN(2)/25)*FR116+(1-EXP(-LN(2)/25))/(LN(2)/25)*Calculateur!FM117*Calculateur!FO117*VLOOKUP('Données projet'!$B$16,Paramètres!$A$1:$I$89,3,0)*0.475*44/12</f>
        <v>0.81260376163463377</v>
      </c>
      <c r="FS117" s="23">
        <f>EXP(-LN(2)/2)*FS116+(1-EXP(-LN(2)/2))/(LN(2)/2)*FM117*FP117*VLOOKUP('Données projet'!$B$16,Paramètres!$A$1:$I$89,3,0)*0.475*44/12</f>
        <v>2.5133427796797625E-12</v>
      </c>
      <c r="FT117" s="24">
        <f t="shared" si="78"/>
        <v>0.81260376163714709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1.9895196601282805E-13</v>
      </c>
      <c r="O118" s="14">
        <f>N118*VLOOKUP('Données projet'!$B$9,Paramètres!$A$1:$I$89,3,0)*VLOOKUP('Données projet'!$B$9,Paramètres!$A$1:$I$89,5,0)</f>
        <v>1.738044375088066E-13</v>
      </c>
      <c r="P118" s="14">
        <f t="shared" si="87"/>
        <v>2.4483293633950478E-12</v>
      </c>
      <c r="Q118" s="22">
        <f t="shared" si="107"/>
        <v>4.566883036574213E-12</v>
      </c>
      <c r="R118" s="62">
        <f t="shared" si="55"/>
        <v>293.33333333333786</v>
      </c>
      <c r="S118" s="62">
        <f ca="1">AVERAGE(OFFSET($R$3,0,0,'Données projet'!$E$9+1,1))-AVERAGE(OFFSET($H$3,0,0,'Données projet'!$E$9+1,1))</f>
        <v>321.23599968992932</v>
      </c>
      <c r="T118" s="62">
        <f t="shared" si="88"/>
        <v>388.05195847800502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2.4233989973223968</v>
      </c>
      <c r="AB118" s="23">
        <f>EXP(-LN(2)/2)*AB117+(1-EXP(-LN(2)/2))/(LN(2)/2)*V118*Y118*VLOOKUP('Données projet'!$B$9,Paramètres!$A$1:$I$89,3,0)*0.475*44/12</f>
        <v>2.9368429145150967E-12</v>
      </c>
      <c r="AC118" s="24">
        <f t="shared" si="57"/>
        <v>2.4233989973253336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331</v>
      </c>
      <c r="AG118" s="13">
        <f>VLOOKUP(A118,'Données projet'!$A$61:$I$81,9,0)</f>
        <v>4.8</v>
      </c>
      <c r="AH118" s="13">
        <f t="array" ref="AH118">INDEX(AG:AG,MIN(IF(ISNUMBER(AG118:AG314),ROW(AG118:AG314),"")))</f>
        <v>4.8</v>
      </c>
      <c r="AI118" s="14">
        <f>IF('Données projet'!$A$62&gt;35,AI117+AH118-AQ117,IF(A118&lt;'Données projet'!$A$62,$AF$205^A118,IF(A118='Données projet'!$A$62,'Données projet'!$B$62,AI117+AH118-AQ117)))</f>
        <v>330.99999999999994</v>
      </c>
      <c r="AJ118" s="14">
        <f>AI118*VLOOKUP('Données projet'!$B$10,Paramètres!$A$1:$I$89,3,0)*VLOOKUP('Données projet'!$B$10,Paramètres!$A$1:$I$89,5,0)</f>
        <v>299.48879999999997</v>
      </c>
      <c r="AK118" s="14">
        <f t="shared" si="89"/>
        <v>71.069285685467293</v>
      </c>
      <c r="AL118" s="22">
        <f t="shared" si="58"/>
        <v>645.38866590218879</v>
      </c>
      <c r="AM118" s="62">
        <f t="shared" si="59"/>
        <v>938.72199923552216</v>
      </c>
      <c r="AN118" s="62">
        <f ca="1">AVERAGE(OFFSET($AM$3,0,0,'Données projet'!$E$10+1,1))-AVERAGE(OFFSET($H$3,0,0,'Données projet'!$E$10+1,1))</f>
        <v>439.19854273764042</v>
      </c>
      <c r="AO118" s="62">
        <f t="shared" si="90"/>
        <v>278.21741231699929</v>
      </c>
      <c r="AP118" s="16">
        <f>IF(ISNA(VLOOKUP(A118,'Données projet'!$A$61:$I$81,3,0)),0,VLOOKUP(A118,'Données projet'!$A$61:$I$81,3,0))</f>
        <v>20</v>
      </c>
      <c r="AQ118" s="16">
        <f>IF(ISNA(VLOOKUP(A118,'Données projet'!$A$61:$I$81,4,0)),0,VLOOKUP(A118,'Données projet'!$A$61:$I$81,4,0))</f>
        <v>331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0.86494750951520893</v>
      </c>
      <c r="AW118" s="23">
        <f>EXP(-LN(2)/2)*AW117+(1-EXP(-LN(2)/2))/(LN(2)/2)*AQ118*AT118*VLOOKUP('Données projet'!$B$10,Paramètres!$A$1:$I$89,3,0)*0.475*44/12</f>
        <v>2.397155812361681E-12</v>
      </c>
      <c r="AX118" s="23">
        <f t="shared" si="60"/>
        <v>0.86494750951760613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-2.8421709430404007E-13</v>
      </c>
      <c r="BE118" s="14">
        <f>BD118*VLOOKUP('Données projet'!$B$11,Paramètres!$A$1:$I$89,3,0)*VLOOKUP('Données projet'!$B$11,Paramètres!$A$1:$I$89,5,0)</f>
        <v>-2.2612312022829427E-13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352.88510024787888</v>
      </c>
      <c r="BJ118" s="62">
        <f t="shared" si="92"/>
        <v>343.77208530767069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1.1643249133945466</v>
      </c>
      <c r="BR118" s="23">
        <f>EXP(-LN(2)/2)*BR117+(1-EXP(-LN(2)/2))/(LN(2)/2)*BL118*BO118*VLOOKUP('Données projet'!$B$11,Paramètres!$A$1:$I$89,3,0)*0.475*44/12</f>
        <v>6.3469897937225617E-14</v>
      </c>
      <c r="BS118" s="24">
        <f t="shared" si="63"/>
        <v>1.1643249133946101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-2.8421709430404007E-13</v>
      </c>
      <c r="BZ118" s="14">
        <f>BY118*VLOOKUP('Données projet'!$B$12,Paramètres!$A$1:$I$89,3,0)*VLOOKUP('Données projet'!$B$12,Paramètres!$A$1:$I$89,5,0)</f>
        <v>-2.0838797354372215E-13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328.10411227536315</v>
      </c>
      <c r="CE118" s="62">
        <f t="shared" si="94"/>
        <v>320.24200483294322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1.686363754796931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1.686363754796931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5.6843418860808015E-14</v>
      </c>
      <c r="CU118" s="18">
        <f>CT118*VLOOKUP('Données projet'!$B$13,Paramètres!$A$1:$I$89,3,0)*VLOOKUP('Données projet'!$B$13,Paramètres!$A$1:$I$89,5,0)</f>
        <v>4.4337866711430253E-14</v>
      </c>
      <c r="CV118" s="14">
        <f t="shared" si="95"/>
        <v>7.3222115536967035E-13</v>
      </c>
      <c r="CW118" s="22">
        <f t="shared" si="67"/>
        <v>1.3525069634579169E-12</v>
      </c>
      <c r="CX118" s="62">
        <f t="shared" si="68"/>
        <v>293.33333333333468</v>
      </c>
      <c r="CY118" s="62">
        <f ca="1">AVERAGE(OFFSET($CX$3,0,0,'Données projet'!$E$13+1,1))-AVERAGE(OFFSET($H$3,0,0,'Données projet'!$E$13+1,1))</f>
        <v>288.82868507674738</v>
      </c>
      <c r="CZ118" s="62">
        <f t="shared" si="96"/>
        <v>283.48738729114024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1.8961875500350203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1.8961875500350203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>
        <f>VLOOKUP(A118,'Données projet'!$A$165:$I$185,2,0)</f>
        <v>330</v>
      </c>
      <c r="DM118" s="13">
        <f>VLOOKUP(A118,'Données projet'!$A$165:$I$185,9,0)</f>
        <v>4.5999999999999996</v>
      </c>
      <c r="DN118" s="13">
        <f t="array" ref="DN118">INDEX(DM:DM,MIN(IF(ISNUMBER(DM118:DM314),ROW(DM118:DM314),"")))</f>
        <v>4.5999999999999996</v>
      </c>
      <c r="DO118" s="13">
        <f>IF('Données projet'!$A$166&gt;35,DO117+DN118-DW117,IF(A118&lt;'Données projet'!$A$166,$DL$205^A118,IF(A118='Données projet'!$A$166,'Données projet'!$B$166,DO117+DN118-DW117)))</f>
        <v>330</v>
      </c>
      <c r="DP118" s="18">
        <f>DO118*VLOOKUP('Données projet'!$B$14,Paramètres!$A$1:$I$89,3,0)*VLOOKUP('Données projet'!$B$14,Paramètres!$A$1:$I$89,5,0)</f>
        <v>334.62</v>
      </c>
      <c r="DQ118" s="14">
        <f t="shared" si="97"/>
        <v>78.387374628661505</v>
      </c>
      <c r="DR118" s="22">
        <f t="shared" si="70"/>
        <v>719.32117747825214</v>
      </c>
      <c r="DS118" s="62">
        <f t="shared" si="71"/>
        <v>1012.6545108115854</v>
      </c>
      <c r="DT118" s="62">
        <f ca="1">AVERAGE(OFFSET($DS$3,0,0,'Données projet'!$E$14+1,1))-AVERAGE(OFFSET($H$3,0,0,'Données projet'!$E$14+1,1))</f>
        <v>487.04124684635974</v>
      </c>
      <c r="DU118" s="62">
        <f t="shared" si="98"/>
        <v>306.61893266146666</v>
      </c>
      <c r="DV118" s="16">
        <f>IF(ISNA(VLOOKUP(A118,'Données projet'!$A$165:$I$185,3,0)),0,VLOOKUP(A118,'Données projet'!$A$165:$I$185,3,0))</f>
        <v>20</v>
      </c>
      <c r="DW118" s="16">
        <f>IF(ISNA(VLOOKUP(A118,'Données projet'!$A$165:$I$185,4,0)),0,VLOOKUP(A118,'Données projet'!$A$165:$I$185,4,0))</f>
        <v>330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2.2743919795479859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2.2743919795479859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>
        <f>VLOOKUP(A118,'Données projet'!$A$191:$I$211,2,0)</f>
        <v>330</v>
      </c>
      <c r="EH118" s="13">
        <f>VLOOKUP(A118,'Données projet'!$A$191:$I$211,9,0)</f>
        <v>4.5999999999999996</v>
      </c>
      <c r="EI118" s="13">
        <f t="array" ref="EI118">INDEX(EH:EH,MIN(IF(ISNUMBER(EH118:EH314),ROW(EH118:EH314),"")))</f>
        <v>4.5999999999999996</v>
      </c>
      <c r="EJ118" s="13">
        <f>IF('Données projet'!$A$192&gt;35,EJ117+EI118-ER117,IF(A118&lt;'Données projet'!$A$192,$EG$205^A118,IF(A118='Données projet'!$A$192,'Données projet'!$B$192,EJ117+EI118-ER117)))</f>
        <v>330</v>
      </c>
      <c r="EK118" s="18">
        <f>EJ118*VLOOKUP('Données projet'!$B$15,Paramètres!$A$1:$I$89,3,0)*VLOOKUP('Données projet'!$B$15,Paramètres!$A$1:$I$89,5,0)</f>
        <v>314.02799999999996</v>
      </c>
      <c r="EL118" s="14">
        <f t="shared" si="99"/>
        <v>74.109403804428752</v>
      </c>
      <c r="EM118" s="22">
        <f t="shared" si="73"/>
        <v>676.00597829271317</v>
      </c>
      <c r="EN118" s="62">
        <f t="shared" si="74"/>
        <v>969.33931162604654</v>
      </c>
      <c r="EO118" s="62">
        <f ca="1">AVERAGE(OFFSET($EN$3,0,0,'Données projet'!$E$15+1,1))-AVERAGE(OFFSET($H$3,0,0,'Données projet'!$E$15+1,1))</f>
        <v>459.64120566196812</v>
      </c>
      <c r="EP118" s="62">
        <f t="shared" si="100"/>
        <v>290.39826583283588</v>
      </c>
      <c r="EQ118" s="16">
        <f>IF(ISNA(VLOOKUP(A118,'Données projet'!$A$191:$I$211,3,0)),0,VLOOKUP(A118,'Données projet'!$A$191:$I$211,3,0))</f>
        <v>20</v>
      </c>
      <c r="ER118" s="16">
        <f>IF(ISNA(VLOOKUP(A118,'Données projet'!$A$191:$I$211,4,0)),0,VLOOKUP(A118,'Données projet'!$A$191:$I$211,4,0))</f>
        <v>330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2.1344293961911864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2.1344293961911864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>
        <f>VLOOKUP(A118,'Données projet'!$A$217:$I$237,2,0)</f>
        <v>330</v>
      </c>
      <c r="FC118" s="13">
        <f>VLOOKUP(A118,'Données projet'!$A$217:$I$237,9,0)</f>
        <v>4.5999999999999996</v>
      </c>
      <c r="FD118" s="13">
        <f t="array" ref="FD118">INDEX(FC:FC,MIN(IF(ISNUMBER(FC118:FC314),ROW(FC118:FC314),"")))</f>
        <v>4.5999999999999996</v>
      </c>
      <c r="FE118" s="13">
        <f>IF('Données projet'!$A$218&gt;35,FE117+FD118-FM117,IF(A118&lt;'Données projet'!$A$218,$FB$205^A118,IF(A118='Données projet'!$A$218,'Données projet'!$B$218,FE117+FD118-FM117)))</f>
        <v>330</v>
      </c>
      <c r="FF118" s="18">
        <f>FE118*VLOOKUP('Données projet'!$B$16,Paramètres!$A$1:$I$89,3,0)*VLOOKUP('Données projet'!$B$16,Paramètres!$A$1:$I$89,5,0)</f>
        <v>221.364</v>
      </c>
      <c r="FG118" s="14">
        <f t="shared" si="101"/>
        <v>54.411237653200793</v>
      </c>
      <c r="FH118" s="22">
        <f t="shared" si="76"/>
        <v>480.30853891265809</v>
      </c>
      <c r="FI118" s="62">
        <f t="shared" si="77"/>
        <v>773.64187224599141</v>
      </c>
      <c r="FJ118" s="62">
        <f ca="1">AVERAGE(OFFSET($FI$3,0,0,'Données projet'!$E$16+1,1))-AVERAGE(OFFSET($H$3,0,0,'Données projet'!$E$16+1,1))</f>
        <v>335.83558218229564</v>
      </c>
      <c r="FK118" s="62">
        <f t="shared" si="102"/>
        <v>217.08423061559648</v>
      </c>
      <c r="FL118" s="16">
        <f>IF(ISNA(VLOOKUP(A118,'Données projet'!$A$217:$I$237,3,0)),0,VLOOKUP(A118,'Données projet'!$A$217:$I$237,3,0))</f>
        <v>20</v>
      </c>
      <c r="FM118" s="16">
        <f>IF(ISNA(VLOOKUP(A118,'Données projet'!$A$217:$I$237,4,0)),0,VLOOKUP(A118,'Données projet'!$A$217:$I$237,4,0))</f>
        <v>330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0</v>
      </c>
      <c r="FR118" s="23">
        <f>EXP(-LN(2)/25)*FR117+(1-EXP(-LN(2)/25))/(LN(2)/25)*Calculateur!FM118*Calculateur!FO118*VLOOKUP('Données projet'!$B$16,Paramètres!$A$1:$I$89,3,0)*0.475*44/12</f>
        <v>0.79038306903976008</v>
      </c>
      <c r="FS118" s="23">
        <f>EXP(-LN(2)/2)*FS117+(1-EXP(-LN(2)/2))/(LN(2)/2)*FM118*FP118*VLOOKUP('Données projet'!$B$16,Paramètres!$A$1:$I$89,3,0)*0.475*44/12</f>
        <v>1.7772017229578071E-12</v>
      </c>
      <c r="FT118" s="24">
        <f t="shared" si="78"/>
        <v>0.79038306904153732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1.9895196601282805E-13</v>
      </c>
      <c r="O119" s="14">
        <f>N119*VLOOKUP('Données projet'!$B$9,Paramètres!$A$1:$I$89,3,0)*VLOOKUP('Données projet'!$B$9,Paramètres!$A$1:$I$89,5,0)</f>
        <v>1.738044375088066E-13</v>
      </c>
      <c r="P119" s="14">
        <f t="shared" si="87"/>
        <v>2.4483293633950478E-12</v>
      </c>
      <c r="Q119" s="22">
        <f t="shared" si="107"/>
        <v>4.566883036574213E-12</v>
      </c>
      <c r="R119" s="62">
        <f t="shared" si="55"/>
        <v>293.33333333333786</v>
      </c>
      <c r="S119" s="62">
        <f ca="1">AVERAGE(OFFSET($R$3,0,0,'Données projet'!$E$9+1,1))-AVERAGE(OFFSET($H$3,0,0,'Données projet'!$E$9+1,1))</f>
        <v>321.23599968992932</v>
      </c>
      <c r="T119" s="62">
        <f t="shared" si="88"/>
        <v>388.05195847800502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2.3571310242996013</v>
      </c>
      <c r="AB119" s="23">
        <f>EXP(-LN(2)/2)*AB118+(1-EXP(-LN(2)/2))/(LN(2)/2)*V119*Y119*VLOOKUP('Données projet'!$B$9,Paramètres!$A$1:$I$89,3,0)*0.475*44/12</f>
        <v>2.0766615401332889E-12</v>
      </c>
      <c r="AC119" s="24">
        <f t="shared" si="57"/>
        <v>2.3571310243016779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-5.6843418860808015E-14</v>
      </c>
      <c r="AJ119" s="14">
        <f>AI119*VLOOKUP('Données projet'!$B$10,Paramètres!$A$1:$I$89,3,0)*VLOOKUP('Données projet'!$B$10,Paramètres!$A$1:$I$89,5,0)</f>
        <v>-5.1431925385259088E-14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439.19854273764042</v>
      </c>
      <c r="AO119" s="62">
        <f t="shared" si="90"/>
        <v>278.21741231699929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0.84129547438190289</v>
      </c>
      <c r="AW119" s="23">
        <f>EXP(-LN(2)/2)*AW118+(1-EXP(-LN(2)/2))/(LN(2)/2)*AQ119*AT119*VLOOKUP('Données projet'!$B$10,Paramètres!$A$1:$I$89,3,0)*0.475*44/12</f>
        <v>1.6950451304816917E-12</v>
      </c>
      <c r="AX119" s="23">
        <f t="shared" si="60"/>
        <v>0.84129547438359797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-2.8421709430404007E-13</v>
      </c>
      <c r="BE119" s="14">
        <f>BD119*VLOOKUP('Données projet'!$B$11,Paramètres!$A$1:$I$89,3,0)*VLOOKUP('Données projet'!$B$11,Paramètres!$A$1:$I$89,5,0)</f>
        <v>-2.2612312022829427E-13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352.88510024787888</v>
      </c>
      <c r="BJ119" s="62">
        <f t="shared" si="92"/>
        <v>343.77208530767069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1.1324863874085866</v>
      </c>
      <c r="BR119" s="23">
        <f>EXP(-LN(2)/2)*BR118+(1-EXP(-LN(2)/2))/(LN(2)/2)*BL119*BO119*VLOOKUP('Données projet'!$B$11,Paramètres!$A$1:$I$89,3,0)*0.475*44/12</f>
        <v>4.4879995232630299E-14</v>
      </c>
      <c r="BS119" s="24">
        <f t="shared" si="63"/>
        <v>1.1324863874086315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-2.8421709430404007E-13</v>
      </c>
      <c r="BZ119" s="14">
        <f>BY119*VLOOKUP('Données projet'!$B$12,Paramètres!$A$1:$I$89,3,0)*VLOOKUP('Données projet'!$B$12,Paramètres!$A$1:$I$89,5,0)</f>
        <v>-2.0838797354372215E-13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328.10411227536315</v>
      </c>
      <c r="CE119" s="62">
        <f t="shared" si="94"/>
        <v>320.24200483294322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1.6532951901456898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1.6532951901456898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5.6843418860808015E-14</v>
      </c>
      <c r="CU119" s="18">
        <f>CT119*VLOOKUP('Données projet'!$B$13,Paramètres!$A$1:$I$89,3,0)*VLOOKUP('Données projet'!$B$13,Paramètres!$A$1:$I$89,5,0)</f>
        <v>4.4337866711430253E-14</v>
      </c>
      <c r="CV119" s="14">
        <f t="shared" si="95"/>
        <v>7.3222115536967035E-13</v>
      </c>
      <c r="CW119" s="22">
        <f t="shared" si="67"/>
        <v>1.3525069634579169E-12</v>
      </c>
      <c r="CX119" s="62">
        <f t="shared" si="68"/>
        <v>293.33333333333468</v>
      </c>
      <c r="CY119" s="62">
        <f ca="1">AVERAGE(OFFSET($CX$3,0,0,'Données projet'!$E$13+1,1))-AVERAGE(OFFSET($H$3,0,0,'Données projet'!$E$13+1,1))</f>
        <v>288.82868507674738</v>
      </c>
      <c r="CZ119" s="62">
        <f t="shared" si="96"/>
        <v>283.48738729114024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1.8590044687390381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1.8590044687390381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>
        <f>DO119*VLOOKUP('Données projet'!$B$14,Paramètres!$A$1:$I$89,3,0)*VLOOKUP('Données projet'!$B$14,Paramètres!$A$1:$I$89,5,0)</f>
        <v>0</v>
      </c>
      <c r="DQ119" s="14" t="e">
        <f t="shared" si="97"/>
        <v>#NUM!</v>
      </c>
      <c r="DR119" s="22" t="e">
        <f t="shared" si="70"/>
        <v>#NUM!</v>
      </c>
      <c r="DS119" s="62" t="e">
        <f t="shared" si="71"/>
        <v>#NUM!</v>
      </c>
      <c r="DT119" s="62">
        <f ca="1">AVERAGE(OFFSET($DS$3,0,0,'Données projet'!$E$14+1,1))-AVERAGE(OFFSET($H$3,0,0,'Données projet'!$E$14+1,1))</f>
        <v>487.04124684635974</v>
      </c>
      <c r="DU119" s="62">
        <f t="shared" si="98"/>
        <v>306.61893266146666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2.2297925400711787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2.2297925400711787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>
        <f>EJ119*VLOOKUP('Données projet'!$B$15,Paramètres!$A$1:$I$89,3,0)*VLOOKUP('Données projet'!$B$15,Paramètres!$A$1:$I$89,5,0)</f>
        <v>0</v>
      </c>
      <c r="EL119" s="14" t="e">
        <f t="shared" si="99"/>
        <v>#NUM!</v>
      </c>
      <c r="EM119" s="22" t="e">
        <f t="shared" si="73"/>
        <v>#NUM!</v>
      </c>
      <c r="EN119" s="62" t="e">
        <f t="shared" si="74"/>
        <v>#NUM!</v>
      </c>
      <c r="EO119" s="62">
        <f ca="1">AVERAGE(OFFSET($EN$3,0,0,'Données projet'!$E$15+1,1))-AVERAGE(OFFSET($H$3,0,0,'Données projet'!$E$15+1,1))</f>
        <v>459.64120566196812</v>
      </c>
      <c r="EP119" s="62">
        <f t="shared" si="100"/>
        <v>290.39826583283588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2.0925745376052598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2.0925745376052598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>
        <f>FE119*VLOOKUP('Données projet'!$B$16,Paramètres!$A$1:$I$89,3,0)*VLOOKUP('Données projet'!$B$16,Paramètres!$A$1:$I$89,5,0)</f>
        <v>0</v>
      </c>
      <c r="FG119" s="14" t="e">
        <f t="shared" si="101"/>
        <v>#NUM!</v>
      </c>
      <c r="FH119" s="22" t="e">
        <f t="shared" si="76"/>
        <v>#NUM!</v>
      </c>
      <c r="FI119" s="62" t="e">
        <f t="shared" si="77"/>
        <v>#NUM!</v>
      </c>
      <c r="FJ119" s="62">
        <f ca="1">AVERAGE(OFFSET($FI$3,0,0,'Données projet'!$E$16+1,1))-AVERAGE(OFFSET($H$3,0,0,'Données projet'!$E$16+1,1))</f>
        <v>335.83558218229564</v>
      </c>
      <c r="FK119" s="62">
        <f t="shared" si="102"/>
        <v>217.08423061559648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0</v>
      </c>
      <c r="FR119" s="23">
        <f>EXP(-LN(2)/25)*FR118+(1-EXP(-LN(2)/25))/(LN(2)/25)*Calculateur!FM119*Calculateur!FO119*VLOOKUP('Données projet'!$B$16,Paramètres!$A$1:$I$89,3,0)*0.475*44/12</f>
        <v>0.76877000245242866</v>
      </c>
      <c r="FS119" s="23">
        <f>EXP(-LN(2)/2)*FS118+(1-EXP(-LN(2)/2))/(LN(2)/2)*FM119*FP119*VLOOKUP('Données projet'!$B$16,Paramètres!$A$1:$I$89,3,0)*0.475*44/12</f>
        <v>1.2566713898398814E-12</v>
      </c>
      <c r="FT119" s="24">
        <f t="shared" si="78"/>
        <v>0.76877000245368532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1.9895196601282805E-13</v>
      </c>
      <c r="O120" s="14">
        <f>N120*VLOOKUP('Données projet'!$B$9,Paramètres!$A$1:$I$89,3,0)*VLOOKUP('Données projet'!$B$9,Paramètres!$A$1:$I$89,5,0)</f>
        <v>1.738044375088066E-13</v>
      </c>
      <c r="P120" s="14">
        <f t="shared" si="87"/>
        <v>2.4483293633950478E-12</v>
      </c>
      <c r="Q120" s="22">
        <f t="shared" si="107"/>
        <v>4.566883036574213E-12</v>
      </c>
      <c r="R120" s="62">
        <f t="shared" si="55"/>
        <v>293.33333333333786</v>
      </c>
      <c r="S120" s="62">
        <f ca="1">AVERAGE(OFFSET($R$3,0,0,'Données projet'!$E$9+1,1))-AVERAGE(OFFSET($H$3,0,0,'Données projet'!$E$9+1,1))</f>
        <v>321.23599968992932</v>
      </c>
      <c r="T120" s="62">
        <f t="shared" si="88"/>
        <v>388.05195847800502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2.2926751524839952</v>
      </c>
      <c r="AB120" s="23">
        <f>EXP(-LN(2)/2)*AB119+(1-EXP(-LN(2)/2))/(LN(2)/2)*V120*Y120*VLOOKUP('Données projet'!$B$9,Paramètres!$A$1:$I$89,3,0)*0.475*44/12</f>
        <v>1.4684214572575483E-12</v>
      </c>
      <c r="AC120" s="24">
        <f t="shared" si="57"/>
        <v>2.2926751524854638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-5.6843418860808015E-14</v>
      </c>
      <c r="AJ120" s="14">
        <f>AI120*VLOOKUP('Données projet'!$B$10,Paramètres!$A$1:$I$89,3,0)*VLOOKUP('Données projet'!$B$10,Paramètres!$A$1:$I$89,5,0)</f>
        <v>-5.1431925385259088E-14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439.19854273764042</v>
      </c>
      <c r="AO120" s="62">
        <f t="shared" si="90"/>
        <v>278.21741231699929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0.81829020539312358</v>
      </c>
      <c r="AW120" s="23">
        <f>EXP(-LN(2)/2)*AW119+(1-EXP(-LN(2)/2))/(LN(2)/2)*AQ120*AT120*VLOOKUP('Données projet'!$B$10,Paramètres!$A$1:$I$89,3,0)*0.475*44/12</f>
        <v>1.1985779061808405E-12</v>
      </c>
      <c r="AX120" s="23">
        <f t="shared" si="60"/>
        <v>0.81829020539432218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-2.8421709430404007E-13</v>
      </c>
      <c r="BE120" s="14">
        <f>BD120*VLOOKUP('Données projet'!$B$11,Paramètres!$A$1:$I$89,3,0)*VLOOKUP('Données projet'!$B$11,Paramètres!$A$1:$I$89,5,0)</f>
        <v>-2.2612312022829427E-13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352.88510024787888</v>
      </c>
      <c r="BJ120" s="62">
        <f t="shared" si="92"/>
        <v>343.77208530767069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1.1015184875900281</v>
      </c>
      <c r="BR120" s="23">
        <f>EXP(-LN(2)/2)*BR119+(1-EXP(-LN(2)/2))/(LN(2)/2)*BL120*BO120*VLOOKUP('Données projet'!$B$11,Paramètres!$A$1:$I$89,3,0)*0.475*44/12</f>
        <v>3.1734948968612808E-14</v>
      </c>
      <c r="BS120" s="24">
        <f t="shared" si="63"/>
        <v>1.1015184875900599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-2.8421709430404007E-13</v>
      </c>
      <c r="BZ120" s="14">
        <f>BY120*VLOOKUP('Données projet'!$B$12,Paramètres!$A$1:$I$89,3,0)*VLOOKUP('Données projet'!$B$12,Paramètres!$A$1:$I$89,5,0)</f>
        <v>-2.0838797354372215E-13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328.10411227536315</v>
      </c>
      <c r="CE120" s="62">
        <f t="shared" si="94"/>
        <v>320.24200483294322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1.6208750798774265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1.6208750798774265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5.6843418860808015E-14</v>
      </c>
      <c r="CU120" s="18">
        <f>CT120*VLOOKUP('Données projet'!$B$13,Paramètres!$A$1:$I$89,3,0)*VLOOKUP('Données projet'!$B$13,Paramètres!$A$1:$I$89,5,0)</f>
        <v>4.4337866711430253E-14</v>
      </c>
      <c r="CV120" s="14">
        <f t="shared" si="95"/>
        <v>7.3222115536967035E-13</v>
      </c>
      <c r="CW120" s="22">
        <f t="shared" si="67"/>
        <v>1.3525069634579169E-12</v>
      </c>
      <c r="CX120" s="62">
        <f t="shared" si="68"/>
        <v>293.33333333333468</v>
      </c>
      <c r="CY120" s="62">
        <f ca="1">AVERAGE(OFFSET($CX$3,0,0,'Données projet'!$E$13+1,1))-AVERAGE(OFFSET($H$3,0,0,'Données projet'!$E$13+1,1))</f>
        <v>288.82868507674738</v>
      </c>
      <c r="CZ120" s="62">
        <f t="shared" si="96"/>
        <v>283.48738729114024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1.82255052498783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1.82255052498783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>
        <f>DO120*VLOOKUP('Données projet'!$B$14,Paramètres!$A$1:$I$89,3,0)*VLOOKUP('Données projet'!$B$14,Paramètres!$A$1:$I$89,5,0)</f>
        <v>0</v>
      </c>
      <c r="DQ120" s="14" t="e">
        <f t="shared" si="97"/>
        <v>#NUM!</v>
      </c>
      <c r="DR120" s="22" t="e">
        <f t="shared" si="70"/>
        <v>#NUM!</v>
      </c>
      <c r="DS120" s="62" t="e">
        <f t="shared" si="71"/>
        <v>#NUM!</v>
      </c>
      <c r="DT120" s="62">
        <f ca="1">AVERAGE(OFFSET($DS$3,0,0,'Données projet'!$E$14+1,1))-AVERAGE(OFFSET($H$3,0,0,'Données projet'!$E$14+1,1))</f>
        <v>487.04124684635974</v>
      </c>
      <c r="DU120" s="62">
        <f t="shared" si="98"/>
        <v>306.61893266146666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2.1860676683995397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2.1860676683995397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>
        <f>EJ120*VLOOKUP('Données projet'!$B$15,Paramètres!$A$1:$I$89,3,0)*VLOOKUP('Données projet'!$B$15,Paramètres!$A$1:$I$89,5,0)</f>
        <v>0</v>
      </c>
      <c r="EL120" s="14" t="e">
        <f t="shared" si="99"/>
        <v>#NUM!</v>
      </c>
      <c r="EM120" s="22" t="e">
        <f t="shared" si="73"/>
        <v>#NUM!</v>
      </c>
      <c r="EN120" s="62" t="e">
        <f t="shared" si="74"/>
        <v>#NUM!</v>
      </c>
      <c r="EO120" s="62">
        <f ca="1">AVERAGE(OFFSET($EN$3,0,0,'Données projet'!$E$15+1,1))-AVERAGE(OFFSET($H$3,0,0,'Données projet'!$E$15+1,1))</f>
        <v>459.64120566196812</v>
      </c>
      <c r="EP120" s="62">
        <f t="shared" si="100"/>
        <v>290.39826583283588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2.0515404272672599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2.0515404272672599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>
        <f>FE120*VLOOKUP('Données projet'!$B$16,Paramètres!$A$1:$I$89,3,0)*VLOOKUP('Données projet'!$B$16,Paramètres!$A$1:$I$89,5,0)</f>
        <v>0</v>
      </c>
      <c r="FG120" s="14" t="e">
        <f t="shared" si="101"/>
        <v>#NUM!</v>
      </c>
      <c r="FH120" s="22" t="e">
        <f t="shared" si="76"/>
        <v>#NUM!</v>
      </c>
      <c r="FI120" s="62" t="e">
        <f t="shared" si="77"/>
        <v>#NUM!</v>
      </c>
      <c r="FJ120" s="62">
        <f ca="1">AVERAGE(OFFSET($FI$3,0,0,'Données projet'!$E$16+1,1))-AVERAGE(OFFSET($H$3,0,0,'Données projet'!$E$16+1,1))</f>
        <v>335.83558218229564</v>
      </c>
      <c r="FK120" s="62">
        <f t="shared" si="102"/>
        <v>217.08423061559648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0</v>
      </c>
      <c r="FR120" s="23">
        <f>EXP(-LN(2)/25)*FR119+(1-EXP(-LN(2)/25))/(LN(2)/25)*Calculateur!FM120*Calculateur!FO120*VLOOKUP('Données projet'!$B$16,Paramètres!$A$1:$I$89,3,0)*0.475*44/12</f>
        <v>0.74774794630750963</v>
      </c>
      <c r="FS120" s="23">
        <f>EXP(-LN(2)/2)*FS119+(1-EXP(-LN(2)/2))/(LN(2)/2)*FM120*FP120*VLOOKUP('Données projet'!$B$16,Paramètres!$A$1:$I$89,3,0)*0.475*44/12</f>
        <v>8.8860086147890366E-13</v>
      </c>
      <c r="FT120" s="24">
        <f t="shared" si="78"/>
        <v>0.74774794630839825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1.9895196601282805E-13</v>
      </c>
      <c r="O121" s="14">
        <f>N121*VLOOKUP('Données projet'!$B$9,Paramètres!$A$1:$I$89,3,0)*VLOOKUP('Données projet'!$B$9,Paramètres!$A$1:$I$89,5,0)</f>
        <v>1.738044375088066E-13</v>
      </c>
      <c r="P121" s="14">
        <f t="shared" si="87"/>
        <v>2.4483293633950478E-12</v>
      </c>
      <c r="Q121" s="22">
        <f t="shared" si="107"/>
        <v>4.566883036574213E-12</v>
      </c>
      <c r="R121" s="62">
        <f t="shared" si="55"/>
        <v>293.33333333333786</v>
      </c>
      <c r="S121" s="62">
        <f ca="1">AVERAGE(OFFSET($R$3,0,0,'Données projet'!$E$9+1,1))-AVERAGE(OFFSET($H$3,0,0,'Données projet'!$E$9+1,1))</f>
        <v>321.23599968992932</v>
      </c>
      <c r="T121" s="62">
        <f t="shared" si="88"/>
        <v>388.05195847800502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2.229981829872774</v>
      </c>
      <c r="AB121" s="23">
        <f>EXP(-LN(2)/2)*AB120+(1-EXP(-LN(2)/2))/(LN(2)/2)*V121*Y121*VLOOKUP('Données projet'!$B$9,Paramètres!$A$1:$I$89,3,0)*0.475*44/12</f>
        <v>1.0383307700666445E-12</v>
      </c>
      <c r="AC121" s="24">
        <f t="shared" si="57"/>
        <v>2.2299818298738123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-5.6843418860808015E-14</v>
      </c>
      <c r="AJ121" s="14">
        <f>AI121*VLOOKUP('Données projet'!$B$10,Paramètres!$A$1:$I$89,3,0)*VLOOKUP('Données projet'!$B$10,Paramètres!$A$1:$I$89,5,0)</f>
        <v>-5.1431925385259088E-14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439.19854273764042</v>
      </c>
      <c r="AO121" s="62">
        <f t="shared" si="90"/>
        <v>278.21741231699929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0.79591401669463691</v>
      </c>
      <c r="AW121" s="23">
        <f>EXP(-LN(2)/2)*AW120+(1-EXP(-LN(2)/2))/(LN(2)/2)*AQ121*AT121*VLOOKUP('Données projet'!$B$10,Paramètres!$A$1:$I$89,3,0)*0.475*44/12</f>
        <v>8.4752256524084587E-13</v>
      </c>
      <c r="AX121" s="23">
        <f t="shared" si="60"/>
        <v>0.79591401669548445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-2.8421709430404007E-13</v>
      </c>
      <c r="BE121" s="14">
        <f>BD121*VLOOKUP('Données projet'!$B$11,Paramètres!$A$1:$I$89,3,0)*VLOOKUP('Données projet'!$B$11,Paramètres!$A$1:$I$89,5,0)</f>
        <v>-2.2612312022829427E-13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352.88510024787888</v>
      </c>
      <c r="BJ121" s="62">
        <f t="shared" si="92"/>
        <v>343.77208530767069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1.0713974066205392</v>
      </c>
      <c r="BR121" s="23">
        <f>EXP(-LN(2)/2)*BR120+(1-EXP(-LN(2)/2))/(LN(2)/2)*BL121*BO121*VLOOKUP('Données projet'!$B$11,Paramètres!$A$1:$I$89,3,0)*0.475*44/12</f>
        <v>2.2439997616315149E-14</v>
      </c>
      <c r="BS121" s="24">
        <f t="shared" si="63"/>
        <v>1.0713974066205616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-2.8421709430404007E-13</v>
      </c>
      <c r="BZ121" s="14">
        <f>BY121*VLOOKUP('Données projet'!$B$12,Paramètres!$A$1:$I$89,3,0)*VLOOKUP('Données projet'!$B$12,Paramètres!$A$1:$I$89,5,0)</f>
        <v>-2.0838797354372215E-13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328.10411227536315</v>
      </c>
      <c r="CE121" s="62">
        <f t="shared" si="94"/>
        <v>320.24200483294322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1.5890907081972092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1.5890907081972092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5.6843418860808015E-14</v>
      </c>
      <c r="CU121" s="18">
        <f>CT121*VLOOKUP('Données projet'!$B$13,Paramètres!$A$1:$I$89,3,0)*VLOOKUP('Données projet'!$B$13,Paramètres!$A$1:$I$89,5,0)</f>
        <v>4.4337866711430253E-14</v>
      </c>
      <c r="CV121" s="14">
        <f t="shared" si="95"/>
        <v>7.3222115536967035E-13</v>
      </c>
      <c r="CW121" s="22">
        <f t="shared" si="67"/>
        <v>1.3525069634579169E-12</v>
      </c>
      <c r="CX121" s="62">
        <f t="shared" si="68"/>
        <v>293.33333333333468</v>
      </c>
      <c r="CY121" s="62">
        <f ca="1">AVERAGE(OFFSET($CX$3,0,0,'Données projet'!$E$13+1,1))-AVERAGE(OFFSET($H$3,0,0,'Données projet'!$E$13+1,1))</f>
        <v>288.82868507674738</v>
      </c>
      <c r="CZ121" s="62">
        <f t="shared" si="96"/>
        <v>283.48738729114024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1.786811420838873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1.786811420838873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>
        <f>DO121*VLOOKUP('Données projet'!$B$14,Paramètres!$A$1:$I$89,3,0)*VLOOKUP('Données projet'!$B$14,Paramètres!$A$1:$I$89,5,0)</f>
        <v>0</v>
      </c>
      <c r="DQ121" s="14" t="e">
        <f t="shared" si="97"/>
        <v>#NUM!</v>
      </c>
      <c r="DR121" s="22" t="e">
        <f t="shared" si="70"/>
        <v>#NUM!</v>
      </c>
      <c r="DS121" s="62" t="e">
        <f t="shared" si="71"/>
        <v>#NUM!</v>
      </c>
      <c r="DT121" s="62">
        <f ca="1">AVERAGE(OFFSET($DS$3,0,0,'Données projet'!$E$14+1,1))-AVERAGE(OFFSET($H$3,0,0,'Données projet'!$E$14+1,1))</f>
        <v>487.04124684635974</v>
      </c>
      <c r="DU121" s="62">
        <f t="shared" si="98"/>
        <v>306.61893266146666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2.1432002147918432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2.1432002147918432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>
        <f>EJ121*VLOOKUP('Données projet'!$B$15,Paramètres!$A$1:$I$89,3,0)*VLOOKUP('Données projet'!$B$15,Paramètres!$A$1:$I$89,5,0)</f>
        <v>0</v>
      </c>
      <c r="EL121" s="14" t="e">
        <f t="shared" si="99"/>
        <v>#NUM!</v>
      </c>
      <c r="EM121" s="22" t="e">
        <f t="shared" si="73"/>
        <v>#NUM!</v>
      </c>
      <c r="EN121" s="62" t="e">
        <f t="shared" si="74"/>
        <v>#NUM!</v>
      </c>
      <c r="EO121" s="62">
        <f ca="1">AVERAGE(OFFSET($EN$3,0,0,'Données projet'!$E$15+1,1))-AVERAGE(OFFSET($H$3,0,0,'Données projet'!$E$15+1,1))</f>
        <v>459.64120566196812</v>
      </c>
      <c r="EP121" s="62">
        <f t="shared" si="100"/>
        <v>290.39826583283588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2.0113109708046526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2.0113109708046526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>
        <f>FE121*VLOOKUP('Données projet'!$B$16,Paramètres!$A$1:$I$89,3,0)*VLOOKUP('Données projet'!$B$16,Paramètres!$A$1:$I$89,5,0)</f>
        <v>0</v>
      </c>
      <c r="FG121" s="14" t="e">
        <f t="shared" si="101"/>
        <v>#NUM!</v>
      </c>
      <c r="FH121" s="22" t="e">
        <f t="shared" si="76"/>
        <v>#NUM!</v>
      </c>
      <c r="FI121" s="62" t="e">
        <f t="shared" si="77"/>
        <v>#NUM!</v>
      </c>
      <c r="FJ121" s="62">
        <f ca="1">AVERAGE(OFFSET($FI$3,0,0,'Données projet'!$E$16+1,1))-AVERAGE(OFFSET($H$3,0,0,'Données projet'!$E$16+1,1))</f>
        <v>335.83558218229564</v>
      </c>
      <c r="FK121" s="62">
        <f t="shared" si="102"/>
        <v>217.08423061559648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0</v>
      </c>
      <c r="FR121" s="23">
        <f>EXP(-LN(2)/25)*FR120+(1-EXP(-LN(2)/25))/(LN(2)/25)*Calculateur!FM121*Calculateur!FO121*VLOOKUP('Données projet'!$B$16,Paramètres!$A$1:$I$89,3,0)*0.475*44/12</f>
        <v>0.72730073939337525</v>
      </c>
      <c r="FS121" s="23">
        <f>EXP(-LN(2)/2)*FS120+(1-EXP(-LN(2)/2))/(LN(2)/2)*FM121*FP121*VLOOKUP('Données projet'!$B$16,Paramètres!$A$1:$I$89,3,0)*0.475*44/12</f>
        <v>6.2833569491994082E-13</v>
      </c>
      <c r="FT121" s="24">
        <f t="shared" si="78"/>
        <v>0.72730073939400364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1.9895196601282805E-13</v>
      </c>
      <c r="O122" s="14">
        <f>N122*VLOOKUP('Données projet'!$B$9,Paramètres!$A$1:$I$89,3,0)*VLOOKUP('Données projet'!$B$9,Paramètres!$A$1:$I$89,5,0)</f>
        <v>1.738044375088066E-13</v>
      </c>
      <c r="P122" s="14">
        <f t="shared" si="87"/>
        <v>2.4483293633950478E-12</v>
      </c>
      <c r="Q122" s="22">
        <f t="shared" si="107"/>
        <v>4.566883036574213E-12</v>
      </c>
      <c r="R122" s="62">
        <f t="shared" si="55"/>
        <v>293.33333333333786</v>
      </c>
      <c r="S122" s="62">
        <f ca="1">AVERAGE(OFFSET($R$3,0,0,'Données projet'!$E$9+1,1))-AVERAGE(OFFSET($H$3,0,0,'Données projet'!$E$9+1,1))</f>
        <v>321.23599968992932</v>
      </c>
      <c r="T122" s="62">
        <f t="shared" si="88"/>
        <v>388.05195847800502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2.1690028594652553</v>
      </c>
      <c r="AB122" s="23">
        <f>EXP(-LN(2)/2)*AB121+(1-EXP(-LN(2)/2))/(LN(2)/2)*V122*Y122*VLOOKUP('Données projet'!$B$9,Paramètres!$A$1:$I$89,3,0)*0.475*44/12</f>
        <v>7.3421072862877417E-13</v>
      </c>
      <c r="AC122" s="24">
        <f t="shared" si="57"/>
        <v>2.1690028594659894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-5.6843418860808015E-14</v>
      </c>
      <c r="AJ122" s="14">
        <f>AI122*VLOOKUP('Données projet'!$B$10,Paramètres!$A$1:$I$89,3,0)*VLOOKUP('Données projet'!$B$10,Paramètres!$A$1:$I$89,5,0)</f>
        <v>-5.1431925385259088E-14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439.19854273764042</v>
      </c>
      <c r="AO122" s="62">
        <f t="shared" si="90"/>
        <v>278.21741231699929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0.77414970605282296</v>
      </c>
      <c r="AW122" s="23">
        <f>EXP(-LN(2)/2)*AW121+(1-EXP(-LN(2)/2))/(LN(2)/2)*AQ122*AT122*VLOOKUP('Données projet'!$B$10,Paramètres!$A$1:$I$89,3,0)*0.475*44/12</f>
        <v>5.9928895309042024E-13</v>
      </c>
      <c r="AX122" s="23">
        <f t="shared" si="60"/>
        <v>0.77414970605342226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-2.8421709430404007E-13</v>
      </c>
      <c r="BE122" s="14">
        <f>BD122*VLOOKUP('Données projet'!$B$11,Paramètres!$A$1:$I$89,3,0)*VLOOKUP('Données projet'!$B$11,Paramètres!$A$1:$I$89,5,0)</f>
        <v>-2.2612312022829427E-13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352.88510024787888</v>
      </c>
      <c r="BJ122" s="62">
        <f t="shared" si="92"/>
        <v>343.77208530767069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1.0420999881941597</v>
      </c>
      <c r="BR122" s="23">
        <f>EXP(-LN(2)/2)*BR121+(1-EXP(-LN(2)/2))/(LN(2)/2)*BL122*BO122*VLOOKUP('Données projet'!$B$11,Paramètres!$A$1:$I$89,3,0)*0.475*44/12</f>
        <v>1.5867474484306404E-14</v>
      </c>
      <c r="BS122" s="24">
        <f t="shared" si="63"/>
        <v>1.0420999881941755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-2.8421709430404007E-13</v>
      </c>
      <c r="BZ122" s="14">
        <f>BY122*VLOOKUP('Données projet'!$B$12,Paramètres!$A$1:$I$89,3,0)*VLOOKUP('Données projet'!$B$12,Paramètres!$A$1:$I$89,5,0)</f>
        <v>-2.0838797354372215E-13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328.10411227536315</v>
      </c>
      <c r="CE122" s="62">
        <f t="shared" si="94"/>
        <v>320.24200483294322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1.5579296086590886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1.5579296086590886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5.6843418860808015E-14</v>
      </c>
      <c r="CU122" s="18">
        <f>CT122*VLOOKUP('Données projet'!$B$13,Paramètres!$A$1:$I$89,3,0)*VLOOKUP('Données projet'!$B$13,Paramètres!$A$1:$I$89,5,0)</f>
        <v>4.4337866711430253E-14</v>
      </c>
      <c r="CV122" s="14">
        <f t="shared" si="95"/>
        <v>7.3222115536967035E-13</v>
      </c>
      <c r="CW122" s="22">
        <f t="shared" si="67"/>
        <v>1.3525069634579169E-12</v>
      </c>
      <c r="CX122" s="62">
        <f t="shared" si="68"/>
        <v>293.33333333333468</v>
      </c>
      <c r="CY122" s="62">
        <f ca="1">AVERAGE(OFFSET($CX$3,0,0,'Données projet'!$E$13+1,1))-AVERAGE(OFFSET($H$3,0,0,'Données projet'!$E$13+1,1))</f>
        <v>288.82868507674738</v>
      </c>
      <c r="CZ122" s="62">
        <f t="shared" si="96"/>
        <v>283.48738729114024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1.751773138723576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1.751773138723576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>
        <f>DO122*VLOOKUP('Données projet'!$B$14,Paramètres!$A$1:$I$89,3,0)*VLOOKUP('Données projet'!$B$14,Paramètres!$A$1:$I$89,5,0)</f>
        <v>0</v>
      </c>
      <c r="DQ122" s="14" t="e">
        <f t="shared" si="97"/>
        <v>#NUM!</v>
      </c>
      <c r="DR122" s="22" t="e">
        <f t="shared" si="70"/>
        <v>#NUM!</v>
      </c>
      <c r="DS122" s="62" t="e">
        <f t="shared" si="71"/>
        <v>#NUM!</v>
      </c>
      <c r="DT122" s="62">
        <f ca="1">AVERAGE(OFFSET($DS$3,0,0,'Données projet'!$E$14+1,1))-AVERAGE(OFFSET($H$3,0,0,'Données projet'!$E$14+1,1))</f>
        <v>487.04124684635974</v>
      </c>
      <c r="DU122" s="62">
        <f t="shared" si="98"/>
        <v>306.61893266146666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2.1011733658028287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2.1011733658028287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>
        <f>EJ122*VLOOKUP('Données projet'!$B$15,Paramètres!$A$1:$I$89,3,0)*VLOOKUP('Données projet'!$B$15,Paramètres!$A$1:$I$89,5,0)</f>
        <v>0</v>
      </c>
      <c r="EL122" s="14" t="e">
        <f t="shared" si="99"/>
        <v>#NUM!</v>
      </c>
      <c r="EM122" s="22" t="e">
        <f t="shared" si="73"/>
        <v>#NUM!</v>
      </c>
      <c r="EN122" s="62" t="e">
        <f t="shared" si="74"/>
        <v>#NUM!</v>
      </c>
      <c r="EO122" s="62">
        <f ca="1">AVERAGE(OFFSET($EN$3,0,0,'Données projet'!$E$15+1,1))-AVERAGE(OFFSET($H$3,0,0,'Données projet'!$E$15+1,1))</f>
        <v>459.64120566196812</v>
      </c>
      <c r="EP122" s="62">
        <f t="shared" si="100"/>
        <v>290.39826583283588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1.9718703894457312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1.9718703894457312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>
        <f>FE122*VLOOKUP('Données projet'!$B$16,Paramètres!$A$1:$I$89,3,0)*VLOOKUP('Données projet'!$B$16,Paramètres!$A$1:$I$89,5,0)</f>
        <v>0</v>
      </c>
      <c r="FG122" s="14" t="e">
        <f t="shared" si="101"/>
        <v>#NUM!</v>
      </c>
      <c r="FH122" s="22" t="e">
        <f t="shared" si="76"/>
        <v>#NUM!</v>
      </c>
      <c r="FI122" s="62" t="e">
        <f t="shared" si="77"/>
        <v>#NUM!</v>
      </c>
      <c r="FJ122" s="62">
        <f ca="1">AVERAGE(OFFSET($FI$3,0,0,'Données projet'!$E$16+1,1))-AVERAGE(OFFSET($H$3,0,0,'Données projet'!$E$16+1,1))</f>
        <v>335.83558218229564</v>
      </c>
      <c r="FK122" s="62">
        <f t="shared" si="102"/>
        <v>217.08423061559648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0</v>
      </c>
      <c r="FR122" s="23">
        <f>EXP(-LN(2)/25)*FR121+(1-EXP(-LN(2)/25))/(LN(2)/25)*Calculateur!FM122*Calculateur!FO122*VLOOKUP('Données projet'!$B$16,Paramètres!$A$1:$I$89,3,0)*0.475*44/12</f>
        <v>0.70741266242757983</v>
      </c>
      <c r="FS122" s="23">
        <f>EXP(-LN(2)/2)*FS121+(1-EXP(-LN(2)/2))/(LN(2)/2)*FM122*FP122*VLOOKUP('Données projet'!$B$16,Paramètres!$A$1:$I$89,3,0)*0.475*44/12</f>
        <v>4.4430043073945188E-13</v>
      </c>
      <c r="FT122" s="24">
        <f t="shared" si="78"/>
        <v>0.70741266242802414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1.9895196601282805E-13</v>
      </c>
      <c r="O123" s="14">
        <f>N123*VLOOKUP('Données projet'!$B$9,Paramètres!$A$1:$I$89,3,0)*VLOOKUP('Données projet'!$B$9,Paramètres!$A$1:$I$89,5,0)</f>
        <v>1.738044375088066E-13</v>
      </c>
      <c r="P123" s="14">
        <f t="shared" si="87"/>
        <v>2.4483293633950478E-12</v>
      </c>
      <c r="Q123" s="22">
        <f t="shared" si="107"/>
        <v>4.566883036574213E-12</v>
      </c>
      <c r="R123" s="62">
        <f t="shared" si="55"/>
        <v>293.33333333333786</v>
      </c>
      <c r="S123" s="62">
        <f ca="1">AVERAGE(OFFSET($R$3,0,0,'Données projet'!$E$9+1,1))-AVERAGE(OFFSET($H$3,0,0,'Données projet'!$E$9+1,1))</f>
        <v>321.23599968992932</v>
      </c>
      <c r="T123" s="62">
        <f t="shared" si="88"/>
        <v>388.05195847800502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2.1096913622102749</v>
      </c>
      <c r="AB123" s="23">
        <f>EXP(-LN(2)/2)*AB122+(1-EXP(-LN(2)/2))/(LN(2)/2)*V123*Y123*VLOOKUP('Données projet'!$B$9,Paramètres!$A$1:$I$89,3,0)*0.475*44/12</f>
        <v>5.1916538503332223E-13</v>
      </c>
      <c r="AC123" s="24">
        <f t="shared" si="57"/>
        <v>2.109691362210794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-5.6843418860808015E-14</v>
      </c>
      <c r="AJ123" s="14">
        <f>AI123*VLOOKUP('Données projet'!$B$10,Paramètres!$A$1:$I$89,3,0)*VLOOKUP('Données projet'!$B$10,Paramètres!$A$1:$I$89,5,0)</f>
        <v>-5.1431925385259088E-14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439.19854273764042</v>
      </c>
      <c r="AO123" s="62">
        <f t="shared" si="90"/>
        <v>278.21741231699929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0.7529805416300448</v>
      </c>
      <c r="AW123" s="23">
        <f>EXP(-LN(2)/2)*AW122+(1-EXP(-LN(2)/2))/(LN(2)/2)*AQ123*AT123*VLOOKUP('Données projet'!$B$10,Paramètres!$A$1:$I$89,3,0)*0.475*44/12</f>
        <v>4.2376128262042293E-13</v>
      </c>
      <c r="AX123" s="23">
        <f t="shared" si="60"/>
        <v>0.75298054163046857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-2.8421709430404007E-13</v>
      </c>
      <c r="BE123" s="14">
        <f>BD123*VLOOKUP('Données projet'!$B$11,Paramètres!$A$1:$I$89,3,0)*VLOOKUP('Données projet'!$B$11,Paramètres!$A$1:$I$89,5,0)</f>
        <v>-2.2612312022829427E-13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352.88510024787888</v>
      </c>
      <c r="BJ123" s="62">
        <f t="shared" si="92"/>
        <v>343.77208530767069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1.0136037092153338</v>
      </c>
      <c r="BR123" s="23">
        <f>EXP(-LN(2)/2)*BR122+(1-EXP(-LN(2)/2))/(LN(2)/2)*BL123*BO123*VLOOKUP('Données projet'!$B$11,Paramètres!$A$1:$I$89,3,0)*0.475*44/12</f>
        <v>1.1219998808157575E-14</v>
      </c>
      <c r="BS123" s="24">
        <f t="shared" si="63"/>
        <v>1.0136037092153451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-2.8421709430404007E-13</v>
      </c>
      <c r="BZ123" s="14">
        <f>BY123*VLOOKUP('Données projet'!$B$12,Paramètres!$A$1:$I$89,3,0)*VLOOKUP('Données projet'!$B$12,Paramètres!$A$1:$I$89,5,0)</f>
        <v>-2.0838797354372215E-13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328.10411227536315</v>
      </c>
      <c r="CE123" s="62">
        <f t="shared" si="94"/>
        <v>320.24200483294322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1.5273795592765165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1.5273795592765165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5.6843418860808015E-14</v>
      </c>
      <c r="CU123" s="18">
        <f>CT123*VLOOKUP('Données projet'!$B$13,Paramètres!$A$1:$I$89,3,0)*VLOOKUP('Données projet'!$B$13,Paramètres!$A$1:$I$89,5,0)</f>
        <v>4.4337866711430253E-14</v>
      </c>
      <c r="CV123" s="14">
        <f t="shared" si="95"/>
        <v>7.3222115536967035E-13</v>
      </c>
      <c r="CW123" s="22">
        <f t="shared" si="67"/>
        <v>1.3525069634579169E-12</v>
      </c>
      <c r="CX123" s="62">
        <f t="shared" si="68"/>
        <v>293.33333333333468</v>
      </c>
      <c r="CY123" s="62">
        <f ca="1">AVERAGE(OFFSET($CX$3,0,0,'Données projet'!$E$13+1,1))-AVERAGE(OFFSET($H$3,0,0,'Données projet'!$E$13+1,1))</f>
        <v>288.82868507674738</v>
      </c>
      <c r="CZ123" s="62">
        <f t="shared" si="96"/>
        <v>283.48738729114024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1.7174219359493181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1.7174219359493181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>
        <f>DO123*VLOOKUP('Données projet'!$B$14,Paramètres!$A$1:$I$89,3,0)*VLOOKUP('Données projet'!$B$14,Paramètres!$A$1:$I$89,5,0)</f>
        <v>0</v>
      </c>
      <c r="DQ123" s="14" t="e">
        <f t="shared" si="97"/>
        <v>#NUM!</v>
      </c>
      <c r="DR123" s="22" t="e">
        <f t="shared" si="70"/>
        <v>#NUM!</v>
      </c>
      <c r="DS123" s="62" t="e">
        <f t="shared" si="71"/>
        <v>#NUM!</v>
      </c>
      <c r="DT123" s="62">
        <f ca="1">AVERAGE(OFFSET($DS$3,0,0,'Données projet'!$E$14+1,1))-AVERAGE(OFFSET($H$3,0,0,'Données projet'!$E$14+1,1))</f>
        <v>487.04124684635974</v>
      </c>
      <c r="DU123" s="62">
        <f t="shared" si="98"/>
        <v>306.61893266146666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2.0599706376886417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2.0599706376886417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>
        <f>EJ123*VLOOKUP('Données projet'!$B$15,Paramètres!$A$1:$I$89,3,0)*VLOOKUP('Données projet'!$B$15,Paramètres!$A$1:$I$89,5,0)</f>
        <v>0</v>
      </c>
      <c r="EL123" s="14" t="e">
        <f t="shared" si="99"/>
        <v>#NUM!</v>
      </c>
      <c r="EM123" s="22" t="e">
        <f t="shared" si="73"/>
        <v>#NUM!</v>
      </c>
      <c r="EN123" s="62" t="e">
        <f t="shared" si="74"/>
        <v>#NUM!</v>
      </c>
      <c r="EO123" s="62">
        <f ca="1">AVERAGE(OFFSET($EN$3,0,0,'Données projet'!$E$15+1,1))-AVERAGE(OFFSET($H$3,0,0,'Données projet'!$E$15+1,1))</f>
        <v>459.64120566196812</v>
      </c>
      <c r="EP123" s="62">
        <f t="shared" si="100"/>
        <v>290.39826583283588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1.933203213830879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1.933203213830879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>
        <f>FE123*VLOOKUP('Données projet'!$B$16,Paramètres!$A$1:$I$89,3,0)*VLOOKUP('Données projet'!$B$16,Paramètres!$A$1:$I$89,5,0)</f>
        <v>0</v>
      </c>
      <c r="FG123" s="14" t="e">
        <f t="shared" si="101"/>
        <v>#NUM!</v>
      </c>
      <c r="FH123" s="22" t="e">
        <f t="shared" si="76"/>
        <v>#NUM!</v>
      </c>
      <c r="FI123" s="62" t="e">
        <f t="shared" si="77"/>
        <v>#NUM!</v>
      </c>
      <c r="FJ123" s="62">
        <f ca="1">AVERAGE(OFFSET($FI$3,0,0,'Données projet'!$E$16+1,1))-AVERAGE(OFFSET($H$3,0,0,'Données projet'!$E$16+1,1))</f>
        <v>335.83558218229564</v>
      </c>
      <c r="FK123" s="62">
        <f t="shared" si="102"/>
        <v>217.08423061559648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0</v>
      </c>
      <c r="FR123" s="23">
        <f>EXP(-LN(2)/25)*FR122+(1-EXP(-LN(2)/25))/(LN(2)/25)*Calculateur!FM123*Calculateur!FO123*VLOOKUP('Données projet'!$B$16,Paramètres!$A$1:$I$89,3,0)*0.475*44/12</f>
        <v>0.68806842597228257</v>
      </c>
      <c r="FS123" s="23">
        <f>EXP(-LN(2)/2)*FS122+(1-EXP(-LN(2)/2))/(LN(2)/2)*FM123*FP123*VLOOKUP('Données projet'!$B$16,Paramètres!$A$1:$I$89,3,0)*0.475*44/12</f>
        <v>3.1416784745997046E-13</v>
      </c>
      <c r="FT123" s="24">
        <f t="shared" si="78"/>
        <v>0.68806842597259676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1.9895196601282805E-13</v>
      </c>
      <c r="O124" s="14">
        <f>N124*VLOOKUP('Données projet'!$B$9,Paramètres!$A$1:$I$89,3,0)*VLOOKUP('Données projet'!$B$9,Paramètres!$A$1:$I$89,5,0)</f>
        <v>1.738044375088066E-13</v>
      </c>
      <c r="P124" s="14">
        <f t="shared" si="87"/>
        <v>2.4483293633950478E-12</v>
      </c>
      <c r="Q124" s="22">
        <f t="shared" si="107"/>
        <v>4.566883036574213E-12</v>
      </c>
      <c r="R124" s="62">
        <f t="shared" si="55"/>
        <v>293.33333333333786</v>
      </c>
      <c r="S124" s="62">
        <f ca="1">AVERAGE(OFFSET($R$3,0,0,'Données projet'!$E$9+1,1))-AVERAGE(OFFSET($H$3,0,0,'Données projet'!$E$9+1,1))</f>
        <v>321.23599968992932</v>
      </c>
      <c r="T124" s="62">
        <f t="shared" si="88"/>
        <v>388.05195847800502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2.0520017409667881</v>
      </c>
      <c r="AB124" s="23">
        <f>EXP(-LN(2)/2)*AB123+(1-EXP(-LN(2)/2))/(LN(2)/2)*V124*Y124*VLOOKUP('Données projet'!$B$9,Paramètres!$A$1:$I$89,3,0)*0.475*44/12</f>
        <v>3.6710536431438709E-13</v>
      </c>
      <c r="AC124" s="24">
        <f t="shared" si="57"/>
        <v>2.0520017409671554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-5.6843418860808015E-14</v>
      </c>
      <c r="AJ124" s="14">
        <f>AI124*VLOOKUP('Données projet'!$B$10,Paramètres!$A$1:$I$89,3,0)*VLOOKUP('Données projet'!$B$10,Paramètres!$A$1:$I$89,5,0)</f>
        <v>-5.1431925385259088E-14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439.19854273764042</v>
      </c>
      <c r="AO124" s="62">
        <f t="shared" si="90"/>
        <v>278.21741231699929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0.73239024912164552</v>
      </c>
      <c r="AW124" s="23">
        <f>EXP(-LN(2)/2)*AW123+(1-EXP(-LN(2)/2))/(LN(2)/2)*AQ124*AT124*VLOOKUP('Données projet'!$B$10,Paramètres!$A$1:$I$89,3,0)*0.475*44/12</f>
        <v>2.9964447654521012E-13</v>
      </c>
      <c r="AX124" s="23">
        <f t="shared" si="60"/>
        <v>0.73239024912194517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-2.8421709430404007E-13</v>
      </c>
      <c r="BE124" s="14">
        <f>BD124*VLOOKUP('Données projet'!$B$11,Paramètres!$A$1:$I$89,3,0)*VLOOKUP('Données projet'!$B$11,Paramètres!$A$1:$I$89,5,0)</f>
        <v>-2.2612312022829427E-13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352.88510024787888</v>
      </c>
      <c r="BJ124" s="62">
        <f t="shared" si="92"/>
        <v>343.77208530767069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0.98588666248373813</v>
      </c>
      <c r="BR124" s="23">
        <f>EXP(-LN(2)/2)*BR123+(1-EXP(-LN(2)/2))/(LN(2)/2)*BL124*BO124*VLOOKUP('Données projet'!$B$11,Paramètres!$A$1:$I$89,3,0)*0.475*44/12</f>
        <v>7.9337372421532021E-15</v>
      </c>
      <c r="BS124" s="24">
        <f t="shared" si="63"/>
        <v>0.98588666248374601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-2.8421709430404007E-13</v>
      </c>
      <c r="BZ124" s="14">
        <f>BY124*VLOOKUP('Données projet'!$B$12,Paramètres!$A$1:$I$89,3,0)*VLOOKUP('Données projet'!$B$12,Paramètres!$A$1:$I$89,5,0)</f>
        <v>-2.0838797354372215E-13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328.10411227536315</v>
      </c>
      <c r="CE124" s="62">
        <f t="shared" si="94"/>
        <v>320.24200483294322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1.4974285777286462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1.4974285777286462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5.6843418860808015E-14</v>
      </c>
      <c r="CU124" s="18">
        <f>CT124*VLOOKUP('Données projet'!$B$13,Paramètres!$A$1:$I$89,3,0)*VLOOKUP('Données projet'!$B$13,Paramètres!$A$1:$I$89,5,0)</f>
        <v>4.4337866711430253E-14</v>
      </c>
      <c r="CV124" s="14">
        <f t="shared" si="95"/>
        <v>7.3222115536967035E-13</v>
      </c>
      <c r="CW124" s="22">
        <f t="shared" si="67"/>
        <v>1.3525069634579169E-12</v>
      </c>
      <c r="CX124" s="62">
        <f t="shared" si="68"/>
        <v>293.33333333333468</v>
      </c>
      <c r="CY124" s="62">
        <f ca="1">AVERAGE(OFFSET($CX$3,0,0,'Données projet'!$E$13+1,1))-AVERAGE(OFFSET($H$3,0,0,'Données projet'!$E$13+1,1))</f>
        <v>288.82868507674738</v>
      </c>
      <c r="CZ124" s="62">
        <f t="shared" si="96"/>
        <v>283.48738729114024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1.6837443393092986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1.6837443393092986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>
        <f>DO124*VLOOKUP('Données projet'!$B$14,Paramètres!$A$1:$I$89,3,0)*VLOOKUP('Données projet'!$B$14,Paramètres!$A$1:$I$89,5,0)</f>
        <v>0</v>
      </c>
      <c r="DQ124" s="14" t="e">
        <f t="shared" si="97"/>
        <v>#NUM!</v>
      </c>
      <c r="DR124" s="22" t="e">
        <f t="shared" si="70"/>
        <v>#NUM!</v>
      </c>
      <c r="DS124" s="62" t="e">
        <f t="shared" si="71"/>
        <v>#NUM!</v>
      </c>
      <c r="DT124" s="62">
        <f ca="1">AVERAGE(OFFSET($DS$3,0,0,'Données projet'!$E$14+1,1))-AVERAGE(OFFSET($H$3,0,0,'Données projet'!$E$14+1,1))</f>
        <v>487.04124684635974</v>
      </c>
      <c r="DU124" s="62">
        <f t="shared" si="98"/>
        <v>306.61893266146666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2.0195758699415913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2.0195758699415913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>
        <f>EJ124*VLOOKUP('Données projet'!$B$15,Paramètres!$A$1:$I$89,3,0)*VLOOKUP('Données projet'!$B$15,Paramètres!$A$1:$I$89,5,0)</f>
        <v>0</v>
      </c>
      <c r="EL124" s="14" t="e">
        <f t="shared" si="99"/>
        <v>#NUM!</v>
      </c>
      <c r="EM124" s="22" t="e">
        <f t="shared" si="73"/>
        <v>#NUM!</v>
      </c>
      <c r="EN124" s="62" t="e">
        <f t="shared" si="74"/>
        <v>#NUM!</v>
      </c>
      <c r="EO124" s="62">
        <f ca="1">AVERAGE(OFFSET($EN$3,0,0,'Données projet'!$E$15+1,1))-AVERAGE(OFFSET($H$3,0,0,'Données projet'!$E$15+1,1))</f>
        <v>459.64120566196812</v>
      </c>
      <c r="EP124" s="62">
        <f t="shared" si="100"/>
        <v>290.39826583283588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1.8952942779451858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1.8952942779451858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>
        <f>FE124*VLOOKUP('Données projet'!$B$16,Paramètres!$A$1:$I$89,3,0)*VLOOKUP('Données projet'!$B$16,Paramètres!$A$1:$I$89,5,0)</f>
        <v>0</v>
      </c>
      <c r="FG124" s="14" t="e">
        <f t="shared" si="101"/>
        <v>#NUM!</v>
      </c>
      <c r="FH124" s="22" t="e">
        <f t="shared" si="76"/>
        <v>#NUM!</v>
      </c>
      <c r="FI124" s="62" t="e">
        <f t="shared" si="77"/>
        <v>#NUM!</v>
      </c>
      <c r="FJ124" s="62">
        <f ca="1">AVERAGE(OFFSET($FI$3,0,0,'Données projet'!$E$16+1,1))-AVERAGE(OFFSET($H$3,0,0,'Données projet'!$E$16+1,1))</f>
        <v>335.83558218229564</v>
      </c>
      <c r="FK124" s="62">
        <f t="shared" si="102"/>
        <v>217.08423061559648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0</v>
      </c>
      <c r="FR124" s="23">
        <f>EXP(-LN(2)/25)*FR123+(1-EXP(-LN(2)/25))/(LN(2)/25)*Calculateur!FM124*Calculateur!FO124*VLOOKUP('Données projet'!$B$16,Paramètres!$A$1:$I$89,3,0)*0.475*44/12</f>
        <v>0.66925315868012458</v>
      </c>
      <c r="FS124" s="23">
        <f>EXP(-LN(2)/2)*FS123+(1-EXP(-LN(2)/2))/(LN(2)/2)*FM124*FP124*VLOOKUP('Données projet'!$B$16,Paramètres!$A$1:$I$89,3,0)*0.475*44/12</f>
        <v>2.2215021536972599E-13</v>
      </c>
      <c r="FT124" s="24">
        <f t="shared" si="78"/>
        <v>0.66925315868034674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1.9895196601282805E-13</v>
      </c>
      <c r="O125" s="14">
        <f>N125*VLOOKUP('Données projet'!$B$9,Paramètres!$A$1:$I$89,3,0)*VLOOKUP('Données projet'!$B$9,Paramètres!$A$1:$I$89,5,0)</f>
        <v>1.738044375088066E-13</v>
      </c>
      <c r="P125" s="14">
        <f t="shared" si="87"/>
        <v>2.4483293633950478E-12</v>
      </c>
      <c r="Q125" s="22">
        <f t="shared" si="107"/>
        <v>4.566883036574213E-12</v>
      </c>
      <c r="R125" s="62">
        <f t="shared" si="55"/>
        <v>293.33333333333786</v>
      </c>
      <c r="S125" s="62">
        <f ca="1">AVERAGE(OFFSET($R$3,0,0,'Données projet'!$E$9+1,1))-AVERAGE(OFFSET($H$3,0,0,'Données projet'!$E$9+1,1))</f>
        <v>321.23599968992932</v>
      </c>
      <c r="T125" s="62">
        <f t="shared" si="88"/>
        <v>388.05195847800502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1.9958896454499697</v>
      </c>
      <c r="AB125" s="23">
        <f>EXP(-LN(2)/2)*AB124+(1-EXP(-LN(2)/2))/(LN(2)/2)*V125*Y125*VLOOKUP('Données projet'!$B$9,Paramètres!$A$1:$I$89,3,0)*0.475*44/12</f>
        <v>2.5958269251666112E-13</v>
      </c>
      <c r="AC125" s="24">
        <f t="shared" si="57"/>
        <v>1.9958896454502293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-5.6843418860808015E-14</v>
      </c>
      <c r="AJ125" s="14">
        <f>AI125*VLOOKUP('Données projet'!$B$10,Paramètres!$A$1:$I$89,3,0)*VLOOKUP('Données projet'!$B$10,Paramètres!$A$1:$I$89,5,0)</f>
        <v>-5.1431925385259088E-14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439.19854273764042</v>
      </c>
      <c r="AO125" s="62">
        <f t="shared" si="90"/>
        <v>278.21741231699929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0.71236299924468482</v>
      </c>
      <c r="AW125" s="23">
        <f>EXP(-LN(2)/2)*AW124+(1-EXP(-LN(2)/2))/(LN(2)/2)*AQ125*AT125*VLOOKUP('Données projet'!$B$10,Paramètres!$A$1:$I$89,3,0)*0.475*44/12</f>
        <v>2.1188064131021147E-13</v>
      </c>
      <c r="AX125" s="23">
        <f t="shared" si="60"/>
        <v>0.71236299924489666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-2.8421709430404007E-13</v>
      </c>
      <c r="BE125" s="14">
        <f>BD125*VLOOKUP('Données projet'!$B$11,Paramètres!$A$1:$I$89,3,0)*VLOOKUP('Données projet'!$B$11,Paramètres!$A$1:$I$89,5,0)</f>
        <v>-2.2612312022829427E-13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352.88510024787888</v>
      </c>
      <c r="BJ125" s="62">
        <f t="shared" si="92"/>
        <v>343.77208530767069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0.95892753985259405</v>
      </c>
      <c r="BR125" s="23">
        <f>EXP(-LN(2)/2)*BR124+(1-EXP(-LN(2)/2))/(LN(2)/2)*BL125*BO125*VLOOKUP('Données projet'!$B$11,Paramètres!$A$1:$I$89,3,0)*0.475*44/12</f>
        <v>5.6099994040787873E-15</v>
      </c>
      <c r="BS125" s="24">
        <f t="shared" si="63"/>
        <v>0.95892753985259971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-2.8421709430404007E-13</v>
      </c>
      <c r="BZ125" s="14">
        <f>BY125*VLOOKUP('Données projet'!$B$12,Paramètres!$A$1:$I$89,3,0)*VLOOKUP('Données projet'!$B$12,Paramètres!$A$1:$I$89,5,0)</f>
        <v>-2.0838797354372215E-13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328.10411227536315</v>
      </c>
      <c r="CE125" s="62">
        <f t="shared" si="94"/>
        <v>320.24200483294322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1.468064916660635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1.468064916660635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5.6843418860808015E-14</v>
      </c>
      <c r="CU125" s="18">
        <f>CT125*VLOOKUP('Données projet'!$B$13,Paramètres!$A$1:$I$89,3,0)*VLOOKUP('Données projet'!$B$13,Paramètres!$A$1:$I$89,5,0)</f>
        <v>4.4337866711430253E-14</v>
      </c>
      <c r="CV125" s="14">
        <f t="shared" si="95"/>
        <v>7.3222115536967035E-13</v>
      </c>
      <c r="CW125" s="22">
        <f t="shared" si="67"/>
        <v>1.3525069634579169E-12</v>
      </c>
      <c r="CX125" s="62">
        <f t="shared" si="68"/>
        <v>293.33333333333468</v>
      </c>
      <c r="CY125" s="62">
        <f ca="1">AVERAGE(OFFSET($CX$3,0,0,'Données projet'!$E$13+1,1))-AVERAGE(OFFSET($H$3,0,0,'Données projet'!$E$13+1,1))</f>
        <v>288.82868507674738</v>
      </c>
      <c r="CZ125" s="62">
        <f t="shared" si="96"/>
        <v>283.48738729114024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1.6507271397980841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1.6507271397980841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>
        <f>DO125*VLOOKUP('Données projet'!$B$14,Paramètres!$A$1:$I$89,3,0)*VLOOKUP('Données projet'!$B$14,Paramètres!$A$1:$I$89,5,0)</f>
        <v>0</v>
      </c>
      <c r="DQ125" s="14" t="e">
        <f t="shared" si="97"/>
        <v>#NUM!</v>
      </c>
      <c r="DR125" s="22" t="e">
        <f t="shared" si="70"/>
        <v>#NUM!</v>
      </c>
      <c r="DS125" s="62" t="e">
        <f t="shared" si="71"/>
        <v>#NUM!</v>
      </c>
      <c r="DT125" s="62">
        <f ca="1">AVERAGE(OFFSET($DS$3,0,0,'Données projet'!$E$14+1,1))-AVERAGE(OFFSET($H$3,0,0,'Données projet'!$E$14+1,1))</f>
        <v>487.04124684635974</v>
      </c>
      <c r="DU125" s="62">
        <f t="shared" si="98"/>
        <v>306.61893266146666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1.9799732189516852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1.9799732189516852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>
        <f>EJ125*VLOOKUP('Données projet'!$B$15,Paramètres!$A$1:$I$89,3,0)*VLOOKUP('Données projet'!$B$15,Paramètres!$A$1:$I$89,5,0)</f>
        <v>0</v>
      </c>
      <c r="EL125" s="14" t="e">
        <f t="shared" si="99"/>
        <v>#NUM!</v>
      </c>
      <c r="EM125" s="22" t="e">
        <f t="shared" si="73"/>
        <v>#NUM!</v>
      </c>
      <c r="EN125" s="62" t="e">
        <f t="shared" si="74"/>
        <v>#NUM!</v>
      </c>
      <c r="EO125" s="62">
        <f ca="1">AVERAGE(OFFSET($EN$3,0,0,'Données projet'!$E$15+1,1))-AVERAGE(OFFSET($H$3,0,0,'Données projet'!$E$15+1,1))</f>
        <v>459.64120566196812</v>
      </c>
      <c r="EP125" s="62">
        <f t="shared" si="100"/>
        <v>290.39826583283588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1.8581287131700432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1.8581287131700432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>
        <f>FE125*VLOOKUP('Données projet'!$B$16,Paramètres!$A$1:$I$89,3,0)*VLOOKUP('Données projet'!$B$16,Paramètres!$A$1:$I$89,5,0)</f>
        <v>0</v>
      </c>
      <c r="FG125" s="14" t="e">
        <f t="shared" si="101"/>
        <v>#NUM!</v>
      </c>
      <c r="FH125" s="22" t="e">
        <f t="shared" si="76"/>
        <v>#NUM!</v>
      </c>
      <c r="FI125" s="62" t="e">
        <f t="shared" si="77"/>
        <v>#NUM!</v>
      </c>
      <c r="FJ125" s="62">
        <f ca="1">AVERAGE(OFFSET($FI$3,0,0,'Données projet'!$E$16+1,1))-AVERAGE(OFFSET($H$3,0,0,'Données projet'!$E$16+1,1))</f>
        <v>335.83558218229564</v>
      </c>
      <c r="FK125" s="62">
        <f t="shared" si="102"/>
        <v>217.08423061559648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0</v>
      </c>
      <c r="FR125" s="23">
        <f>EXP(-LN(2)/25)*FR124+(1-EXP(-LN(2)/25))/(LN(2)/25)*Calculateur!FM125*Calculateur!FO125*VLOOKUP('Données projet'!$B$16,Paramètres!$A$1:$I$89,3,0)*0.475*44/12</f>
        <v>0.65095239586152254</v>
      </c>
      <c r="FS125" s="23">
        <f>EXP(-LN(2)/2)*FS124+(1-EXP(-LN(2)/2))/(LN(2)/2)*FM125*FP125*VLOOKUP('Données projet'!$B$16,Paramètres!$A$1:$I$89,3,0)*0.475*44/12</f>
        <v>1.5708392372998525E-13</v>
      </c>
      <c r="FT125" s="24">
        <f t="shared" si="78"/>
        <v>0.65095239586167963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1.9895196601282805E-13</v>
      </c>
      <c r="O126" s="14">
        <f>N126*VLOOKUP('Données projet'!$B$9,Paramètres!$A$1:$I$89,3,0)*VLOOKUP('Données projet'!$B$9,Paramètres!$A$1:$I$89,5,0)</f>
        <v>1.738044375088066E-13</v>
      </c>
      <c r="P126" s="14">
        <f t="shared" si="87"/>
        <v>2.4483293633950478E-12</v>
      </c>
      <c r="Q126" s="22">
        <f t="shared" si="107"/>
        <v>4.566883036574213E-12</v>
      </c>
      <c r="R126" s="62">
        <f t="shared" si="55"/>
        <v>293.33333333333786</v>
      </c>
      <c r="S126" s="62">
        <f ca="1">AVERAGE(OFFSET($R$3,0,0,'Données projet'!$E$9+1,1))-AVERAGE(OFFSET($H$3,0,0,'Données projet'!$E$9+1,1))</f>
        <v>321.23599968992932</v>
      </c>
      <c r="T126" s="62">
        <f t="shared" si="88"/>
        <v>388.05195847800502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1.9413119381358654</v>
      </c>
      <c r="AB126" s="23">
        <f>EXP(-LN(2)/2)*AB125+(1-EXP(-LN(2)/2))/(LN(2)/2)*V126*Y126*VLOOKUP('Données projet'!$B$9,Paramètres!$A$1:$I$89,3,0)*0.475*44/12</f>
        <v>1.8355268215719354E-13</v>
      </c>
      <c r="AC126" s="24">
        <f t="shared" si="57"/>
        <v>1.9413119381360491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-5.6843418860808015E-14</v>
      </c>
      <c r="AJ126" s="14">
        <f>AI126*VLOOKUP('Données projet'!$B$10,Paramètres!$A$1:$I$89,3,0)*VLOOKUP('Données projet'!$B$10,Paramètres!$A$1:$I$89,5,0)</f>
        <v>-5.1431925385259088E-14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439.19854273764042</v>
      </c>
      <c r="AO126" s="62">
        <f t="shared" si="90"/>
        <v>278.21741231699929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0.69288339556879697</v>
      </c>
      <c r="AW126" s="23">
        <f>EXP(-LN(2)/2)*AW125+(1-EXP(-LN(2)/2))/(LN(2)/2)*AQ126*AT126*VLOOKUP('Données projet'!$B$10,Paramètres!$A$1:$I$89,3,0)*0.475*44/12</f>
        <v>1.4982223827260506E-13</v>
      </c>
      <c r="AX126" s="23">
        <f t="shared" si="60"/>
        <v>0.69288339556894674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-2.8421709430404007E-13</v>
      </c>
      <c r="BE126" s="14">
        <f>BD126*VLOOKUP('Données projet'!$B$11,Paramètres!$A$1:$I$89,3,0)*VLOOKUP('Données projet'!$B$11,Paramètres!$A$1:$I$89,5,0)</f>
        <v>-2.2612312022829427E-13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352.88510024787888</v>
      </c>
      <c r="BJ126" s="62">
        <f t="shared" si="92"/>
        <v>343.77208530767069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0.93270561584751721</v>
      </c>
      <c r="BR126" s="23">
        <f>EXP(-LN(2)/2)*BR125+(1-EXP(-LN(2)/2))/(LN(2)/2)*BL126*BO126*VLOOKUP('Données projet'!$B$11,Paramètres!$A$1:$I$89,3,0)*0.475*44/12</f>
        <v>3.966868621076601E-15</v>
      </c>
      <c r="BS126" s="24">
        <f t="shared" si="63"/>
        <v>0.93270561584752121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-2.8421709430404007E-13</v>
      </c>
      <c r="BZ126" s="14">
        <f>BY126*VLOOKUP('Données projet'!$B$12,Paramètres!$A$1:$I$89,3,0)*VLOOKUP('Données projet'!$B$12,Paramètres!$A$1:$I$89,5,0)</f>
        <v>-2.0838797354372215E-13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328.10411227536315</v>
      </c>
      <c r="CE126" s="62">
        <f t="shared" si="94"/>
        <v>320.24200483294322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1.4392770590761026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1.4392770590761026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5.6843418860808015E-14</v>
      </c>
      <c r="CU126" s="18">
        <f>CT126*VLOOKUP('Données projet'!$B$13,Paramètres!$A$1:$I$89,3,0)*VLOOKUP('Données projet'!$B$13,Paramètres!$A$1:$I$89,5,0)</f>
        <v>4.4337866711430253E-14</v>
      </c>
      <c r="CV126" s="14">
        <f t="shared" si="95"/>
        <v>7.3222115536967035E-13</v>
      </c>
      <c r="CW126" s="22">
        <f t="shared" si="67"/>
        <v>1.3525069634579169E-12</v>
      </c>
      <c r="CX126" s="62">
        <f t="shared" si="68"/>
        <v>293.33333333333468</v>
      </c>
      <c r="CY126" s="62">
        <f ca="1">AVERAGE(OFFSET($CX$3,0,0,'Données projet'!$E$13+1,1))-AVERAGE(OFFSET($H$3,0,0,'Données projet'!$E$13+1,1))</f>
        <v>288.82868507674738</v>
      </c>
      <c r="CZ126" s="62">
        <f t="shared" si="96"/>
        <v>283.48738729114024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1.6183573874307813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1.6183573874307813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>
        <f>DO126*VLOOKUP('Données projet'!$B$14,Paramètres!$A$1:$I$89,3,0)*VLOOKUP('Données projet'!$B$14,Paramètres!$A$1:$I$89,5,0)</f>
        <v>0</v>
      </c>
      <c r="DQ126" s="14" t="e">
        <f t="shared" si="97"/>
        <v>#NUM!</v>
      </c>
      <c r="DR126" s="22" t="e">
        <f t="shared" si="70"/>
        <v>#NUM!</v>
      </c>
      <c r="DS126" s="62" t="e">
        <f t="shared" si="71"/>
        <v>#NUM!</v>
      </c>
      <c r="DT126" s="62">
        <f ca="1">AVERAGE(OFFSET($DS$3,0,0,'Données projet'!$E$14+1,1))-AVERAGE(OFFSET($H$3,0,0,'Données projet'!$E$14+1,1))</f>
        <v>487.04124684635974</v>
      </c>
      <c r="DU126" s="62">
        <f t="shared" si="98"/>
        <v>306.61893266146666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1.9411471517924592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1.9411471517924592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>
        <f>EJ126*VLOOKUP('Données projet'!$B$15,Paramètres!$A$1:$I$89,3,0)*VLOOKUP('Données projet'!$B$15,Paramètres!$A$1:$I$89,5,0)</f>
        <v>0</v>
      </c>
      <c r="EL126" s="14" t="e">
        <f t="shared" si="99"/>
        <v>#NUM!</v>
      </c>
      <c r="EM126" s="22" t="e">
        <f t="shared" si="73"/>
        <v>#NUM!</v>
      </c>
      <c r="EN126" s="62" t="e">
        <f t="shared" si="74"/>
        <v>#NUM!</v>
      </c>
      <c r="EO126" s="62">
        <f ca="1">AVERAGE(OFFSET($EN$3,0,0,'Données projet'!$E$15+1,1))-AVERAGE(OFFSET($H$3,0,0,'Données projet'!$E$15+1,1))</f>
        <v>459.64120566196812</v>
      </c>
      <c r="EP126" s="62">
        <f t="shared" si="100"/>
        <v>290.39826583283588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1.8216919424513851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1.8216919424513851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>
        <f>FE126*VLOOKUP('Données projet'!$B$16,Paramètres!$A$1:$I$89,3,0)*VLOOKUP('Données projet'!$B$16,Paramètres!$A$1:$I$89,5,0)</f>
        <v>0</v>
      </c>
      <c r="FG126" s="14" t="e">
        <f t="shared" si="101"/>
        <v>#NUM!</v>
      </c>
      <c r="FH126" s="22" t="e">
        <f t="shared" si="76"/>
        <v>#NUM!</v>
      </c>
      <c r="FI126" s="62" t="e">
        <f t="shared" si="77"/>
        <v>#NUM!</v>
      </c>
      <c r="FJ126" s="62">
        <f ca="1">AVERAGE(OFFSET($FI$3,0,0,'Données projet'!$E$16+1,1))-AVERAGE(OFFSET($H$3,0,0,'Données projet'!$E$16+1,1))</f>
        <v>335.83558218229564</v>
      </c>
      <c r="FK126" s="62">
        <f t="shared" si="102"/>
        <v>217.08423061559648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0</v>
      </c>
      <c r="FR126" s="23">
        <f>EXP(-LN(2)/25)*FR125+(1-EXP(-LN(2)/25))/(LN(2)/25)*Calculateur!FM126*Calculateur!FO126*VLOOKUP('Données projet'!$B$16,Paramètres!$A$1:$I$89,3,0)*0.475*44/12</f>
        <v>0.63315206836459048</v>
      </c>
      <c r="FS126" s="23">
        <f>EXP(-LN(2)/2)*FS125+(1-EXP(-LN(2)/2))/(LN(2)/2)*FM126*FP126*VLOOKUP('Données projet'!$B$16,Paramètres!$A$1:$I$89,3,0)*0.475*44/12</f>
        <v>1.1107510768486301E-13</v>
      </c>
      <c r="FT126" s="24">
        <f t="shared" si="78"/>
        <v>0.6331520683647015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1.9895196601282805E-13</v>
      </c>
      <c r="O127" s="14">
        <f>N127*VLOOKUP('Données projet'!$B$9,Paramètres!$A$1:$I$89,3,0)*VLOOKUP('Données projet'!$B$9,Paramètres!$A$1:$I$89,5,0)</f>
        <v>1.738044375088066E-13</v>
      </c>
      <c r="P127" s="14">
        <f t="shared" si="87"/>
        <v>2.4483293633950478E-12</v>
      </c>
      <c r="Q127" s="22">
        <f t="shared" si="107"/>
        <v>4.566883036574213E-12</v>
      </c>
      <c r="R127" s="62">
        <f t="shared" si="55"/>
        <v>293.33333333333786</v>
      </c>
      <c r="S127" s="62">
        <f ca="1">AVERAGE(OFFSET($R$3,0,0,'Données projet'!$E$9+1,1))-AVERAGE(OFFSET($H$3,0,0,'Données projet'!$E$9+1,1))</f>
        <v>321.23599968992932</v>
      </c>
      <c r="T127" s="62">
        <f t="shared" si="88"/>
        <v>388.05195847800502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1.8882266610983822</v>
      </c>
      <c r="AB127" s="23">
        <f>EXP(-LN(2)/2)*AB126+(1-EXP(-LN(2)/2))/(LN(2)/2)*V127*Y127*VLOOKUP('Données projet'!$B$9,Paramètres!$A$1:$I$89,3,0)*0.475*44/12</f>
        <v>1.2979134625833056E-13</v>
      </c>
      <c r="AC127" s="24">
        <f t="shared" si="57"/>
        <v>1.8882266610985121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-5.6843418860808015E-14</v>
      </c>
      <c r="AJ127" s="14">
        <f>AI127*VLOOKUP('Données projet'!$B$10,Paramètres!$A$1:$I$89,3,0)*VLOOKUP('Données projet'!$B$10,Paramètres!$A$1:$I$89,5,0)</f>
        <v>-5.1431925385259088E-14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439.19854273764042</v>
      </c>
      <c r="AO127" s="62">
        <f t="shared" si="90"/>
        <v>278.21741231699929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0.673936462679814</v>
      </c>
      <c r="AW127" s="23">
        <f>EXP(-LN(2)/2)*AW126+(1-EXP(-LN(2)/2))/(LN(2)/2)*AQ127*AT127*VLOOKUP('Données projet'!$B$10,Paramètres!$A$1:$I$89,3,0)*0.475*44/12</f>
        <v>1.0594032065510573E-13</v>
      </c>
      <c r="AX127" s="23">
        <f t="shared" si="60"/>
        <v>0.67393646267991991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-2.8421709430404007E-13</v>
      </c>
      <c r="BE127" s="14">
        <f>BD127*VLOOKUP('Données projet'!$B$11,Paramètres!$A$1:$I$89,3,0)*VLOOKUP('Données projet'!$B$11,Paramètres!$A$1:$I$89,5,0)</f>
        <v>-2.2612312022829427E-13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352.88510024787888</v>
      </c>
      <c r="BJ127" s="62">
        <f t="shared" si="92"/>
        <v>343.77208530767069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0.90720073173331028</v>
      </c>
      <c r="BR127" s="23">
        <f>EXP(-LN(2)/2)*BR126+(1-EXP(-LN(2)/2))/(LN(2)/2)*BL127*BO127*VLOOKUP('Données projet'!$B$11,Paramètres!$A$1:$I$89,3,0)*0.475*44/12</f>
        <v>2.8049997020393937E-15</v>
      </c>
      <c r="BS127" s="24">
        <f t="shared" si="63"/>
        <v>0.90720073173331306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-2.8421709430404007E-13</v>
      </c>
      <c r="BZ127" s="14">
        <f>BY127*VLOOKUP('Données projet'!$B$12,Paramètres!$A$1:$I$89,3,0)*VLOOKUP('Données projet'!$B$12,Paramètres!$A$1:$I$89,5,0)</f>
        <v>-2.0838797354372215E-13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328.10411227536315</v>
      </c>
      <c r="CE127" s="62">
        <f t="shared" si="94"/>
        <v>320.24200483294322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1.4110537138199435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1.4110537138199435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5.6843418860808015E-14</v>
      </c>
      <c r="CU127" s="18">
        <f>CT127*VLOOKUP('Données projet'!$B$13,Paramètres!$A$1:$I$89,3,0)*VLOOKUP('Données projet'!$B$13,Paramètres!$A$1:$I$89,5,0)</f>
        <v>4.4337866711430253E-14</v>
      </c>
      <c r="CV127" s="14">
        <f t="shared" si="95"/>
        <v>7.3222115536967035E-13</v>
      </c>
      <c r="CW127" s="22">
        <f t="shared" si="67"/>
        <v>1.3525069634579169E-12</v>
      </c>
      <c r="CX127" s="62">
        <f t="shared" si="68"/>
        <v>293.33333333333468</v>
      </c>
      <c r="CY127" s="62">
        <f ca="1">AVERAGE(OFFSET($CX$3,0,0,'Données projet'!$E$13+1,1))-AVERAGE(OFFSET($H$3,0,0,'Données projet'!$E$13+1,1))</f>
        <v>288.82868507674738</v>
      </c>
      <c r="CZ127" s="62">
        <f t="shared" si="96"/>
        <v>283.48738729114024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1.5866223861638018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1.5866223861638018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>
        <f>DO127*VLOOKUP('Données projet'!$B$14,Paramètres!$A$1:$I$89,3,0)*VLOOKUP('Données projet'!$B$14,Paramètres!$A$1:$I$89,5,0)</f>
        <v>0</v>
      </c>
      <c r="DQ127" s="14" t="e">
        <f t="shared" si="97"/>
        <v>#NUM!</v>
      </c>
      <c r="DR127" s="22" t="e">
        <f t="shared" si="70"/>
        <v>#NUM!</v>
      </c>
      <c r="DS127" s="62" t="e">
        <f t="shared" si="71"/>
        <v>#NUM!</v>
      </c>
      <c r="DT127" s="62">
        <f ca="1">AVERAGE(OFFSET($DS$3,0,0,'Données projet'!$E$14+1,1))-AVERAGE(OFFSET($H$3,0,0,'Données projet'!$E$14+1,1))</f>
        <v>487.04124684635974</v>
      </c>
      <c r="DU127" s="62">
        <f t="shared" si="98"/>
        <v>306.61893266146666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1.903082440128663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1.903082440128663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>
        <f>EJ127*VLOOKUP('Données projet'!$B$15,Paramètres!$A$1:$I$89,3,0)*VLOOKUP('Données projet'!$B$15,Paramètres!$A$1:$I$89,5,0)</f>
        <v>0</v>
      </c>
      <c r="EL127" s="14" t="e">
        <f t="shared" si="99"/>
        <v>#NUM!</v>
      </c>
      <c r="EM127" s="22" t="e">
        <f t="shared" si="73"/>
        <v>#NUM!</v>
      </c>
      <c r="EN127" s="62" t="e">
        <f t="shared" si="74"/>
        <v>#NUM!</v>
      </c>
      <c r="EO127" s="62">
        <f ca="1">AVERAGE(OFFSET($EN$3,0,0,'Données projet'!$E$15+1,1))-AVERAGE(OFFSET($H$3,0,0,'Données projet'!$E$15+1,1))</f>
        <v>459.64120566196812</v>
      </c>
      <c r="EP127" s="62">
        <f t="shared" si="100"/>
        <v>290.39826583283588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1.7859696745822842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1.7859696745822842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>
        <f>FE127*VLOOKUP('Données projet'!$B$16,Paramètres!$A$1:$I$89,3,0)*VLOOKUP('Données projet'!$B$16,Paramètres!$A$1:$I$89,5,0)</f>
        <v>0</v>
      </c>
      <c r="FG127" s="14" t="e">
        <f t="shared" si="101"/>
        <v>#NUM!</v>
      </c>
      <c r="FH127" s="22" t="e">
        <f t="shared" si="76"/>
        <v>#NUM!</v>
      </c>
      <c r="FI127" s="62" t="e">
        <f t="shared" si="77"/>
        <v>#NUM!</v>
      </c>
      <c r="FJ127" s="62">
        <f ca="1">AVERAGE(OFFSET($FI$3,0,0,'Données projet'!$E$16+1,1))-AVERAGE(OFFSET($H$3,0,0,'Données projet'!$E$16+1,1))</f>
        <v>335.83558218229564</v>
      </c>
      <c r="FK127" s="62">
        <f t="shared" si="102"/>
        <v>217.08423061559648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0</v>
      </c>
      <c r="FR127" s="23">
        <f>EXP(-LN(2)/25)*FR126+(1-EXP(-LN(2)/25))/(LN(2)/25)*Calculateur!FM127*Calculateur!FO127*VLOOKUP('Données projet'!$B$16,Paramètres!$A$1:$I$89,3,0)*0.475*44/12</f>
        <v>0.61583849175914052</v>
      </c>
      <c r="FS127" s="23">
        <f>EXP(-LN(2)/2)*FS126+(1-EXP(-LN(2)/2))/(LN(2)/2)*FM127*FP127*VLOOKUP('Données projet'!$B$16,Paramètres!$A$1:$I$89,3,0)*0.475*44/12</f>
        <v>7.854196186499264E-14</v>
      </c>
      <c r="FT127" s="24">
        <f t="shared" si="78"/>
        <v>0.61583849175921901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1.9895196601282805E-13</v>
      </c>
      <c r="O128" s="14">
        <f>N128*VLOOKUP('Données projet'!$B$9,Paramètres!$A$1:$I$89,3,0)*VLOOKUP('Données projet'!$B$9,Paramètres!$A$1:$I$89,5,0)</f>
        <v>1.738044375088066E-13</v>
      </c>
      <c r="P128" s="14">
        <f t="shared" si="87"/>
        <v>2.4483293633950478E-12</v>
      </c>
      <c r="Q128" s="22">
        <f t="shared" si="107"/>
        <v>4.566883036574213E-12</v>
      </c>
      <c r="R128" s="62">
        <f t="shared" si="55"/>
        <v>293.33333333333786</v>
      </c>
      <c r="S128" s="62">
        <f ca="1">AVERAGE(OFFSET($R$3,0,0,'Données projet'!$E$9+1,1))-AVERAGE(OFFSET($H$3,0,0,'Données projet'!$E$9+1,1))</f>
        <v>321.23599968992932</v>
      </c>
      <c r="T128" s="62">
        <f t="shared" si="88"/>
        <v>388.05195847800502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1.8365930037531224</v>
      </c>
      <c r="AB128" s="23">
        <f>EXP(-LN(2)/2)*AB127+(1-EXP(-LN(2)/2))/(LN(2)/2)*V128*Y128*VLOOKUP('Données projet'!$B$9,Paramètres!$A$1:$I$89,3,0)*0.475*44/12</f>
        <v>9.1776341078596772E-14</v>
      </c>
      <c r="AC128" s="24">
        <f t="shared" si="57"/>
        <v>1.8365930037532141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-5.6843418860808015E-14</v>
      </c>
      <c r="AJ128" s="14">
        <f>AI128*VLOOKUP('Données projet'!$B$10,Paramètres!$A$1:$I$89,3,0)*VLOOKUP('Données projet'!$B$10,Paramètres!$A$1:$I$89,5,0)</f>
        <v>-5.1431925385259088E-14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439.19854273764042</v>
      </c>
      <c r="AO128" s="62">
        <f t="shared" si="90"/>
        <v>278.21741231699929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0.65550763466705619</v>
      </c>
      <c r="AW128" s="23">
        <f>EXP(-LN(2)/2)*AW127+(1-EXP(-LN(2)/2))/(LN(2)/2)*AQ128*AT128*VLOOKUP('Données projet'!$B$10,Paramètres!$A$1:$I$89,3,0)*0.475*44/12</f>
        <v>7.491111913630253E-14</v>
      </c>
      <c r="AX128" s="23">
        <f t="shared" si="60"/>
        <v>0.65550763466713113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-2.8421709430404007E-13</v>
      </c>
      <c r="BE128" s="14">
        <f>BD128*VLOOKUP('Données projet'!$B$11,Paramètres!$A$1:$I$89,3,0)*VLOOKUP('Données projet'!$B$11,Paramètres!$A$1:$I$89,5,0)</f>
        <v>-2.2612312022829427E-13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352.88510024787888</v>
      </c>
      <c r="BJ128" s="62">
        <f t="shared" si="92"/>
        <v>343.77208530767069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0.8823932800164499</v>
      </c>
      <c r="BR128" s="23">
        <f>EXP(-LN(2)/2)*BR127+(1-EXP(-LN(2)/2))/(LN(2)/2)*BL128*BO128*VLOOKUP('Données projet'!$B$11,Paramètres!$A$1:$I$89,3,0)*0.475*44/12</f>
        <v>1.9834343105383005E-15</v>
      </c>
      <c r="BS128" s="24">
        <f t="shared" si="63"/>
        <v>0.8823932800164519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-2.8421709430404007E-13</v>
      </c>
      <c r="BZ128" s="14">
        <f>BY128*VLOOKUP('Données projet'!$B$12,Paramètres!$A$1:$I$89,3,0)*VLOOKUP('Données projet'!$B$12,Paramètres!$A$1:$I$89,5,0)</f>
        <v>-2.0838797354372215E-13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328.10411227536315</v>
      </c>
      <c r="CE128" s="62">
        <f t="shared" si="94"/>
        <v>320.24200483294322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1.383383811149717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1.383383811149717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5.6843418860808015E-14</v>
      </c>
      <c r="CU128" s="18">
        <f>CT128*VLOOKUP('Données projet'!$B$13,Paramètres!$A$1:$I$89,3,0)*VLOOKUP('Données projet'!$B$13,Paramètres!$A$1:$I$89,5,0)</f>
        <v>4.4337866711430253E-14</v>
      </c>
      <c r="CV128" s="14">
        <f t="shared" si="95"/>
        <v>7.3222115536967035E-13</v>
      </c>
      <c r="CW128" s="22">
        <f t="shared" si="67"/>
        <v>1.3525069634579169E-12</v>
      </c>
      <c r="CX128" s="62">
        <f t="shared" si="68"/>
        <v>293.33333333333468</v>
      </c>
      <c r="CY128" s="62">
        <f ca="1">AVERAGE(OFFSET($CX$3,0,0,'Données projet'!$E$13+1,1))-AVERAGE(OFFSET($H$3,0,0,'Données projet'!$E$13+1,1))</f>
        <v>288.82868507674738</v>
      </c>
      <c r="CZ128" s="62">
        <f t="shared" si="96"/>
        <v>283.48738729114024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1.5555096889152285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1.5555096889152285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>
        <f>DO128*VLOOKUP('Données projet'!$B$14,Paramètres!$A$1:$I$89,3,0)*VLOOKUP('Données projet'!$B$14,Paramètres!$A$1:$I$89,5,0)</f>
        <v>0</v>
      </c>
      <c r="DQ128" s="14" t="e">
        <f t="shared" si="97"/>
        <v>#NUM!</v>
      </c>
      <c r="DR128" s="22" t="e">
        <f t="shared" si="70"/>
        <v>#NUM!</v>
      </c>
      <c r="DS128" s="62" t="e">
        <f t="shared" si="71"/>
        <v>#NUM!</v>
      </c>
      <c r="DT128" s="62">
        <f ca="1">AVERAGE(OFFSET($DS$3,0,0,'Données projet'!$E$14+1,1))-AVERAGE(OFFSET($H$3,0,0,'Données projet'!$E$14+1,1))</f>
        <v>487.04124684635974</v>
      </c>
      <c r="DU128" s="62">
        <f t="shared" si="98"/>
        <v>306.61893266146666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1.8657641542434122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1.8657641542434122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>
        <f>EJ128*VLOOKUP('Données projet'!$B$15,Paramètres!$A$1:$I$89,3,0)*VLOOKUP('Données projet'!$B$15,Paramètres!$A$1:$I$89,5,0)</f>
        <v>0</v>
      </c>
      <c r="EL128" s="14" t="e">
        <f t="shared" si="99"/>
        <v>#NUM!</v>
      </c>
      <c r="EM128" s="22" t="e">
        <f t="shared" si="73"/>
        <v>#NUM!</v>
      </c>
      <c r="EN128" s="62" t="e">
        <f t="shared" si="74"/>
        <v>#NUM!</v>
      </c>
      <c r="EO128" s="62">
        <f ca="1">AVERAGE(OFFSET($EN$3,0,0,'Données projet'!$E$15+1,1))-AVERAGE(OFFSET($H$3,0,0,'Données projet'!$E$15+1,1))</f>
        <v>459.64120566196812</v>
      </c>
      <c r="EP128" s="62">
        <f t="shared" si="100"/>
        <v>290.39826583283588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1.7509478985976643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1.7509478985976643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>
        <f>FE128*VLOOKUP('Données projet'!$B$16,Paramètres!$A$1:$I$89,3,0)*VLOOKUP('Données projet'!$B$16,Paramètres!$A$1:$I$89,5,0)</f>
        <v>0</v>
      </c>
      <c r="FG128" s="14" t="e">
        <f t="shared" si="101"/>
        <v>#NUM!</v>
      </c>
      <c r="FH128" s="22" t="e">
        <f t="shared" si="76"/>
        <v>#NUM!</v>
      </c>
      <c r="FI128" s="62" t="e">
        <f t="shared" si="77"/>
        <v>#NUM!</v>
      </c>
      <c r="FJ128" s="62">
        <f ca="1">AVERAGE(OFFSET($FI$3,0,0,'Données projet'!$E$16+1,1))-AVERAGE(OFFSET($H$3,0,0,'Données projet'!$E$16+1,1))</f>
        <v>335.83558218229564</v>
      </c>
      <c r="FK128" s="62">
        <f t="shared" si="102"/>
        <v>217.08423061559648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0</v>
      </c>
      <c r="FR128" s="23">
        <f>EXP(-LN(2)/25)*FR127+(1-EXP(-LN(2)/25))/(LN(2)/25)*Calculateur!FM128*Calculateur!FO128*VLOOKUP('Données projet'!$B$16,Paramètres!$A$1:$I$89,3,0)*0.475*44/12</f>
        <v>0.598998355816448</v>
      </c>
      <c r="FS128" s="23">
        <f>EXP(-LN(2)/2)*FS127+(1-EXP(-LN(2)/2))/(LN(2)/2)*FM128*FP128*VLOOKUP('Données projet'!$B$16,Paramètres!$A$1:$I$89,3,0)*0.475*44/12</f>
        <v>5.5537553842431516E-14</v>
      </c>
      <c r="FT128" s="24">
        <f t="shared" si="78"/>
        <v>0.59899835581650351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1.9895196601282805E-13</v>
      </c>
      <c r="O129" s="14">
        <f>N129*VLOOKUP('Données projet'!$B$9,Paramètres!$A$1:$I$89,3,0)*VLOOKUP('Données projet'!$B$9,Paramètres!$A$1:$I$89,5,0)</f>
        <v>1.738044375088066E-13</v>
      </c>
      <c r="P129" s="14">
        <f t="shared" si="87"/>
        <v>2.4483293633950478E-12</v>
      </c>
      <c r="Q129" s="22">
        <f t="shared" si="107"/>
        <v>4.566883036574213E-12</v>
      </c>
      <c r="R129" s="62">
        <f t="shared" si="55"/>
        <v>293.33333333333786</v>
      </c>
      <c r="S129" s="62">
        <f ca="1">AVERAGE(OFFSET($R$3,0,0,'Données projet'!$E$9+1,1))-AVERAGE(OFFSET($H$3,0,0,'Données projet'!$E$9+1,1))</f>
        <v>321.23599968992932</v>
      </c>
      <c r="T129" s="62">
        <f t="shared" si="88"/>
        <v>388.05195847800502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1.7863712714832647</v>
      </c>
      <c r="AB129" s="23">
        <f>EXP(-LN(2)/2)*AB128+(1-EXP(-LN(2)/2))/(LN(2)/2)*V129*Y129*VLOOKUP('Données projet'!$B$9,Paramètres!$A$1:$I$89,3,0)*0.475*44/12</f>
        <v>6.4895673129165279E-14</v>
      </c>
      <c r="AC129" s="24">
        <f t="shared" si="57"/>
        <v>1.7863712714833295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-5.6843418860808015E-14</v>
      </c>
      <c r="AJ129" s="14">
        <f>AI129*VLOOKUP('Données projet'!$B$10,Paramètres!$A$1:$I$89,3,0)*VLOOKUP('Données projet'!$B$10,Paramètres!$A$1:$I$89,5,0)</f>
        <v>-5.1431925385259088E-14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439.19854273764042</v>
      </c>
      <c r="AO129" s="62">
        <f t="shared" si="90"/>
        <v>278.21741231699929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0.63758274392543723</v>
      </c>
      <c r="AW129" s="23">
        <f>EXP(-LN(2)/2)*AW128+(1-EXP(-LN(2)/2))/(LN(2)/2)*AQ129*AT129*VLOOKUP('Données projet'!$B$10,Paramètres!$A$1:$I$89,3,0)*0.475*44/12</f>
        <v>5.2970160327552867E-14</v>
      </c>
      <c r="AX129" s="23">
        <f t="shared" si="60"/>
        <v>0.63758274392549019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-2.8421709430404007E-13</v>
      </c>
      <c r="BE129" s="14">
        <f>BD129*VLOOKUP('Données projet'!$B$11,Paramètres!$A$1:$I$89,3,0)*VLOOKUP('Données projet'!$B$11,Paramètres!$A$1:$I$89,5,0)</f>
        <v>-2.2612312022829427E-13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352.88510024787888</v>
      </c>
      <c r="BJ129" s="62">
        <f t="shared" si="92"/>
        <v>343.77208530767069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0.85826418937135418</v>
      </c>
      <c r="BR129" s="23">
        <f>EXP(-LN(2)/2)*BR128+(1-EXP(-LN(2)/2))/(LN(2)/2)*BL129*BO129*VLOOKUP('Données projet'!$B$11,Paramètres!$A$1:$I$89,3,0)*0.475*44/12</f>
        <v>1.4024998510196968E-15</v>
      </c>
      <c r="BS129" s="24">
        <f t="shared" si="63"/>
        <v>0.85826418937135562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-2.8421709430404007E-13</v>
      </c>
      <c r="BZ129" s="14">
        <f>BY129*VLOOKUP('Données projet'!$B$12,Paramètres!$A$1:$I$89,3,0)*VLOOKUP('Données projet'!$B$12,Paramètres!$A$1:$I$89,5,0)</f>
        <v>-2.0838797354372215E-13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328.10411227536315</v>
      </c>
      <c r="CE129" s="62">
        <f t="shared" si="94"/>
        <v>320.24200483294322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1.3562564983938794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1.3562564983938794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5.6843418860808015E-14</v>
      </c>
      <c r="CU129" s="18">
        <f>CT129*VLOOKUP('Données projet'!$B$13,Paramètres!$A$1:$I$89,3,0)*VLOOKUP('Données projet'!$B$13,Paramètres!$A$1:$I$89,5,0)</f>
        <v>4.4337866711430253E-14</v>
      </c>
      <c r="CV129" s="14">
        <f t="shared" si="95"/>
        <v>7.3222115536967035E-13</v>
      </c>
      <c r="CW129" s="22">
        <f t="shared" si="67"/>
        <v>1.3525069634579169E-12</v>
      </c>
      <c r="CX129" s="62">
        <f t="shared" si="68"/>
        <v>293.33333333333468</v>
      </c>
      <c r="CY129" s="62">
        <f ca="1">AVERAGE(OFFSET($CX$3,0,0,'Données projet'!$E$13+1,1))-AVERAGE(OFFSET($H$3,0,0,'Données projet'!$E$13+1,1))</f>
        <v>288.82868507674738</v>
      </c>
      <c r="CZ129" s="62">
        <f t="shared" si="96"/>
        <v>283.48738729114024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1.5250070926828281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1.5250070926828281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>
        <f>DO129*VLOOKUP('Données projet'!$B$14,Paramètres!$A$1:$I$89,3,0)*VLOOKUP('Données projet'!$B$14,Paramètres!$A$1:$I$89,5,0)</f>
        <v>0</v>
      </c>
      <c r="DQ129" s="14" t="e">
        <f t="shared" si="97"/>
        <v>#NUM!</v>
      </c>
      <c r="DR129" s="22" t="e">
        <f t="shared" si="70"/>
        <v>#NUM!</v>
      </c>
      <c r="DS129" s="62" t="e">
        <f t="shared" si="71"/>
        <v>#NUM!</v>
      </c>
      <c r="DT129" s="62">
        <f ca="1">AVERAGE(OFFSET($DS$3,0,0,'Données projet'!$E$14+1,1))-AVERAGE(OFFSET($H$3,0,0,'Données projet'!$E$14+1,1))</f>
        <v>487.04124684635974</v>
      </c>
      <c r="DU129" s="62">
        <f t="shared" si="98"/>
        <v>306.61893266146666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1.8291776571824645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1.8291776571824645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>
        <f>EJ129*VLOOKUP('Données projet'!$B$15,Paramètres!$A$1:$I$89,3,0)*VLOOKUP('Données projet'!$B$15,Paramètres!$A$1:$I$89,5,0)</f>
        <v>0</v>
      </c>
      <c r="EL129" s="14" t="e">
        <f t="shared" si="99"/>
        <v>#NUM!</v>
      </c>
      <c r="EM129" s="22" t="e">
        <f t="shared" si="73"/>
        <v>#NUM!</v>
      </c>
      <c r="EN129" s="62" t="e">
        <f t="shared" si="74"/>
        <v>#NUM!</v>
      </c>
      <c r="EO129" s="62">
        <f ca="1">AVERAGE(OFFSET($EN$3,0,0,'Données projet'!$E$15+1,1))-AVERAGE(OFFSET($H$3,0,0,'Données projet'!$E$15+1,1))</f>
        <v>459.64120566196812</v>
      </c>
      <c r="EP129" s="62">
        <f t="shared" si="100"/>
        <v>290.39826583283588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1.7166128782789287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1.7166128782789287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>
        <f>FE129*VLOOKUP('Données projet'!$B$16,Paramètres!$A$1:$I$89,3,0)*VLOOKUP('Données projet'!$B$16,Paramètres!$A$1:$I$89,5,0)</f>
        <v>0</v>
      </c>
      <c r="FG129" s="14" t="e">
        <f t="shared" si="101"/>
        <v>#NUM!</v>
      </c>
      <c r="FH129" s="22" t="e">
        <f t="shared" si="76"/>
        <v>#NUM!</v>
      </c>
      <c r="FI129" s="62" t="e">
        <f t="shared" si="77"/>
        <v>#NUM!</v>
      </c>
      <c r="FJ129" s="62">
        <f ca="1">AVERAGE(OFFSET($FI$3,0,0,'Données projet'!$E$16+1,1))-AVERAGE(OFFSET($H$3,0,0,'Données projet'!$E$16+1,1))</f>
        <v>335.83558218229564</v>
      </c>
      <c r="FK129" s="62">
        <f t="shared" si="102"/>
        <v>217.08423061559648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0</v>
      </c>
      <c r="FR129" s="23">
        <f>EXP(-LN(2)/25)*FR128+(1-EXP(-LN(2)/25))/(LN(2)/25)*Calculateur!FM129*Calculateur!FO129*VLOOKUP('Données projet'!$B$16,Paramètres!$A$1:$I$89,3,0)*0.475*44/12</f>
        <v>0.58261871427669276</v>
      </c>
      <c r="FS129" s="23">
        <f>EXP(-LN(2)/2)*FS128+(1-EXP(-LN(2)/2))/(LN(2)/2)*FM129*FP129*VLOOKUP('Données projet'!$B$16,Paramètres!$A$1:$I$89,3,0)*0.475*44/12</f>
        <v>3.9270980932496326E-14</v>
      </c>
      <c r="FT129" s="24">
        <f t="shared" si="78"/>
        <v>0.58261871427673206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1.9895196601282805E-13</v>
      </c>
      <c r="O130" s="14">
        <f>N130*VLOOKUP('Données projet'!$B$9,Paramètres!$A$1:$I$89,3,0)*VLOOKUP('Données projet'!$B$9,Paramètres!$A$1:$I$89,5,0)</f>
        <v>1.738044375088066E-13</v>
      </c>
      <c r="P130" s="14">
        <f t="shared" si="87"/>
        <v>2.4483293633950478E-12</v>
      </c>
      <c r="Q130" s="22">
        <f t="shared" si="107"/>
        <v>4.566883036574213E-12</v>
      </c>
      <c r="R130" s="62">
        <f t="shared" si="55"/>
        <v>293.33333333333786</v>
      </c>
      <c r="S130" s="62">
        <f ca="1">AVERAGE(OFFSET($R$3,0,0,'Données projet'!$E$9+1,1))-AVERAGE(OFFSET($H$3,0,0,'Données projet'!$E$9+1,1))</f>
        <v>321.23599968992932</v>
      </c>
      <c r="T130" s="62">
        <f t="shared" si="88"/>
        <v>388.05195847800502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1.7375228551233723</v>
      </c>
      <c r="AB130" s="23">
        <f>EXP(-LN(2)/2)*AB129+(1-EXP(-LN(2)/2))/(LN(2)/2)*V130*Y130*VLOOKUP('Données projet'!$B$9,Paramètres!$A$1:$I$89,3,0)*0.475*44/12</f>
        <v>4.5888170539298386E-14</v>
      </c>
      <c r="AC130" s="24">
        <f t="shared" si="57"/>
        <v>1.7375228551234183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-5.6843418860808015E-14</v>
      </c>
      <c r="AJ130" s="14">
        <f>AI130*VLOOKUP('Données projet'!$B$10,Paramètres!$A$1:$I$89,3,0)*VLOOKUP('Données projet'!$B$10,Paramètres!$A$1:$I$89,5,0)</f>
        <v>-5.1431925385259088E-14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439.19854273764042</v>
      </c>
      <c r="AO130" s="62">
        <f t="shared" si="90"/>
        <v>278.21741231699929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0.62014801026377686</v>
      </c>
      <c r="AW130" s="23">
        <f>EXP(-LN(2)/2)*AW129+(1-EXP(-LN(2)/2))/(LN(2)/2)*AQ130*AT130*VLOOKUP('Données projet'!$B$10,Paramètres!$A$1:$I$89,3,0)*0.475*44/12</f>
        <v>3.7455559568151265E-14</v>
      </c>
      <c r="AX130" s="23">
        <f t="shared" si="60"/>
        <v>0.62014801026381428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-2.8421709430404007E-13</v>
      </c>
      <c r="BE130" s="14">
        <f>BD130*VLOOKUP('Données projet'!$B$11,Paramètres!$A$1:$I$89,3,0)*VLOOKUP('Données projet'!$B$11,Paramètres!$A$1:$I$89,5,0)</f>
        <v>-2.2612312022829427E-13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352.88510024787888</v>
      </c>
      <c r="BJ130" s="62">
        <f t="shared" si="92"/>
        <v>343.77208530767069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0.83479490997884243</v>
      </c>
      <c r="BR130" s="23">
        <f>EXP(-LN(2)/2)*BR129+(1-EXP(-LN(2)/2))/(LN(2)/2)*BL130*BO130*VLOOKUP('Données projet'!$B$11,Paramètres!$A$1:$I$89,3,0)*0.475*44/12</f>
        <v>9.9171715526915026E-16</v>
      </c>
      <c r="BS130" s="24">
        <f t="shared" si="63"/>
        <v>0.83479490997884342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-2.8421709430404007E-13</v>
      </c>
      <c r="BZ130" s="14">
        <f>BY130*VLOOKUP('Données projet'!$B$12,Paramètres!$A$1:$I$89,3,0)*VLOOKUP('Données projet'!$B$12,Paramètres!$A$1:$I$89,5,0)</f>
        <v>-2.0838797354372215E-13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328.10411227536315</v>
      </c>
      <c r="CE130" s="62">
        <f t="shared" si="94"/>
        <v>320.24200483294322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1.3296611356951569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1.3296611356951569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5.6843418860808015E-14</v>
      </c>
      <c r="CU130" s="18">
        <f>CT130*VLOOKUP('Données projet'!$B$13,Paramètres!$A$1:$I$89,3,0)*VLOOKUP('Données projet'!$B$13,Paramètres!$A$1:$I$89,5,0)</f>
        <v>4.4337866711430253E-14</v>
      </c>
      <c r="CV130" s="14">
        <f t="shared" si="95"/>
        <v>7.3222115536967035E-13</v>
      </c>
      <c r="CW130" s="22">
        <f t="shared" si="67"/>
        <v>1.3525069634579169E-12</v>
      </c>
      <c r="CX130" s="62">
        <f t="shared" si="68"/>
        <v>293.33333333333468</v>
      </c>
      <c r="CY130" s="62">
        <f ca="1">AVERAGE(OFFSET($CX$3,0,0,'Données projet'!$E$13+1,1))-AVERAGE(OFFSET($H$3,0,0,'Données projet'!$E$13+1,1))</f>
        <v>288.82868507674738</v>
      </c>
      <c r="CZ130" s="62">
        <f t="shared" si="96"/>
        <v>283.48738729114024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1.4951026337577984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1.4951026337577984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>
        <f>DO130*VLOOKUP('Données projet'!$B$14,Paramètres!$A$1:$I$89,3,0)*VLOOKUP('Données projet'!$B$14,Paramètres!$A$1:$I$89,5,0)</f>
        <v>0</v>
      </c>
      <c r="DQ130" s="14" t="e">
        <f t="shared" si="97"/>
        <v>#NUM!</v>
      </c>
      <c r="DR130" s="22" t="e">
        <f t="shared" si="70"/>
        <v>#NUM!</v>
      </c>
      <c r="DS130" s="62" t="e">
        <f t="shared" si="71"/>
        <v>#NUM!</v>
      </c>
      <c r="DT130" s="62">
        <f ca="1">AVERAGE(OFFSET($DS$3,0,0,'Données projet'!$E$14+1,1))-AVERAGE(OFFSET($H$3,0,0,'Données projet'!$E$14+1,1))</f>
        <v>487.04124684635974</v>
      </c>
      <c r="DU130" s="62">
        <f t="shared" si="98"/>
        <v>306.61893266146666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1.7933085990133222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1.7933085990133222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>
        <f>EJ130*VLOOKUP('Données projet'!$B$15,Paramètres!$A$1:$I$89,3,0)*VLOOKUP('Données projet'!$B$15,Paramètres!$A$1:$I$89,5,0)</f>
        <v>0</v>
      </c>
      <c r="EL130" s="14" t="e">
        <f t="shared" si="99"/>
        <v>#NUM!</v>
      </c>
      <c r="EM130" s="22" t="e">
        <f t="shared" si="73"/>
        <v>#NUM!</v>
      </c>
      <c r="EN130" s="62" t="e">
        <f t="shared" si="74"/>
        <v>#NUM!</v>
      </c>
      <c r="EO130" s="62">
        <f ca="1">AVERAGE(OFFSET($EN$3,0,0,'Données projet'!$E$15+1,1))-AVERAGE(OFFSET($H$3,0,0,'Données projet'!$E$15+1,1))</f>
        <v>459.64120566196812</v>
      </c>
      <c r="EP130" s="62">
        <f t="shared" si="100"/>
        <v>290.39826583283588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1.6829511467663489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1.6829511467663489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>
        <f>FE130*VLOOKUP('Données projet'!$B$16,Paramètres!$A$1:$I$89,3,0)*VLOOKUP('Données projet'!$B$16,Paramètres!$A$1:$I$89,5,0)</f>
        <v>0</v>
      </c>
      <c r="FG130" s="14" t="e">
        <f t="shared" si="101"/>
        <v>#NUM!</v>
      </c>
      <c r="FH130" s="22" t="e">
        <f t="shared" si="76"/>
        <v>#NUM!</v>
      </c>
      <c r="FI130" s="62" t="e">
        <f t="shared" si="77"/>
        <v>#NUM!</v>
      </c>
      <c r="FJ130" s="62">
        <f ca="1">AVERAGE(OFFSET($FI$3,0,0,'Données projet'!$E$16+1,1))-AVERAGE(OFFSET($H$3,0,0,'Données projet'!$E$16+1,1))</f>
        <v>335.83558218229564</v>
      </c>
      <c r="FK130" s="62">
        <f t="shared" si="102"/>
        <v>217.08423061559648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0</v>
      </c>
      <c r="FR130" s="23">
        <f>EXP(-LN(2)/25)*FR129+(1-EXP(-LN(2)/25))/(LN(2)/25)*Calculateur!FM130*Calculateur!FO130*VLOOKUP('Données projet'!$B$16,Paramètres!$A$1:$I$89,3,0)*0.475*44/12</f>
        <v>0.56668697489621001</v>
      </c>
      <c r="FS130" s="23">
        <f>EXP(-LN(2)/2)*FS129+(1-EXP(-LN(2)/2))/(LN(2)/2)*FM130*FP130*VLOOKUP('Données projet'!$B$16,Paramètres!$A$1:$I$89,3,0)*0.475*44/12</f>
        <v>2.7768776921215761E-14</v>
      </c>
      <c r="FT130" s="24">
        <f t="shared" si="78"/>
        <v>0.56668697489623776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1.9895196601282805E-13</v>
      </c>
      <c r="O131" s="14">
        <f>N131*VLOOKUP('Données projet'!$B$9,Paramètres!$A$1:$I$89,3,0)*VLOOKUP('Données projet'!$B$9,Paramètres!$A$1:$I$89,5,0)</f>
        <v>1.738044375088066E-13</v>
      </c>
      <c r="P131" s="14">
        <f t="shared" si="87"/>
        <v>2.4483293633950478E-12</v>
      </c>
      <c r="Q131" s="22">
        <f t="shared" ref="Q131:Q153" si="108">(O131+P131)*0.475*44/12</f>
        <v>4.566883036574213E-12</v>
      </c>
      <c r="R131" s="62">
        <f t="shared" ref="R131:R194" si="109">Q131+(I131+J131)*44/12</f>
        <v>293.33333333333786</v>
      </c>
      <c r="S131" s="62">
        <f ca="1">AVERAGE(OFFSET($R$3,0,0,'Données projet'!$E$9+1,1))-AVERAGE(OFFSET($H$3,0,0,'Données projet'!$E$9+1,1))</f>
        <v>321.23599968992932</v>
      </c>
      <c r="T131" s="62">
        <f t="shared" si="88"/>
        <v>388.05195847800502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1.6900102012776679</v>
      </c>
      <c r="AB131" s="23">
        <f>EXP(-LN(2)/2)*AB130+(1-EXP(-LN(2)/2))/(LN(2)/2)*V131*Y131*VLOOKUP('Données projet'!$B$9,Paramètres!$A$1:$I$89,3,0)*0.475*44/12</f>
        <v>3.2447836564582639E-14</v>
      </c>
      <c r="AC131" s="24">
        <f t="shared" si="57"/>
        <v>1.6900102012777003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-5.6843418860808015E-14</v>
      </c>
      <c r="AJ131" s="14">
        <f>AI131*VLOOKUP('Données projet'!$B$10,Paramètres!$A$1:$I$89,3,0)*VLOOKUP('Données projet'!$B$10,Paramètres!$A$1:$I$89,5,0)</f>
        <v>-5.1431925385259088E-14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439.19854273764042</v>
      </c>
      <c r="AO131" s="62">
        <f t="shared" si="90"/>
        <v>278.21741231699929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0.60319003031094742</v>
      </c>
      <c r="AW131" s="23">
        <f>EXP(-LN(2)/2)*AW130+(1-EXP(-LN(2)/2))/(LN(2)/2)*AQ131*AT131*VLOOKUP('Données projet'!$B$10,Paramètres!$A$1:$I$89,3,0)*0.475*44/12</f>
        <v>2.6485080163776433E-14</v>
      </c>
      <c r="AX131" s="23">
        <f t="shared" si="60"/>
        <v>0.60319003031097396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-2.8421709430404007E-13</v>
      </c>
      <c r="BE131" s="14">
        <f>BD131*VLOOKUP('Données projet'!$B$11,Paramètres!$A$1:$I$89,3,0)*VLOOKUP('Données projet'!$B$11,Paramètres!$A$1:$I$89,5,0)</f>
        <v>-2.2612312022829427E-13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352.88510024787888</v>
      </c>
      <c r="BJ131" s="62">
        <f t="shared" si="92"/>
        <v>343.77208530767069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0.81196739926551464</v>
      </c>
      <c r="BR131" s="23">
        <f>EXP(-LN(2)/2)*BR130+(1-EXP(-LN(2)/2))/(LN(2)/2)*BL131*BO131*VLOOKUP('Données projet'!$B$11,Paramètres!$A$1:$I$89,3,0)*0.475*44/12</f>
        <v>7.0124992550984842E-16</v>
      </c>
      <c r="BS131" s="24">
        <f t="shared" si="63"/>
        <v>0.81196739926551531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-2.8421709430404007E-13</v>
      </c>
      <c r="BZ131" s="14">
        <f>BY131*VLOOKUP('Données projet'!$B$12,Paramètres!$A$1:$I$89,3,0)*VLOOKUP('Données projet'!$B$12,Paramètres!$A$1:$I$89,5,0)</f>
        <v>-2.0838797354372215E-13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328.10411227536315</v>
      </c>
      <c r="CE131" s="62">
        <f t="shared" si="94"/>
        <v>320.24200483294322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1.3035872918373868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1.3035872918373868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5.6843418860808015E-14</v>
      </c>
      <c r="CU131" s="18">
        <f>CT131*VLOOKUP('Données projet'!$B$13,Paramètres!$A$1:$I$89,3,0)*VLOOKUP('Données projet'!$B$13,Paramètres!$A$1:$I$89,5,0)</f>
        <v>4.4337866711430253E-14</v>
      </c>
      <c r="CV131" s="14">
        <f t="shared" si="95"/>
        <v>7.3222115536967035E-13</v>
      </c>
      <c r="CW131" s="22">
        <f t="shared" si="67"/>
        <v>1.3525069634579169E-12</v>
      </c>
      <c r="CX131" s="62">
        <f t="shared" si="68"/>
        <v>293.33333333333468</v>
      </c>
      <c r="CY131" s="62">
        <f ca="1">AVERAGE(OFFSET($CX$3,0,0,'Données projet'!$E$13+1,1))-AVERAGE(OFFSET($H$3,0,0,'Données projet'!$E$13+1,1))</f>
        <v>288.82868507674738</v>
      </c>
      <c r="CZ131" s="62">
        <f t="shared" si="96"/>
        <v>283.48738729114024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1.4657845830323697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1.4657845830323697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>
        <f>DO131*VLOOKUP('Données projet'!$B$14,Paramètres!$A$1:$I$89,3,0)*VLOOKUP('Données projet'!$B$14,Paramètres!$A$1:$I$89,5,0)</f>
        <v>0</v>
      </c>
      <c r="DQ131" s="14" t="e">
        <f t="shared" si="97"/>
        <v>#NUM!</v>
      </c>
      <c r="DR131" s="22" t="e">
        <f t="shared" si="70"/>
        <v>#NUM!</v>
      </c>
      <c r="DS131" s="62" t="e">
        <f t="shared" si="71"/>
        <v>#NUM!</v>
      </c>
      <c r="DT131" s="62">
        <f ca="1">AVERAGE(OFFSET($DS$3,0,0,'Données projet'!$E$14+1,1))-AVERAGE(OFFSET($H$3,0,0,'Données projet'!$E$14+1,1))</f>
        <v>487.04124684635974</v>
      </c>
      <c r="DU131" s="62">
        <f t="shared" si="98"/>
        <v>306.61893266146666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1.7581429111969116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1.7581429111969116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>
        <f>EJ131*VLOOKUP('Données projet'!$B$15,Paramètres!$A$1:$I$89,3,0)*VLOOKUP('Données projet'!$B$15,Paramètres!$A$1:$I$89,5,0)</f>
        <v>0</v>
      </c>
      <c r="EL131" s="14" t="e">
        <f t="shared" si="99"/>
        <v>#NUM!</v>
      </c>
      <c r="EM131" s="22" t="e">
        <f t="shared" si="73"/>
        <v>#NUM!</v>
      </c>
      <c r="EN131" s="62" t="e">
        <f t="shared" si="74"/>
        <v>#NUM!</v>
      </c>
      <c r="EO131" s="62">
        <f ca="1">AVERAGE(OFFSET($EN$3,0,0,'Données projet'!$E$15+1,1))-AVERAGE(OFFSET($H$3,0,0,'Données projet'!$E$15+1,1))</f>
        <v>459.64120566196812</v>
      </c>
      <c r="EP131" s="62">
        <f t="shared" si="100"/>
        <v>290.39826583283588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1.6499495012771019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1.6499495012771019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>
        <f>FE131*VLOOKUP('Données projet'!$B$16,Paramètres!$A$1:$I$89,3,0)*VLOOKUP('Données projet'!$B$16,Paramètres!$A$1:$I$89,5,0)</f>
        <v>0</v>
      </c>
      <c r="FG131" s="14" t="e">
        <f t="shared" si="101"/>
        <v>#NUM!</v>
      </c>
      <c r="FH131" s="22" t="e">
        <f t="shared" si="76"/>
        <v>#NUM!</v>
      </c>
      <c r="FI131" s="62" t="e">
        <f t="shared" si="77"/>
        <v>#NUM!</v>
      </c>
      <c r="FJ131" s="62">
        <f ca="1">AVERAGE(OFFSET($FI$3,0,0,'Données projet'!$E$16+1,1))-AVERAGE(OFFSET($H$3,0,0,'Données projet'!$E$16+1,1))</f>
        <v>335.83558218229564</v>
      </c>
      <c r="FK131" s="62">
        <f t="shared" si="102"/>
        <v>217.08423061559648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0</v>
      </c>
      <c r="FR131" s="23">
        <f>EXP(-LN(2)/25)*FR130+(1-EXP(-LN(2)/25))/(LN(2)/25)*Calculateur!FM131*Calculateur!FO131*VLOOKUP('Données projet'!$B$16,Paramètres!$A$1:$I$89,3,0)*0.475*44/12</f>
        <v>0.55119088976690034</v>
      </c>
      <c r="FS131" s="23">
        <f>EXP(-LN(2)/2)*FS130+(1-EXP(-LN(2)/2))/(LN(2)/2)*FM131*FP131*VLOOKUP('Données projet'!$B$16,Paramètres!$A$1:$I$89,3,0)*0.475*44/12</f>
        <v>1.9635490466248166E-14</v>
      </c>
      <c r="FT131" s="24">
        <f t="shared" si="78"/>
        <v>0.55119088976691999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1.9895196601282805E-13</v>
      </c>
      <c r="O132" s="14">
        <f>N132*VLOOKUP('Données projet'!$B$9,Paramètres!$A$1:$I$89,3,0)*VLOOKUP('Données projet'!$B$9,Paramètres!$A$1:$I$89,5,0)</f>
        <v>1.738044375088066E-13</v>
      </c>
      <c r="P132" s="14">
        <f t="shared" si="87"/>
        <v>2.4483293633950478E-12</v>
      </c>
      <c r="Q132" s="22">
        <f t="shared" si="108"/>
        <v>4.566883036574213E-12</v>
      </c>
      <c r="R132" s="62">
        <f t="shared" si="109"/>
        <v>293.33333333333786</v>
      </c>
      <c r="S132" s="62">
        <f ca="1">AVERAGE(OFFSET($R$3,0,0,'Données projet'!$E$9+1,1))-AVERAGE(OFFSET($H$3,0,0,'Données projet'!$E$9+1,1))</f>
        <v>321.23599968992932</v>
      </c>
      <c r="T132" s="62">
        <f t="shared" si="88"/>
        <v>388.05195847800502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1.6437967834499561</v>
      </c>
      <c r="AB132" s="23">
        <f>EXP(-LN(2)/2)*AB131+(1-EXP(-LN(2)/2))/(LN(2)/2)*V132*Y132*VLOOKUP('Données projet'!$B$9,Paramètres!$A$1:$I$89,3,0)*0.475*44/12</f>
        <v>2.2944085269649193E-14</v>
      </c>
      <c r="AC132" s="24">
        <f t="shared" ref="AC132:AC153" si="111">SUM(Z132:AB132)</f>
        <v>1.6437967834499789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-5.6843418860808015E-14</v>
      </c>
      <c r="AJ132" s="14">
        <f>AI132*VLOOKUP('Données projet'!$B$10,Paramètres!$A$1:$I$89,3,0)*VLOOKUP('Données projet'!$B$10,Paramètres!$A$1:$I$89,5,0)</f>
        <v>-5.1431925385259088E-14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439.19854273764042</v>
      </c>
      <c r="AO132" s="62">
        <f t="shared" si="90"/>
        <v>278.21741231699929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0.58669576721170946</v>
      </c>
      <c r="AW132" s="23">
        <f>EXP(-LN(2)/2)*AW131+(1-EXP(-LN(2)/2))/(LN(2)/2)*AQ132*AT132*VLOOKUP('Données projet'!$B$10,Paramètres!$A$1:$I$89,3,0)*0.475*44/12</f>
        <v>1.8727779784075633E-14</v>
      </c>
      <c r="AX132" s="23">
        <f t="shared" ref="AX132:AX153" si="114">SUM(AU132:AW132)</f>
        <v>0.58669576721172823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-2.8421709430404007E-13</v>
      </c>
      <c r="BE132" s="14">
        <f>BD132*VLOOKUP('Données projet'!$B$11,Paramètres!$A$1:$I$89,3,0)*VLOOKUP('Données projet'!$B$11,Paramètres!$A$1:$I$89,5,0)</f>
        <v>-2.2612312022829427E-13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352.88510024787888</v>
      </c>
      <c r="BJ132" s="62">
        <f t="shared" si="92"/>
        <v>343.77208530767069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0.78976410803308938</v>
      </c>
      <c r="BR132" s="23">
        <f>EXP(-LN(2)/2)*BR131+(1-EXP(-LN(2)/2))/(LN(2)/2)*BL132*BO132*VLOOKUP('Données projet'!$B$11,Paramètres!$A$1:$I$89,3,0)*0.475*44/12</f>
        <v>4.9585857763457513E-16</v>
      </c>
      <c r="BS132" s="24">
        <f t="shared" ref="BS132:BS153" si="117">SUM(BP132:BR132)</f>
        <v>0.78976410803308983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-2.8421709430404007E-13</v>
      </c>
      <c r="BZ132" s="14">
        <f>BY132*VLOOKUP('Données projet'!$B$12,Paramètres!$A$1:$I$89,3,0)*VLOOKUP('Données projet'!$B$12,Paramètres!$A$1:$I$89,5,0)</f>
        <v>-2.0838797354372215E-13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328.10411227536315</v>
      </c>
      <c r="CE132" s="62">
        <f t="shared" si="94"/>
        <v>320.24200483294322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1.2780247401541931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1.2780247401541931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5.6843418860808015E-14</v>
      </c>
      <c r="CU132" s="18">
        <f>CT132*VLOOKUP('Données projet'!$B$13,Paramètres!$A$1:$I$89,3,0)*VLOOKUP('Données projet'!$B$13,Paramètres!$A$1:$I$89,5,0)</f>
        <v>4.4337866711430253E-14</v>
      </c>
      <c r="CV132" s="14">
        <f t="shared" si="95"/>
        <v>7.3222115536967035E-13</v>
      </c>
      <c r="CW132" s="22">
        <f t="shared" ref="CW132:CW153" si="121">(CU132+CV132)*0.475*44/12</f>
        <v>1.3525069634579169E-12</v>
      </c>
      <c r="CX132" s="62">
        <f t="shared" ref="CX132:CX195" si="122">CW132+(CO132+CP132)*44/12</f>
        <v>293.33333333333468</v>
      </c>
      <c r="CY132" s="62">
        <f ca="1">AVERAGE(OFFSET($CX$3,0,0,'Données projet'!$E$13+1,1))-AVERAGE(OFFSET($H$3,0,0,'Données projet'!$E$13+1,1))</f>
        <v>288.82868507674738</v>
      </c>
      <c r="CZ132" s="62">
        <f t="shared" si="96"/>
        <v>283.48738729114024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1.4370414413994215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1.4370414413994215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>
        <f>DO132*VLOOKUP('Données projet'!$B$14,Paramètres!$A$1:$I$89,3,0)*VLOOKUP('Données projet'!$B$14,Paramètres!$A$1:$I$89,5,0)</f>
        <v>0</v>
      </c>
      <c r="DQ132" s="14" t="e">
        <f t="shared" si="97"/>
        <v>#NUM!</v>
      </c>
      <c r="DR132" s="22" t="e">
        <f t="shared" ref="DR132:DR153" si="124">(DP132+DQ132)*0.475*44/12</f>
        <v>#NUM!</v>
      </c>
      <c r="DS132" s="62" t="e">
        <f t="shared" ref="DS132:DS195" si="125">DR132+(DJ132+DK132)*44/12</f>
        <v>#NUM!</v>
      </c>
      <c r="DT132" s="62">
        <f ca="1">AVERAGE(OFFSET($DS$3,0,0,'Données projet'!$E$14+1,1))-AVERAGE(OFFSET($H$3,0,0,'Données projet'!$E$14+1,1))</f>
        <v>487.04124684635974</v>
      </c>
      <c r="DU132" s="62">
        <f t="shared" si="98"/>
        <v>306.61893266146666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1.723666801069629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1.723666801069629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>
        <f>EJ132*VLOOKUP('Données projet'!$B$15,Paramètres!$A$1:$I$89,3,0)*VLOOKUP('Données projet'!$B$15,Paramètres!$A$1:$I$89,5,0)</f>
        <v>0</v>
      </c>
      <c r="EL132" s="14" t="e">
        <f t="shared" si="99"/>
        <v>#NUM!</v>
      </c>
      <c r="EM132" s="22" t="e">
        <f t="shared" ref="EM132:EM153" si="127">(EK132+EL132)*0.475*44/12</f>
        <v>#NUM!</v>
      </c>
      <c r="EN132" s="62" t="e">
        <f t="shared" ref="EN132:EN195" si="128">EM132+(EE132+EF132)*44/12</f>
        <v>#NUM!</v>
      </c>
      <c r="EO132" s="62">
        <f ca="1">AVERAGE(OFFSET($EN$3,0,0,'Données projet'!$E$15+1,1))-AVERAGE(OFFSET($H$3,0,0,'Données projet'!$E$15+1,1))</f>
        <v>459.64120566196812</v>
      </c>
      <c r="EP132" s="62">
        <f t="shared" si="100"/>
        <v>290.39826583283588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1.6175949979268829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1.6175949979268829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>
        <f>FE132*VLOOKUP('Données projet'!$B$16,Paramètres!$A$1:$I$89,3,0)*VLOOKUP('Données projet'!$B$16,Paramètres!$A$1:$I$89,5,0)</f>
        <v>0</v>
      </c>
      <c r="FG132" s="14" t="e">
        <f t="shared" si="101"/>
        <v>#NUM!</v>
      </c>
      <c r="FH132" s="22" t="e">
        <f t="shared" ref="FH132:FH153" si="130">(FF132+FG132)*0.475*44/12</f>
        <v>#NUM!</v>
      </c>
      <c r="FI132" s="62" t="e">
        <f t="shared" ref="FI132:FI195" si="131">FH132+(EZ132+FA132)*44/12</f>
        <v>#NUM!</v>
      </c>
      <c r="FJ132" s="62">
        <f ca="1">AVERAGE(OFFSET($FI$3,0,0,'Données projet'!$E$16+1,1))-AVERAGE(OFFSET($H$3,0,0,'Données projet'!$E$16+1,1))</f>
        <v>335.83558218229564</v>
      </c>
      <c r="FK132" s="62">
        <f t="shared" si="102"/>
        <v>217.08423061559648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0</v>
      </c>
      <c r="FR132" s="23">
        <f>EXP(-LN(2)/25)*FR131+(1-EXP(-LN(2)/25))/(LN(2)/25)*Calculateur!FM132*Calculateur!FO132*VLOOKUP('Données projet'!$B$16,Paramètres!$A$1:$I$89,3,0)*0.475*44/12</f>
        <v>0.53611854590035535</v>
      </c>
      <c r="FS132" s="23">
        <f>EXP(-LN(2)/2)*FS131+(1-EXP(-LN(2)/2))/(LN(2)/2)*FM132*FP132*VLOOKUP('Données projet'!$B$16,Paramètres!$A$1:$I$89,3,0)*0.475*44/12</f>
        <v>1.3884388460607884E-14</v>
      </c>
      <c r="FT132" s="24">
        <f t="shared" ref="FT132:FT153" si="132">SUM(FQ132:FS132)</f>
        <v>0.53611854590036923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1.9895196601282805E-13</v>
      </c>
      <c r="O133" s="14">
        <f>N133*VLOOKUP('Données projet'!$B$9,Paramètres!$A$1:$I$89,3,0)*VLOOKUP('Données projet'!$B$9,Paramètres!$A$1:$I$89,5,0)</f>
        <v>1.738044375088066E-13</v>
      </c>
      <c r="P133" s="14">
        <f t="shared" ref="P133:P196" si="141">EXP(-1.0587+0.8836*LN(O133)+0.284)</f>
        <v>2.4483293633950478E-12</v>
      </c>
      <c r="Q133" s="22">
        <f t="shared" si="108"/>
        <v>4.566883036574213E-12</v>
      </c>
      <c r="R133" s="62">
        <f t="shared" si="109"/>
        <v>293.33333333333786</v>
      </c>
      <c r="S133" s="62">
        <f ca="1">AVERAGE(OFFSET($R$3,0,0,'Données projet'!$E$9+1,1))-AVERAGE(OFFSET($H$3,0,0,'Données projet'!$E$9+1,1))</f>
        <v>321.23599968992932</v>
      </c>
      <c r="T133" s="62">
        <f t="shared" ref="T133:T196" si="142">$T$3</f>
        <v>388.05195847800502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1.5988470739630012</v>
      </c>
      <c r="AB133" s="23">
        <f>EXP(-LN(2)/2)*AB132+(1-EXP(-LN(2)/2))/(LN(2)/2)*V133*Y133*VLOOKUP('Données projet'!$B$9,Paramètres!$A$1:$I$89,3,0)*0.475*44/12</f>
        <v>1.622391828229132E-14</v>
      </c>
      <c r="AC133" s="24">
        <f t="shared" si="111"/>
        <v>1.5988470739630174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-5.6843418860808015E-14</v>
      </c>
      <c r="AJ133" s="14">
        <f>AI133*VLOOKUP('Données projet'!$B$10,Paramètres!$A$1:$I$89,3,0)*VLOOKUP('Données projet'!$B$10,Paramètres!$A$1:$I$89,5,0)</f>
        <v>-5.1431925385259088E-14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439.19854273764042</v>
      </c>
      <c r="AO133" s="62">
        <f t="shared" ref="AO133:AO196" si="144">$AO$3</f>
        <v>278.21741231699929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0.57065254060431581</v>
      </c>
      <c r="AW133" s="23">
        <f>EXP(-LN(2)/2)*AW132+(1-EXP(-LN(2)/2))/(LN(2)/2)*AQ133*AT133*VLOOKUP('Données projet'!$B$10,Paramètres!$A$1:$I$89,3,0)*0.475*44/12</f>
        <v>1.3242540081888217E-14</v>
      </c>
      <c r="AX133" s="23">
        <f t="shared" si="114"/>
        <v>0.57065254060432902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-2.8421709430404007E-13</v>
      </c>
      <c r="BE133" s="14">
        <f>BD133*VLOOKUP('Données projet'!$B$11,Paramètres!$A$1:$I$89,3,0)*VLOOKUP('Données projet'!$B$11,Paramètres!$A$1:$I$89,5,0)</f>
        <v>-2.2612312022829427E-13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352.88510024787888</v>
      </c>
      <c r="BJ133" s="62">
        <f t="shared" ref="BJ133:BJ196" si="146">$BJ$3</f>
        <v>343.77208530767069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0.76816796696703515</v>
      </c>
      <c r="BR133" s="23">
        <f>EXP(-LN(2)/2)*BR132+(1-EXP(-LN(2)/2))/(LN(2)/2)*BL133*BO133*VLOOKUP('Données projet'!$B$11,Paramètres!$A$1:$I$89,3,0)*0.475*44/12</f>
        <v>3.5062496275492421E-16</v>
      </c>
      <c r="BS133" s="24">
        <f t="shared" si="117"/>
        <v>0.76816796696703549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-2.8421709430404007E-13</v>
      </c>
      <c r="BZ133" s="14">
        <f>BY133*VLOOKUP('Données projet'!$B$12,Paramètres!$A$1:$I$89,3,0)*VLOOKUP('Données projet'!$B$12,Paramètres!$A$1:$I$89,5,0)</f>
        <v>-2.0838797354372215E-13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328.10411227536315</v>
      </c>
      <c r="CE133" s="62">
        <f t="shared" ref="CE133:CE196" si="148">$CE$3</f>
        <v>320.24200483294322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1.2529634545178898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1.2529634545178898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5.6843418860808015E-14</v>
      </c>
      <c r="CU133" s="18">
        <f>CT133*VLOOKUP('Données projet'!$B$13,Paramètres!$A$1:$I$89,3,0)*VLOOKUP('Données projet'!$B$13,Paramètres!$A$1:$I$89,5,0)</f>
        <v>4.4337866711430253E-14</v>
      </c>
      <c r="CV133" s="14">
        <f t="shared" ref="CV133:CV153" si="149">EXP(-1.0587+0.8836*LN(CU133)+0.284)</f>
        <v>7.3222115536967035E-13</v>
      </c>
      <c r="CW133" s="22">
        <f t="shared" si="121"/>
        <v>1.3525069634579169E-12</v>
      </c>
      <c r="CX133" s="62">
        <f t="shared" si="122"/>
        <v>293.33333333333468</v>
      </c>
      <c r="CY133" s="62">
        <f ca="1">AVERAGE(OFFSET($CX$3,0,0,'Données projet'!$E$13+1,1))-AVERAGE(OFFSET($H$3,0,0,'Données projet'!$E$13+1,1))</f>
        <v>288.82868507674738</v>
      </c>
      <c r="CZ133" s="62">
        <f t="shared" ref="CZ133:CZ196" si="150">$CZ$3</f>
        <v>283.48738729114024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1.40886193524231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1.40886193524231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>
        <f>DO133*VLOOKUP('Données projet'!$B$14,Paramètres!$A$1:$I$89,3,0)*VLOOKUP('Données projet'!$B$14,Paramètres!$A$1:$I$89,5,0)</f>
        <v>0</v>
      </c>
      <c r="DQ133" s="14" t="e">
        <f t="shared" ref="DQ133:DQ153" si="151">EXP(-1.0587+0.8836*LN(DP133)+0.284)</f>
        <v>#NUM!</v>
      </c>
      <c r="DR133" s="22" t="e">
        <f t="shared" si="124"/>
        <v>#NUM!</v>
      </c>
      <c r="DS133" s="62" t="e">
        <f t="shared" si="125"/>
        <v>#NUM!</v>
      </c>
      <c r="DT133" s="62">
        <f ca="1">AVERAGE(OFFSET($DS$3,0,0,'Données projet'!$E$14+1,1))-AVERAGE(OFFSET($H$3,0,0,'Données projet'!$E$14+1,1))</f>
        <v>487.04124684635974</v>
      </c>
      <c r="DU133" s="62">
        <f t="shared" ref="DU133:DU196" si="152">$DU$3</f>
        <v>306.61893266146666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1.6898667464335917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1.6898667464335917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>
        <f>EJ133*VLOOKUP('Données projet'!$B$15,Paramètres!$A$1:$I$89,3,0)*VLOOKUP('Données projet'!$B$15,Paramètres!$A$1:$I$89,5,0)</f>
        <v>0</v>
      </c>
      <c r="EL133" s="14" t="e">
        <f t="shared" ref="EL133:EL153" si="153">EXP(-1.0587+0.8836*LN(EK133)+0.284)</f>
        <v>#NUM!</v>
      </c>
      <c r="EM133" s="22" t="e">
        <f t="shared" si="127"/>
        <v>#NUM!</v>
      </c>
      <c r="EN133" s="62" t="e">
        <f t="shared" si="128"/>
        <v>#NUM!</v>
      </c>
      <c r="EO133" s="62">
        <f ca="1">AVERAGE(OFFSET($EN$3,0,0,'Données projet'!$E$15+1,1))-AVERAGE(OFFSET($H$3,0,0,'Données projet'!$E$15+1,1))</f>
        <v>459.64120566196812</v>
      </c>
      <c r="EP133" s="62">
        <f t="shared" ref="EP133:EP196" si="154">$EP$3</f>
        <v>290.39826583283588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1.5858749466530633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1.5858749466530633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>
        <f>FE133*VLOOKUP('Données projet'!$B$16,Paramètres!$A$1:$I$89,3,0)*VLOOKUP('Données projet'!$B$16,Paramètres!$A$1:$I$89,5,0)</f>
        <v>0</v>
      </c>
      <c r="FG133" s="14" t="e">
        <f t="shared" ref="FG133:FG153" si="155">EXP(-1.0587+0.8836*LN(FF133)+0.284)</f>
        <v>#NUM!</v>
      </c>
      <c r="FH133" s="22" t="e">
        <f t="shared" si="130"/>
        <v>#NUM!</v>
      </c>
      <c r="FI133" s="62" t="e">
        <f t="shared" si="131"/>
        <v>#NUM!</v>
      </c>
      <c r="FJ133" s="62">
        <f ca="1">AVERAGE(OFFSET($FI$3,0,0,'Données projet'!$E$16+1,1))-AVERAGE(OFFSET($H$3,0,0,'Données projet'!$E$16+1,1))</f>
        <v>335.83558218229564</v>
      </c>
      <c r="FK133" s="62">
        <f t="shared" ref="FK133:FK196" si="156">$FK$3</f>
        <v>217.08423061559648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0</v>
      </c>
      <c r="FR133" s="23">
        <f>EXP(-LN(2)/25)*FR132+(1-EXP(-LN(2)/25))/(LN(2)/25)*Calculateur!FM133*Calculateur!FO133*VLOOKUP('Données projet'!$B$16,Paramètres!$A$1:$I$89,3,0)*0.475*44/12</f>
        <v>0.52145835606946112</v>
      </c>
      <c r="FS133" s="23">
        <f>EXP(-LN(2)/2)*FS132+(1-EXP(-LN(2)/2))/(LN(2)/2)*FM133*FP133*VLOOKUP('Données projet'!$B$16,Paramètres!$A$1:$I$89,3,0)*0.475*44/12</f>
        <v>9.8177452331240847E-15</v>
      </c>
      <c r="FT133" s="24">
        <f t="shared" si="132"/>
        <v>0.52145835606947089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1.9895196601282805E-13</v>
      </c>
      <c r="O134" s="14">
        <f>N134*VLOOKUP('Données projet'!$B$9,Paramètres!$A$1:$I$89,3,0)*VLOOKUP('Données projet'!$B$9,Paramètres!$A$1:$I$89,5,0)</f>
        <v>1.738044375088066E-13</v>
      </c>
      <c r="P134" s="14">
        <f t="shared" si="141"/>
        <v>2.4483293633950478E-12</v>
      </c>
      <c r="Q134" s="22">
        <f t="shared" si="108"/>
        <v>4.566883036574213E-12</v>
      </c>
      <c r="R134" s="62">
        <f t="shared" si="109"/>
        <v>293.33333333333786</v>
      </c>
      <c r="S134" s="62">
        <f ca="1">AVERAGE(OFFSET($R$3,0,0,'Données projet'!$E$9+1,1))-AVERAGE(OFFSET($H$3,0,0,'Données projet'!$E$9+1,1))</f>
        <v>321.23599968992932</v>
      </c>
      <c r="T134" s="62">
        <f t="shared" si="142"/>
        <v>388.05195847800502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1.5551265166457695</v>
      </c>
      <c r="AB134" s="23">
        <f>EXP(-LN(2)/2)*AB133+(1-EXP(-LN(2)/2))/(LN(2)/2)*V134*Y134*VLOOKUP('Données projet'!$B$9,Paramètres!$A$1:$I$89,3,0)*0.475*44/12</f>
        <v>1.1472042634824596E-14</v>
      </c>
      <c r="AC134" s="24">
        <f t="shared" si="111"/>
        <v>1.5551265166457811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-5.6843418860808015E-14</v>
      </c>
      <c r="AJ134" s="14">
        <f>AI134*VLOOKUP('Données projet'!$B$10,Paramètres!$A$1:$I$89,3,0)*VLOOKUP('Données projet'!$B$10,Paramètres!$A$1:$I$89,5,0)</f>
        <v>-5.1431925385259088E-14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439.19854273764042</v>
      </c>
      <c r="AO134" s="62">
        <f t="shared" si="144"/>
        <v>278.21741231699929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0.55504801687217797</v>
      </c>
      <c r="AW134" s="23">
        <f>EXP(-LN(2)/2)*AW133+(1-EXP(-LN(2)/2))/(LN(2)/2)*AQ134*AT134*VLOOKUP('Données projet'!$B$10,Paramètres!$A$1:$I$89,3,0)*0.475*44/12</f>
        <v>9.3638898920378163E-15</v>
      </c>
      <c r="AX134" s="23">
        <f t="shared" si="114"/>
        <v>0.5550480168721873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-2.8421709430404007E-13</v>
      </c>
      <c r="BE134" s="14">
        <f>BD134*VLOOKUP('Données projet'!$B$11,Paramètres!$A$1:$I$89,3,0)*VLOOKUP('Données projet'!$B$11,Paramètres!$A$1:$I$89,5,0)</f>
        <v>-2.2612312022829427E-13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352.88510024787888</v>
      </c>
      <c r="BJ134" s="62">
        <f t="shared" si="146"/>
        <v>343.77208530767069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0.74716237351412385</v>
      </c>
      <c r="BR134" s="23">
        <f>EXP(-LN(2)/2)*BR133+(1-EXP(-LN(2)/2))/(LN(2)/2)*BL134*BO134*VLOOKUP('Données projet'!$B$11,Paramètres!$A$1:$I$89,3,0)*0.475*44/12</f>
        <v>2.4792928881728756E-16</v>
      </c>
      <c r="BS134" s="24">
        <f t="shared" si="117"/>
        <v>0.74716237351412407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-2.8421709430404007E-13</v>
      </c>
      <c r="BZ134" s="14">
        <f>BY134*VLOOKUP('Données projet'!$B$12,Paramètres!$A$1:$I$89,3,0)*VLOOKUP('Données projet'!$B$12,Paramètres!$A$1:$I$89,5,0)</f>
        <v>-2.0838797354372215E-13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328.10411227536315</v>
      </c>
      <c r="CE134" s="62">
        <f t="shared" si="148"/>
        <v>320.24200483294322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1.2283936054070397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1.2283936054070397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5.6843418860808015E-14</v>
      </c>
      <c r="CU134" s="18">
        <f>CT134*VLOOKUP('Données projet'!$B$13,Paramètres!$A$1:$I$89,3,0)*VLOOKUP('Données projet'!$B$13,Paramètres!$A$1:$I$89,5,0)</f>
        <v>4.4337866711430253E-14</v>
      </c>
      <c r="CV134" s="14">
        <f t="shared" si="149"/>
        <v>7.3222115536967035E-13</v>
      </c>
      <c r="CW134" s="22">
        <f t="shared" si="121"/>
        <v>1.3525069634579169E-12</v>
      </c>
      <c r="CX134" s="62">
        <f t="shared" si="122"/>
        <v>293.33333333333468</v>
      </c>
      <c r="CY134" s="62">
        <f ca="1">AVERAGE(OFFSET($CX$3,0,0,'Données projet'!$E$13+1,1))-AVERAGE(OFFSET($H$3,0,0,'Données projet'!$E$13+1,1))</f>
        <v>288.82868507674738</v>
      </c>
      <c r="CZ134" s="62">
        <f t="shared" si="150"/>
        <v>283.48738729114024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1.3812350120131378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1.3812350120131378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>
        <f>DO134*VLOOKUP('Données projet'!$B$14,Paramètres!$A$1:$I$89,3,0)*VLOOKUP('Données projet'!$B$14,Paramètres!$A$1:$I$89,5,0)</f>
        <v>0</v>
      </c>
      <c r="DQ134" s="14" t="e">
        <f t="shared" si="151"/>
        <v>#NUM!</v>
      </c>
      <c r="DR134" s="22" t="e">
        <f t="shared" si="124"/>
        <v>#NUM!</v>
      </c>
      <c r="DS134" s="62" t="e">
        <f t="shared" si="125"/>
        <v>#NUM!</v>
      </c>
      <c r="DT134" s="62">
        <f ca="1">AVERAGE(OFFSET($DS$3,0,0,'Données projet'!$E$14+1,1))-AVERAGE(OFFSET($H$3,0,0,'Données projet'!$E$14+1,1))</f>
        <v>487.04124684635974</v>
      </c>
      <c r="DU134" s="62">
        <f t="shared" si="152"/>
        <v>306.61893266146666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1.6567294902529695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1.6567294902529695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>
        <f>EJ134*VLOOKUP('Données projet'!$B$15,Paramètres!$A$1:$I$89,3,0)*VLOOKUP('Données projet'!$B$15,Paramètres!$A$1:$I$89,5,0)</f>
        <v>0</v>
      </c>
      <c r="EL134" s="14" t="e">
        <f t="shared" si="153"/>
        <v>#NUM!</v>
      </c>
      <c r="EM134" s="22" t="e">
        <f t="shared" si="127"/>
        <v>#NUM!</v>
      </c>
      <c r="EN134" s="62" t="e">
        <f t="shared" si="128"/>
        <v>#NUM!</v>
      </c>
      <c r="EO134" s="62">
        <f ca="1">AVERAGE(OFFSET($EN$3,0,0,'Données projet'!$E$15+1,1))-AVERAGE(OFFSET($H$3,0,0,'Données projet'!$E$15+1,1))</f>
        <v>459.64120566196812</v>
      </c>
      <c r="EP134" s="62">
        <f t="shared" si="154"/>
        <v>290.39826583283588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1.5547769062374024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1.5547769062374024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>
        <f>FE134*VLOOKUP('Données projet'!$B$16,Paramètres!$A$1:$I$89,3,0)*VLOOKUP('Données projet'!$B$16,Paramètres!$A$1:$I$89,5,0)</f>
        <v>0</v>
      </c>
      <c r="FG134" s="14" t="e">
        <f t="shared" si="155"/>
        <v>#NUM!</v>
      </c>
      <c r="FH134" s="22" t="e">
        <f t="shared" si="130"/>
        <v>#NUM!</v>
      </c>
      <c r="FI134" s="62" t="e">
        <f t="shared" si="131"/>
        <v>#NUM!</v>
      </c>
      <c r="FJ134" s="62">
        <f ca="1">AVERAGE(OFFSET($FI$3,0,0,'Données projet'!$E$16+1,1))-AVERAGE(OFFSET($H$3,0,0,'Données projet'!$E$16+1,1))</f>
        <v>335.83558218229564</v>
      </c>
      <c r="FK134" s="62">
        <f t="shared" si="156"/>
        <v>217.08423061559648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0</v>
      </c>
      <c r="FR134" s="23">
        <f>EXP(-LN(2)/25)*FR133+(1-EXP(-LN(2)/25))/(LN(2)/25)*Calculateur!FM134*Calculateur!FO134*VLOOKUP('Données projet'!$B$16,Paramètres!$A$1:$I$89,3,0)*0.475*44/12</f>
        <v>0.50719904990043851</v>
      </c>
      <c r="FS134" s="23">
        <f>EXP(-LN(2)/2)*FS133+(1-EXP(-LN(2)/2))/(LN(2)/2)*FM134*FP134*VLOOKUP('Données projet'!$B$16,Paramètres!$A$1:$I$89,3,0)*0.475*44/12</f>
        <v>6.9421942303039427E-15</v>
      </c>
      <c r="FT134" s="24">
        <f t="shared" si="132"/>
        <v>0.50719904990044551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1.9895196601282805E-13</v>
      </c>
      <c r="O135" s="14">
        <f>N135*VLOOKUP('Données projet'!$B$9,Paramètres!$A$1:$I$89,3,0)*VLOOKUP('Données projet'!$B$9,Paramètres!$A$1:$I$89,5,0)</f>
        <v>1.738044375088066E-13</v>
      </c>
      <c r="P135" s="14">
        <f t="shared" si="141"/>
        <v>2.4483293633950478E-12</v>
      </c>
      <c r="Q135" s="22">
        <f t="shared" si="108"/>
        <v>4.566883036574213E-12</v>
      </c>
      <c r="R135" s="62">
        <f t="shared" si="109"/>
        <v>293.33333333333786</v>
      </c>
      <c r="S135" s="62">
        <f ca="1">AVERAGE(OFFSET($R$3,0,0,'Données projet'!$E$9+1,1))-AVERAGE(OFFSET($H$3,0,0,'Données projet'!$E$9+1,1))</f>
        <v>321.23599968992932</v>
      </c>
      <c r="T135" s="62">
        <f t="shared" si="142"/>
        <v>388.05195847800502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1.5126015002675417</v>
      </c>
      <c r="AB135" s="23">
        <f>EXP(-LN(2)/2)*AB134+(1-EXP(-LN(2)/2))/(LN(2)/2)*V135*Y135*VLOOKUP('Données projet'!$B$9,Paramètres!$A$1:$I$89,3,0)*0.475*44/12</f>
        <v>8.1119591411456599E-15</v>
      </c>
      <c r="AC135" s="24">
        <f t="shared" si="111"/>
        <v>1.5126015002675499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-5.6843418860808015E-14</v>
      </c>
      <c r="AJ135" s="14">
        <f>AI135*VLOOKUP('Données projet'!$B$10,Paramètres!$A$1:$I$89,3,0)*VLOOKUP('Données projet'!$B$10,Paramètres!$A$1:$I$89,5,0)</f>
        <v>-5.1431925385259088E-14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439.19854273764042</v>
      </c>
      <c r="AO135" s="62">
        <f t="shared" si="144"/>
        <v>278.21741231699929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0.53987019966210159</v>
      </c>
      <c r="AW135" s="23">
        <f>EXP(-LN(2)/2)*AW134+(1-EXP(-LN(2)/2))/(LN(2)/2)*AQ135*AT135*VLOOKUP('Données projet'!$B$10,Paramètres!$A$1:$I$89,3,0)*0.475*44/12</f>
        <v>6.6212700409441083E-15</v>
      </c>
      <c r="AX135" s="23">
        <f t="shared" si="114"/>
        <v>0.53987019966210825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-2.8421709430404007E-13</v>
      </c>
      <c r="BE135" s="14">
        <f>BD135*VLOOKUP('Données projet'!$B$11,Paramètres!$A$1:$I$89,3,0)*VLOOKUP('Données projet'!$B$11,Paramètres!$A$1:$I$89,5,0)</f>
        <v>-2.2612312022829427E-13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352.88510024787888</v>
      </c>
      <c r="BJ135" s="62">
        <f t="shared" si="146"/>
        <v>343.77208530767069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0.72673117911881857</v>
      </c>
      <c r="BR135" s="23">
        <f>EXP(-LN(2)/2)*BR134+(1-EXP(-LN(2)/2))/(LN(2)/2)*BL135*BO135*VLOOKUP('Données projet'!$B$11,Paramètres!$A$1:$I$89,3,0)*0.475*44/12</f>
        <v>1.753124813774621E-16</v>
      </c>
      <c r="BS135" s="24">
        <f t="shared" si="117"/>
        <v>0.72673117911881879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-2.8421709430404007E-13</v>
      </c>
      <c r="BZ135" s="14">
        <f>BY135*VLOOKUP('Données projet'!$B$12,Paramètres!$A$1:$I$89,3,0)*VLOOKUP('Données projet'!$B$12,Paramètres!$A$1:$I$89,5,0)</f>
        <v>-2.0838797354372215E-13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328.10411227536315</v>
      </c>
      <c r="CE135" s="62">
        <f t="shared" si="148"/>
        <v>320.24200483294322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1.2043055560511251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1.2043055560511251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5.6843418860808015E-14</v>
      </c>
      <c r="CU135" s="18">
        <f>CT135*VLOOKUP('Données projet'!$B$13,Paramètres!$A$1:$I$89,3,0)*VLOOKUP('Données projet'!$B$13,Paramètres!$A$1:$I$89,5,0)</f>
        <v>4.4337866711430253E-14</v>
      </c>
      <c r="CV135" s="14">
        <f t="shared" si="149"/>
        <v>7.3222115536967035E-13</v>
      </c>
      <c r="CW135" s="22">
        <f t="shared" si="121"/>
        <v>1.3525069634579169E-12</v>
      </c>
      <c r="CX135" s="62">
        <f t="shared" si="122"/>
        <v>293.33333333333468</v>
      </c>
      <c r="CY135" s="62">
        <f ca="1">AVERAGE(OFFSET($CX$3,0,0,'Données projet'!$E$13+1,1))-AVERAGE(OFFSET($H$3,0,0,'Données projet'!$E$13+1,1))</f>
        <v>288.82868507674738</v>
      </c>
      <c r="CZ135" s="62">
        <f t="shared" si="150"/>
        <v>283.48738729114024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1.3541498358977304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1.3541498358977304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>
        <f>DO135*VLOOKUP('Données projet'!$B$14,Paramètres!$A$1:$I$89,3,0)*VLOOKUP('Données projet'!$B$14,Paramètres!$A$1:$I$89,5,0)</f>
        <v>0</v>
      </c>
      <c r="DQ135" s="14" t="e">
        <f t="shared" si="151"/>
        <v>#NUM!</v>
      </c>
      <c r="DR135" s="22" t="e">
        <f t="shared" si="124"/>
        <v>#NUM!</v>
      </c>
      <c r="DS135" s="62" t="e">
        <f t="shared" si="125"/>
        <v>#NUM!</v>
      </c>
      <c r="DT135" s="62">
        <f ca="1">AVERAGE(OFFSET($DS$3,0,0,'Données projet'!$E$14+1,1))-AVERAGE(OFFSET($H$3,0,0,'Données projet'!$E$14+1,1))</f>
        <v>487.04124684635974</v>
      </c>
      <c r="DU135" s="62">
        <f t="shared" si="152"/>
        <v>306.61893266146666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1.6242420354543188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1.6242420354543188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>
        <f>EJ135*VLOOKUP('Données projet'!$B$15,Paramètres!$A$1:$I$89,3,0)*VLOOKUP('Données projet'!$B$15,Paramètres!$A$1:$I$89,5,0)</f>
        <v>0</v>
      </c>
      <c r="EL135" s="14" t="e">
        <f t="shared" si="153"/>
        <v>#NUM!</v>
      </c>
      <c r="EM135" s="22" t="e">
        <f t="shared" si="127"/>
        <v>#NUM!</v>
      </c>
      <c r="EN135" s="62" t="e">
        <f t="shared" si="128"/>
        <v>#NUM!</v>
      </c>
      <c r="EO135" s="62">
        <f ca="1">AVERAGE(OFFSET($EN$3,0,0,'Données projet'!$E$15+1,1))-AVERAGE(OFFSET($H$3,0,0,'Données projet'!$E$15+1,1))</f>
        <v>459.64120566196812</v>
      </c>
      <c r="EP135" s="62">
        <f t="shared" si="154"/>
        <v>290.39826583283588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1.5242886794263608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1.5242886794263608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>
        <f>FE135*VLOOKUP('Données projet'!$B$16,Paramètres!$A$1:$I$89,3,0)*VLOOKUP('Données projet'!$B$16,Paramètres!$A$1:$I$89,5,0)</f>
        <v>0</v>
      </c>
      <c r="FG135" s="14" t="e">
        <f t="shared" si="155"/>
        <v>#NUM!</v>
      </c>
      <c r="FH135" s="22" t="e">
        <f t="shared" si="130"/>
        <v>#NUM!</v>
      </c>
      <c r="FI135" s="62" t="e">
        <f t="shared" si="131"/>
        <v>#NUM!</v>
      </c>
      <c r="FJ135" s="62">
        <f ca="1">AVERAGE(OFFSET($FI$3,0,0,'Données projet'!$E$16+1,1))-AVERAGE(OFFSET($H$3,0,0,'Données projet'!$E$16+1,1))</f>
        <v>335.83558218229564</v>
      </c>
      <c r="FK135" s="62">
        <f t="shared" si="156"/>
        <v>217.08423061559648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0</v>
      </c>
      <c r="FR135" s="23">
        <f>EXP(-LN(2)/25)*FR134+(1-EXP(-LN(2)/25))/(LN(2)/25)*Calculateur!FM135*Calculateur!FO135*VLOOKUP('Données projet'!$B$16,Paramètres!$A$1:$I$89,3,0)*0.475*44/12</f>
        <v>0.49332966520847221</v>
      </c>
      <c r="FS135" s="23">
        <f>EXP(-LN(2)/2)*FS134+(1-EXP(-LN(2)/2))/(LN(2)/2)*FM135*FP135*VLOOKUP('Données projet'!$B$16,Paramètres!$A$1:$I$89,3,0)*0.475*44/12</f>
        <v>4.9088726165620432E-15</v>
      </c>
      <c r="FT135" s="24">
        <f t="shared" si="132"/>
        <v>0.4933296652084771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1.9895196601282805E-13</v>
      </c>
      <c r="O136" s="14">
        <f>N136*VLOOKUP('Données projet'!$B$9,Paramètres!$A$1:$I$89,3,0)*VLOOKUP('Données projet'!$B$9,Paramètres!$A$1:$I$89,5,0)</f>
        <v>1.738044375088066E-13</v>
      </c>
      <c r="P136" s="14">
        <f t="shared" si="141"/>
        <v>2.4483293633950478E-12</v>
      </c>
      <c r="Q136" s="22">
        <f t="shared" si="108"/>
        <v>4.566883036574213E-12</v>
      </c>
      <c r="R136" s="62">
        <f t="shared" si="109"/>
        <v>293.33333333333786</v>
      </c>
      <c r="S136" s="62">
        <f ca="1">AVERAGE(OFFSET($R$3,0,0,'Données projet'!$E$9+1,1))-AVERAGE(OFFSET($H$3,0,0,'Données projet'!$E$9+1,1))</f>
        <v>321.23599968992932</v>
      </c>
      <c r="T136" s="62">
        <f t="shared" si="142"/>
        <v>388.05195847800502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1.4712393326984701</v>
      </c>
      <c r="AB136" s="23">
        <f>EXP(-LN(2)/2)*AB135+(1-EXP(-LN(2)/2))/(LN(2)/2)*V136*Y136*VLOOKUP('Données projet'!$B$9,Paramètres!$A$1:$I$89,3,0)*0.475*44/12</f>
        <v>5.7360213174122982E-15</v>
      </c>
      <c r="AC136" s="24">
        <f t="shared" si="111"/>
        <v>1.4712393326984758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-5.6843418860808015E-14</v>
      </c>
      <c r="AJ136" s="14">
        <f>AI136*VLOOKUP('Données projet'!$B$10,Paramètres!$A$1:$I$89,3,0)*VLOOKUP('Données projet'!$B$10,Paramètres!$A$1:$I$89,5,0)</f>
        <v>-5.1431925385259088E-14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439.19854273764042</v>
      </c>
      <c r="AO136" s="62">
        <f t="shared" si="144"/>
        <v>278.21741231699929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0.52510742066180149</v>
      </c>
      <c r="AW136" s="23">
        <f>EXP(-LN(2)/2)*AW135+(1-EXP(-LN(2)/2))/(LN(2)/2)*AQ136*AT136*VLOOKUP('Données projet'!$B$10,Paramètres!$A$1:$I$89,3,0)*0.475*44/12</f>
        <v>4.6819449460189081E-15</v>
      </c>
      <c r="AX136" s="23">
        <f t="shared" si="114"/>
        <v>0.52510742066180616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-2.8421709430404007E-13</v>
      </c>
      <c r="BE136" s="14">
        <f>BD136*VLOOKUP('Données projet'!$B$11,Paramètres!$A$1:$I$89,3,0)*VLOOKUP('Données projet'!$B$11,Paramètres!$A$1:$I$89,5,0)</f>
        <v>-2.2612312022829427E-13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352.88510024787888</v>
      </c>
      <c r="BJ136" s="62">
        <f t="shared" si="146"/>
        <v>343.77208530767069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0.70685867680868275</v>
      </c>
      <c r="BR136" s="23">
        <f>EXP(-LN(2)/2)*BR135+(1-EXP(-LN(2)/2))/(LN(2)/2)*BL136*BO136*VLOOKUP('Données projet'!$B$11,Paramètres!$A$1:$I$89,3,0)*0.475*44/12</f>
        <v>1.2396464440864378E-16</v>
      </c>
      <c r="BS136" s="24">
        <f t="shared" si="117"/>
        <v>0.70685867680868286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-2.8421709430404007E-13</v>
      </c>
      <c r="BZ136" s="14">
        <f>BY136*VLOOKUP('Données projet'!$B$12,Paramètres!$A$1:$I$89,3,0)*VLOOKUP('Données projet'!$B$12,Paramètres!$A$1:$I$89,5,0)</f>
        <v>-2.0838797354372215E-13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328.10411227536315</v>
      </c>
      <c r="CE136" s="62">
        <f t="shared" si="148"/>
        <v>320.24200483294322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1.1806898586508205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1.1806898586508205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5.6843418860808015E-14</v>
      </c>
      <c r="CU136" s="18">
        <f>CT136*VLOOKUP('Données projet'!$B$13,Paramètres!$A$1:$I$89,3,0)*VLOOKUP('Données projet'!$B$13,Paramètres!$A$1:$I$89,5,0)</f>
        <v>4.4337866711430253E-14</v>
      </c>
      <c r="CV136" s="14">
        <f t="shared" si="149"/>
        <v>7.3222115536967035E-13</v>
      </c>
      <c r="CW136" s="22">
        <f t="shared" si="121"/>
        <v>1.3525069634579169E-12</v>
      </c>
      <c r="CX136" s="62">
        <f t="shared" si="122"/>
        <v>293.33333333333468</v>
      </c>
      <c r="CY136" s="62">
        <f ca="1">AVERAGE(OFFSET($CX$3,0,0,'Données projet'!$E$13+1,1))-AVERAGE(OFFSET($H$3,0,0,'Données projet'!$E$13+1,1))</f>
        <v>288.82868507674738</v>
      </c>
      <c r="CZ136" s="62">
        <f t="shared" si="150"/>
        <v>283.48738729114024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1.32759578356562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1.32759578356562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>
        <f>DO136*VLOOKUP('Données projet'!$B$14,Paramètres!$A$1:$I$89,3,0)*VLOOKUP('Données projet'!$B$14,Paramètres!$A$1:$I$89,5,0)</f>
        <v>0</v>
      </c>
      <c r="DQ136" s="14" t="e">
        <f t="shared" si="151"/>
        <v>#NUM!</v>
      </c>
      <c r="DR136" s="22" t="e">
        <f t="shared" si="124"/>
        <v>#NUM!</v>
      </c>
      <c r="DS136" s="62" t="e">
        <f t="shared" si="125"/>
        <v>#NUM!</v>
      </c>
      <c r="DT136" s="62">
        <f ca="1">AVERAGE(OFFSET($DS$3,0,0,'Données projet'!$E$14+1,1))-AVERAGE(OFFSET($H$3,0,0,'Données projet'!$E$14+1,1))</f>
        <v>487.04124684635974</v>
      </c>
      <c r="DU136" s="62">
        <f t="shared" si="152"/>
        <v>306.61893266146666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1.5923916398288787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1.5923916398288787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>
        <f>EJ136*VLOOKUP('Données projet'!$B$15,Paramètres!$A$1:$I$89,3,0)*VLOOKUP('Données projet'!$B$15,Paramètres!$A$1:$I$89,5,0)</f>
        <v>0</v>
      </c>
      <c r="EL136" s="14" t="e">
        <f t="shared" si="153"/>
        <v>#NUM!</v>
      </c>
      <c r="EM136" s="22" t="e">
        <f t="shared" si="127"/>
        <v>#NUM!</v>
      </c>
      <c r="EN136" s="62" t="e">
        <f t="shared" si="128"/>
        <v>#NUM!</v>
      </c>
      <c r="EO136" s="62">
        <f ca="1">AVERAGE(OFFSET($EN$3,0,0,'Données projet'!$E$15+1,1))-AVERAGE(OFFSET($H$3,0,0,'Données projet'!$E$15+1,1))</f>
        <v>459.64120566196812</v>
      </c>
      <c r="EP136" s="62">
        <f t="shared" si="154"/>
        <v>290.39826583283588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1.4943983081471017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1.4943983081471017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>
        <f>FE136*VLOOKUP('Données projet'!$B$16,Paramètres!$A$1:$I$89,3,0)*VLOOKUP('Données projet'!$B$16,Paramètres!$A$1:$I$89,5,0)</f>
        <v>0</v>
      </c>
      <c r="FG136" s="14" t="e">
        <f t="shared" si="155"/>
        <v>#NUM!</v>
      </c>
      <c r="FH136" s="22" t="e">
        <f t="shared" si="130"/>
        <v>#NUM!</v>
      </c>
      <c r="FI136" s="62" t="e">
        <f t="shared" si="131"/>
        <v>#NUM!</v>
      </c>
      <c r="FJ136" s="62">
        <f ca="1">AVERAGE(OFFSET($FI$3,0,0,'Données projet'!$E$16+1,1))-AVERAGE(OFFSET($H$3,0,0,'Données projet'!$E$16+1,1))</f>
        <v>335.83558218229564</v>
      </c>
      <c r="FK136" s="62">
        <f t="shared" si="156"/>
        <v>217.08423061559648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0</v>
      </c>
      <c r="FR136" s="23">
        <f>EXP(-LN(2)/25)*FR135+(1-EXP(-LN(2)/25))/(LN(2)/25)*Calculateur!FM136*Calculateur!FO136*VLOOKUP('Données projet'!$B$16,Paramètres!$A$1:$I$89,3,0)*0.475*44/12</f>
        <v>0.47983953957026698</v>
      </c>
      <c r="FS136" s="23">
        <f>EXP(-LN(2)/2)*FS135+(1-EXP(-LN(2)/2))/(LN(2)/2)*FM136*FP136*VLOOKUP('Données projet'!$B$16,Paramètres!$A$1:$I$89,3,0)*0.475*44/12</f>
        <v>3.4710971151519718E-15</v>
      </c>
      <c r="FT136" s="24">
        <f t="shared" si="132"/>
        <v>0.47983953957027048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1.9895196601282805E-13</v>
      </c>
      <c r="O137" s="14">
        <f>N137*VLOOKUP('Données projet'!$B$9,Paramètres!$A$1:$I$89,3,0)*VLOOKUP('Données projet'!$B$9,Paramètres!$A$1:$I$89,5,0)</f>
        <v>1.738044375088066E-13</v>
      </c>
      <c r="P137" s="14">
        <f t="shared" si="141"/>
        <v>2.4483293633950478E-12</v>
      </c>
      <c r="Q137" s="22">
        <f t="shared" si="108"/>
        <v>4.566883036574213E-12</v>
      </c>
      <c r="R137" s="62">
        <f t="shared" si="109"/>
        <v>293.33333333333786</v>
      </c>
      <c r="S137" s="62">
        <f ca="1">AVERAGE(OFFSET($R$3,0,0,'Données projet'!$E$9+1,1))-AVERAGE(OFFSET($H$3,0,0,'Données projet'!$E$9+1,1))</f>
        <v>321.23599968992932</v>
      </c>
      <c r="T137" s="62">
        <f t="shared" si="142"/>
        <v>388.05195847800502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1.4310082157767166</v>
      </c>
      <c r="AB137" s="23">
        <f>EXP(-LN(2)/2)*AB136+(1-EXP(-LN(2)/2))/(LN(2)/2)*V137*Y137*VLOOKUP('Données projet'!$B$9,Paramètres!$A$1:$I$89,3,0)*0.475*44/12</f>
        <v>4.0559795705728299E-15</v>
      </c>
      <c r="AC137" s="24">
        <f t="shared" si="111"/>
        <v>1.4310082157767205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-5.6843418860808015E-14</v>
      </c>
      <c r="AJ137" s="14">
        <f>AI137*VLOOKUP('Données projet'!$B$10,Paramètres!$A$1:$I$89,3,0)*VLOOKUP('Données projet'!$B$10,Paramètres!$A$1:$I$89,5,0)</f>
        <v>-5.1431925385259088E-14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439.19854273764042</v>
      </c>
      <c r="AO137" s="62">
        <f t="shared" si="144"/>
        <v>278.21741231699929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0.51074833062960545</v>
      </c>
      <c r="AW137" s="23">
        <f>EXP(-LN(2)/2)*AW136+(1-EXP(-LN(2)/2))/(LN(2)/2)*AQ137*AT137*VLOOKUP('Données projet'!$B$10,Paramètres!$A$1:$I$89,3,0)*0.475*44/12</f>
        <v>3.3106350204720542E-15</v>
      </c>
      <c r="AX137" s="23">
        <f t="shared" si="114"/>
        <v>0.51074833062960878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-2.8421709430404007E-13</v>
      </c>
      <c r="BE137" s="14">
        <f>BD137*VLOOKUP('Données projet'!$B$11,Paramètres!$A$1:$I$89,3,0)*VLOOKUP('Données projet'!$B$11,Paramètres!$A$1:$I$89,5,0)</f>
        <v>-2.2612312022829427E-13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352.88510024787888</v>
      </c>
      <c r="BJ137" s="62">
        <f t="shared" si="146"/>
        <v>343.77208530767069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0.68752958911926709</v>
      </c>
      <c r="BR137" s="23">
        <f>EXP(-LN(2)/2)*BR136+(1-EXP(-LN(2)/2))/(LN(2)/2)*BL137*BO137*VLOOKUP('Données projet'!$B$11,Paramètres!$A$1:$I$89,3,0)*0.475*44/12</f>
        <v>8.7656240688731052E-17</v>
      </c>
      <c r="BS137" s="24">
        <f t="shared" si="117"/>
        <v>0.6875295891192672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-2.8421709430404007E-13</v>
      </c>
      <c r="BZ137" s="14">
        <f>BY137*VLOOKUP('Données projet'!$B$12,Paramètres!$A$1:$I$89,3,0)*VLOOKUP('Données projet'!$B$12,Paramètres!$A$1:$I$89,5,0)</f>
        <v>-2.0838797354372215E-13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328.10411227536315</v>
      </c>
      <c r="CE137" s="62">
        <f t="shared" si="148"/>
        <v>320.24200483294322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1.1575372506723829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1.1575372506723829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5.6843418860808015E-14</v>
      </c>
      <c r="CU137" s="18">
        <f>CT137*VLOOKUP('Données projet'!$B$13,Paramètres!$A$1:$I$89,3,0)*VLOOKUP('Données projet'!$B$13,Paramètres!$A$1:$I$89,5,0)</f>
        <v>4.4337866711430253E-14</v>
      </c>
      <c r="CV137" s="14">
        <f t="shared" si="149"/>
        <v>7.3222115536967035E-13</v>
      </c>
      <c r="CW137" s="22">
        <f t="shared" si="121"/>
        <v>1.3525069634579169E-12</v>
      </c>
      <c r="CX137" s="62">
        <f t="shared" si="122"/>
        <v>293.33333333333468</v>
      </c>
      <c r="CY137" s="62">
        <f ca="1">AVERAGE(OFFSET($CX$3,0,0,'Données projet'!$E$13+1,1))-AVERAGE(OFFSET($H$3,0,0,'Données projet'!$E$13+1,1))</f>
        <v>288.82868507674738</v>
      </c>
      <c r="CZ137" s="62">
        <f t="shared" si="150"/>
        <v>283.48738729114024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1.3015624400033696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1.3015624400033696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>
        <f>DO137*VLOOKUP('Données projet'!$B$14,Paramètres!$A$1:$I$89,3,0)*VLOOKUP('Données projet'!$B$14,Paramètres!$A$1:$I$89,5,0)</f>
        <v>0</v>
      </c>
      <c r="DQ137" s="14" t="e">
        <f t="shared" si="151"/>
        <v>#NUM!</v>
      </c>
      <c r="DR137" s="22" t="e">
        <f t="shared" si="124"/>
        <v>#NUM!</v>
      </c>
      <c r="DS137" s="62" t="e">
        <f t="shared" si="125"/>
        <v>#NUM!</v>
      </c>
      <c r="DT137" s="62">
        <f ca="1">AVERAGE(OFFSET($DS$3,0,0,'Données projet'!$E$14+1,1))-AVERAGE(OFFSET($H$3,0,0,'Données projet'!$E$14+1,1))</f>
        <v>487.04124684635974</v>
      </c>
      <c r="DU137" s="62">
        <f t="shared" si="152"/>
        <v>306.61893266146666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1.5611658110348303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1.5611658110348303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>
        <f>EJ137*VLOOKUP('Données projet'!$B$15,Paramètres!$A$1:$I$89,3,0)*VLOOKUP('Données projet'!$B$15,Paramètres!$A$1:$I$89,5,0)</f>
        <v>0</v>
      </c>
      <c r="EL137" s="14" t="e">
        <f t="shared" si="153"/>
        <v>#NUM!</v>
      </c>
      <c r="EM137" s="22" t="e">
        <f t="shared" si="127"/>
        <v>#NUM!</v>
      </c>
      <c r="EN137" s="62" t="e">
        <f t="shared" si="128"/>
        <v>#NUM!</v>
      </c>
      <c r="EO137" s="62">
        <f ca="1">AVERAGE(OFFSET($EN$3,0,0,'Données projet'!$E$15+1,1))-AVERAGE(OFFSET($H$3,0,0,'Données projet'!$E$15+1,1))</f>
        <v>459.64120566196812</v>
      </c>
      <c r="EP137" s="62">
        <f t="shared" si="154"/>
        <v>290.39826583283588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1.4650940688173026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1.4650940688173026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>
        <f>FE137*VLOOKUP('Données projet'!$B$16,Paramètres!$A$1:$I$89,3,0)*VLOOKUP('Données projet'!$B$16,Paramètres!$A$1:$I$89,5,0)</f>
        <v>0</v>
      </c>
      <c r="FG137" s="14" t="e">
        <f t="shared" si="155"/>
        <v>#NUM!</v>
      </c>
      <c r="FH137" s="22" t="e">
        <f t="shared" si="130"/>
        <v>#NUM!</v>
      </c>
      <c r="FI137" s="62" t="e">
        <f t="shared" si="131"/>
        <v>#NUM!</v>
      </c>
      <c r="FJ137" s="62">
        <f ca="1">AVERAGE(OFFSET($FI$3,0,0,'Données projet'!$E$16+1,1))-AVERAGE(OFFSET($H$3,0,0,'Données projet'!$E$16+1,1))</f>
        <v>335.83558218229564</v>
      </c>
      <c r="FK137" s="62">
        <f t="shared" si="156"/>
        <v>217.08423061559648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0</v>
      </c>
      <c r="FR137" s="23">
        <f>EXP(-LN(2)/25)*FR136+(1-EXP(-LN(2)/25))/(LN(2)/25)*Calculateur!FM137*Calculateur!FO137*VLOOKUP('Données projet'!$B$16,Paramètres!$A$1:$I$89,3,0)*0.475*44/12</f>
        <v>0.46671830212705334</v>
      </c>
      <c r="FS137" s="23">
        <f>EXP(-LN(2)/2)*FS136+(1-EXP(-LN(2)/2))/(LN(2)/2)*FM137*FP137*VLOOKUP('Données projet'!$B$16,Paramètres!$A$1:$I$89,3,0)*0.475*44/12</f>
        <v>2.454436308281022E-15</v>
      </c>
      <c r="FT137" s="24">
        <f t="shared" si="132"/>
        <v>0.46671830212705578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1.9895196601282805E-13</v>
      </c>
      <c r="O138" s="14">
        <f>N138*VLOOKUP('Données projet'!$B$9,Paramètres!$A$1:$I$89,3,0)*VLOOKUP('Données projet'!$B$9,Paramètres!$A$1:$I$89,5,0)</f>
        <v>1.738044375088066E-13</v>
      </c>
      <c r="P138" s="14">
        <f t="shared" si="141"/>
        <v>2.4483293633950478E-12</v>
      </c>
      <c r="Q138" s="22">
        <f t="shared" si="108"/>
        <v>4.566883036574213E-12</v>
      </c>
      <c r="R138" s="62">
        <f t="shared" si="109"/>
        <v>293.33333333333786</v>
      </c>
      <c r="S138" s="62">
        <f ca="1">AVERAGE(OFFSET($R$3,0,0,'Données projet'!$E$9+1,1))-AVERAGE(OFFSET($H$3,0,0,'Données projet'!$E$9+1,1))</f>
        <v>321.23599968992932</v>
      </c>
      <c r="T138" s="62">
        <f t="shared" si="142"/>
        <v>388.05195847800502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1.3918772208628507</v>
      </c>
      <c r="AB138" s="23">
        <f>EXP(-LN(2)/2)*AB137+(1-EXP(-LN(2)/2))/(LN(2)/2)*V138*Y138*VLOOKUP('Données projet'!$B$9,Paramètres!$A$1:$I$89,3,0)*0.475*44/12</f>
        <v>2.8680106587061491E-15</v>
      </c>
      <c r="AC138" s="24">
        <f t="shared" si="111"/>
        <v>1.3918772208628536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-5.6843418860808015E-14</v>
      </c>
      <c r="AJ138" s="14">
        <f>AI138*VLOOKUP('Données projet'!$B$10,Paramètres!$A$1:$I$89,3,0)*VLOOKUP('Données projet'!$B$10,Paramètres!$A$1:$I$89,5,0)</f>
        <v>-5.1431925385259088E-14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439.19854273764042</v>
      </c>
      <c r="AO138" s="62">
        <f t="shared" si="144"/>
        <v>278.21741231699929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0.4967818906694515</v>
      </c>
      <c r="AW138" s="23">
        <f>EXP(-LN(2)/2)*AW137+(1-EXP(-LN(2)/2))/(LN(2)/2)*AQ138*AT138*VLOOKUP('Données projet'!$B$10,Paramètres!$A$1:$I$89,3,0)*0.475*44/12</f>
        <v>2.3409724730094541E-15</v>
      </c>
      <c r="AX138" s="23">
        <f t="shared" si="114"/>
        <v>0.49678189066945383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-2.8421709430404007E-13</v>
      </c>
      <c r="BE138" s="14">
        <f>BD138*VLOOKUP('Données projet'!$B$11,Paramètres!$A$1:$I$89,3,0)*VLOOKUP('Données projet'!$B$11,Paramètres!$A$1:$I$89,5,0)</f>
        <v>-2.2612312022829427E-13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352.88510024787888</v>
      </c>
      <c r="BJ138" s="62">
        <f t="shared" si="146"/>
        <v>343.77208530767069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0.668729056349191</v>
      </c>
      <c r="BR138" s="23">
        <f>EXP(-LN(2)/2)*BR137+(1-EXP(-LN(2)/2))/(LN(2)/2)*BL138*BO138*VLOOKUP('Données projet'!$B$11,Paramètres!$A$1:$I$89,3,0)*0.475*44/12</f>
        <v>6.1982322204321891E-17</v>
      </c>
      <c r="BS138" s="24">
        <f t="shared" si="117"/>
        <v>0.66872905634919111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-2.8421709430404007E-13</v>
      </c>
      <c r="BZ138" s="14">
        <f>BY138*VLOOKUP('Données projet'!$B$12,Paramètres!$A$1:$I$89,3,0)*VLOOKUP('Données projet'!$B$12,Paramètres!$A$1:$I$89,5,0)</f>
        <v>-2.0838797354372215E-13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328.10411227536315</v>
      </c>
      <c r="CE138" s="62">
        <f t="shared" si="148"/>
        <v>320.24200483294322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1.134838651214706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1.134838651214706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5.6843418860808015E-14</v>
      </c>
      <c r="CU138" s="18">
        <f>CT138*VLOOKUP('Données projet'!$B$13,Paramètres!$A$1:$I$89,3,0)*VLOOKUP('Données projet'!$B$13,Paramètres!$A$1:$I$89,5,0)</f>
        <v>4.4337866711430253E-14</v>
      </c>
      <c r="CV138" s="14">
        <f t="shared" si="149"/>
        <v>7.3222115536967035E-13</v>
      </c>
      <c r="CW138" s="22">
        <f t="shared" si="121"/>
        <v>1.3525069634579169E-12</v>
      </c>
      <c r="CX138" s="62">
        <f t="shared" si="122"/>
        <v>293.33333333333468</v>
      </c>
      <c r="CY138" s="62">
        <f ca="1">AVERAGE(OFFSET($CX$3,0,0,'Données projet'!$E$13+1,1))-AVERAGE(OFFSET($H$3,0,0,'Données projet'!$E$13+1,1))</f>
        <v>288.82868507674738</v>
      </c>
      <c r="CZ138" s="62">
        <f t="shared" si="150"/>
        <v>283.48738729114024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1.2760395944296032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1.2760395944296032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>
        <f>DO138*VLOOKUP('Données projet'!$B$14,Paramètres!$A$1:$I$89,3,0)*VLOOKUP('Données projet'!$B$14,Paramètres!$A$1:$I$89,5,0)</f>
        <v>0</v>
      </c>
      <c r="DQ138" s="14" t="e">
        <f t="shared" si="151"/>
        <v>#NUM!</v>
      </c>
      <c r="DR138" s="22" t="e">
        <f t="shared" si="124"/>
        <v>#NUM!</v>
      </c>
      <c r="DS138" s="62" t="e">
        <f t="shared" si="125"/>
        <v>#NUM!</v>
      </c>
      <c r="DT138" s="62">
        <f ca="1">AVERAGE(OFFSET($DS$3,0,0,'Données projet'!$E$14+1,1))-AVERAGE(OFFSET($H$3,0,0,'Données projet'!$E$14+1,1))</f>
        <v>487.04124684635974</v>
      </c>
      <c r="DU138" s="62">
        <f t="shared" si="152"/>
        <v>306.61893266146666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1.5305523016975584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1.5305523016975584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>
        <f>EJ138*VLOOKUP('Données projet'!$B$15,Paramètres!$A$1:$I$89,3,0)*VLOOKUP('Données projet'!$B$15,Paramètres!$A$1:$I$89,5,0)</f>
        <v>0</v>
      </c>
      <c r="EL138" s="14" t="e">
        <f t="shared" si="153"/>
        <v>#NUM!</v>
      </c>
      <c r="EM138" s="22" t="e">
        <f t="shared" si="127"/>
        <v>#NUM!</v>
      </c>
      <c r="EN138" s="62" t="e">
        <f t="shared" si="128"/>
        <v>#NUM!</v>
      </c>
      <c r="EO138" s="62">
        <f ca="1">AVERAGE(OFFSET($EN$3,0,0,'Données projet'!$E$15+1,1))-AVERAGE(OFFSET($H$3,0,0,'Données projet'!$E$15+1,1))</f>
        <v>459.64120566196812</v>
      </c>
      <c r="EP138" s="62">
        <f t="shared" si="154"/>
        <v>290.39826583283588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1.4363644677469398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1.4363644677469398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>
        <f>FE138*VLOOKUP('Données projet'!$B$16,Paramètres!$A$1:$I$89,3,0)*VLOOKUP('Données projet'!$B$16,Paramètres!$A$1:$I$89,5,0)</f>
        <v>0</v>
      </c>
      <c r="FG138" s="14" t="e">
        <f t="shared" si="155"/>
        <v>#NUM!</v>
      </c>
      <c r="FH138" s="22" t="e">
        <f t="shared" si="130"/>
        <v>#NUM!</v>
      </c>
      <c r="FI138" s="62" t="e">
        <f t="shared" si="131"/>
        <v>#NUM!</v>
      </c>
      <c r="FJ138" s="62">
        <f ca="1">AVERAGE(OFFSET($FI$3,0,0,'Données projet'!$E$16+1,1))-AVERAGE(OFFSET($H$3,0,0,'Données projet'!$E$16+1,1))</f>
        <v>335.83558218229564</v>
      </c>
      <c r="FK138" s="62">
        <f t="shared" si="156"/>
        <v>217.08423061559648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0</v>
      </c>
      <c r="FR138" s="23">
        <f>EXP(-LN(2)/25)*FR137+(1-EXP(-LN(2)/25))/(LN(2)/25)*Calculateur!FM138*Calculateur!FO138*VLOOKUP('Données projet'!$B$16,Paramètres!$A$1:$I$89,3,0)*0.475*44/12</f>
        <v>0.45395586561174028</v>
      </c>
      <c r="FS138" s="23">
        <f>EXP(-LN(2)/2)*FS137+(1-EXP(-LN(2)/2))/(LN(2)/2)*FM138*FP138*VLOOKUP('Données projet'!$B$16,Paramètres!$A$1:$I$89,3,0)*0.475*44/12</f>
        <v>1.7355485575759863E-15</v>
      </c>
      <c r="FT138" s="24">
        <f t="shared" si="132"/>
        <v>0.453955865611742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1.9895196601282805E-13</v>
      </c>
      <c r="O139" s="14">
        <f>N139*VLOOKUP('Données projet'!$B$9,Paramètres!$A$1:$I$89,3,0)*VLOOKUP('Données projet'!$B$9,Paramètres!$A$1:$I$89,5,0)</f>
        <v>1.738044375088066E-13</v>
      </c>
      <c r="P139" s="14">
        <f t="shared" si="141"/>
        <v>2.4483293633950478E-12</v>
      </c>
      <c r="Q139" s="22">
        <f t="shared" si="108"/>
        <v>4.566883036574213E-12</v>
      </c>
      <c r="R139" s="62">
        <f t="shared" si="109"/>
        <v>293.33333333333786</v>
      </c>
      <c r="S139" s="62">
        <f ca="1">AVERAGE(OFFSET($R$3,0,0,'Données projet'!$E$9+1,1))-AVERAGE(OFFSET($H$3,0,0,'Données projet'!$E$9+1,1))</f>
        <v>321.23599968992932</v>
      </c>
      <c r="T139" s="62">
        <f t="shared" si="142"/>
        <v>388.05195847800502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1.3538162650627141</v>
      </c>
      <c r="AB139" s="23">
        <f>EXP(-LN(2)/2)*AB138+(1-EXP(-LN(2)/2))/(LN(2)/2)*V139*Y139*VLOOKUP('Données projet'!$B$9,Paramètres!$A$1:$I$89,3,0)*0.475*44/12</f>
        <v>2.027989785286415E-15</v>
      </c>
      <c r="AC139" s="24">
        <f t="shared" si="111"/>
        <v>1.3538162650627161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-5.6843418860808015E-14</v>
      </c>
      <c r="AJ139" s="14">
        <f>AI139*VLOOKUP('Données projet'!$B$10,Paramètres!$A$1:$I$89,3,0)*VLOOKUP('Données projet'!$B$10,Paramètres!$A$1:$I$89,5,0)</f>
        <v>-5.1431925385259088E-14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439.19854273764042</v>
      </c>
      <c r="AO139" s="62">
        <f t="shared" si="144"/>
        <v>278.21741231699929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0.48319736374447114</v>
      </c>
      <c r="AW139" s="23">
        <f>EXP(-LN(2)/2)*AW138+(1-EXP(-LN(2)/2))/(LN(2)/2)*AQ139*AT139*VLOOKUP('Données projet'!$B$10,Paramètres!$A$1:$I$89,3,0)*0.475*44/12</f>
        <v>1.6553175102360271E-15</v>
      </c>
      <c r="AX139" s="23">
        <f t="shared" si="114"/>
        <v>0.48319736374447281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-2.8421709430404007E-13</v>
      </c>
      <c r="BE139" s="14">
        <f>BD139*VLOOKUP('Données projet'!$B$11,Paramètres!$A$1:$I$89,3,0)*VLOOKUP('Données projet'!$B$11,Paramètres!$A$1:$I$89,5,0)</f>
        <v>-2.2612312022829427E-13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352.88510024787888</v>
      </c>
      <c r="BJ139" s="62">
        <f t="shared" si="146"/>
        <v>343.77208530767069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0.65044262513638973</v>
      </c>
      <c r="BR139" s="23">
        <f>EXP(-LN(2)/2)*BR138+(1-EXP(-LN(2)/2))/(LN(2)/2)*BL139*BO139*VLOOKUP('Données projet'!$B$11,Paramètres!$A$1:$I$89,3,0)*0.475*44/12</f>
        <v>4.3828120344365526E-17</v>
      </c>
      <c r="BS139" s="24">
        <f t="shared" si="117"/>
        <v>0.65044262513638973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-2.8421709430404007E-13</v>
      </c>
      <c r="BZ139" s="14">
        <f>BY139*VLOOKUP('Données projet'!$B$12,Paramètres!$A$1:$I$89,3,0)*VLOOKUP('Données projet'!$B$12,Paramètres!$A$1:$I$89,5,0)</f>
        <v>-2.0838797354372215E-13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328.10411227536315</v>
      </c>
      <c r="CE139" s="62">
        <f t="shared" si="148"/>
        <v>320.24200483294322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1.1125851574476153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1.1125851574476153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5.6843418860808015E-14</v>
      </c>
      <c r="CU139" s="18">
        <f>CT139*VLOOKUP('Données projet'!$B$13,Paramètres!$A$1:$I$89,3,0)*VLOOKUP('Données projet'!$B$13,Paramètres!$A$1:$I$89,5,0)</f>
        <v>4.4337866711430253E-14</v>
      </c>
      <c r="CV139" s="14">
        <f t="shared" si="149"/>
        <v>7.3222115536967035E-13</v>
      </c>
      <c r="CW139" s="22">
        <f t="shared" si="121"/>
        <v>1.3525069634579169E-12</v>
      </c>
      <c r="CX139" s="62">
        <f t="shared" si="122"/>
        <v>293.33333333333468</v>
      </c>
      <c r="CY139" s="62">
        <f ca="1">AVERAGE(OFFSET($CX$3,0,0,'Données projet'!$E$13+1,1))-AVERAGE(OFFSET($H$3,0,0,'Données projet'!$E$13+1,1))</f>
        <v>288.82868507674738</v>
      </c>
      <c r="CZ139" s="62">
        <f t="shared" si="150"/>
        <v>283.48738729114024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1.2510172362901399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1.2510172362901399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>
        <f>DO139*VLOOKUP('Données projet'!$B$14,Paramètres!$A$1:$I$89,3,0)*VLOOKUP('Données projet'!$B$14,Paramètres!$A$1:$I$89,5,0)</f>
        <v>0</v>
      </c>
      <c r="DQ139" s="14" t="e">
        <f t="shared" si="151"/>
        <v>#NUM!</v>
      </c>
      <c r="DR139" s="22" t="e">
        <f t="shared" si="124"/>
        <v>#NUM!</v>
      </c>
      <c r="DS139" s="62" t="e">
        <f t="shared" si="125"/>
        <v>#NUM!</v>
      </c>
      <c r="DT139" s="62">
        <f ca="1">AVERAGE(OFFSET($DS$3,0,0,'Données projet'!$E$14+1,1))-AVERAGE(OFFSET($H$3,0,0,'Données projet'!$E$14+1,1))</f>
        <v>487.04124684635974</v>
      </c>
      <c r="DU139" s="62">
        <f t="shared" si="152"/>
        <v>306.61893266146666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1.5005391046059935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1.5005391046059935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>
        <f>EJ139*VLOOKUP('Données projet'!$B$15,Paramètres!$A$1:$I$89,3,0)*VLOOKUP('Données projet'!$B$15,Paramètres!$A$1:$I$89,5,0)</f>
        <v>0</v>
      </c>
      <c r="EL139" s="14" t="e">
        <f t="shared" si="153"/>
        <v>#NUM!</v>
      </c>
      <c r="EM139" s="22" t="e">
        <f t="shared" si="127"/>
        <v>#NUM!</v>
      </c>
      <c r="EN139" s="62" t="e">
        <f t="shared" si="128"/>
        <v>#NUM!</v>
      </c>
      <c r="EO139" s="62">
        <f ca="1">AVERAGE(OFFSET($EN$3,0,0,'Données projet'!$E$15+1,1))-AVERAGE(OFFSET($H$3,0,0,'Données projet'!$E$15+1,1))</f>
        <v>459.64120566196812</v>
      </c>
      <c r="EP139" s="62">
        <f t="shared" si="154"/>
        <v>290.39826583283588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1.4081982366302404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1.4081982366302404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>
        <f>FE139*VLOOKUP('Données projet'!$B$16,Paramètres!$A$1:$I$89,3,0)*VLOOKUP('Données projet'!$B$16,Paramètres!$A$1:$I$89,5,0)</f>
        <v>0</v>
      </c>
      <c r="FG139" s="14" t="e">
        <f t="shared" si="155"/>
        <v>#NUM!</v>
      </c>
      <c r="FH139" s="22" t="e">
        <f t="shared" si="130"/>
        <v>#NUM!</v>
      </c>
      <c r="FI139" s="62" t="e">
        <f t="shared" si="131"/>
        <v>#NUM!</v>
      </c>
      <c r="FJ139" s="62">
        <f ca="1">AVERAGE(OFFSET($FI$3,0,0,'Données projet'!$E$16+1,1))-AVERAGE(OFFSET($H$3,0,0,'Données projet'!$E$16+1,1))</f>
        <v>335.83558218229564</v>
      </c>
      <c r="FK139" s="62">
        <f t="shared" si="156"/>
        <v>217.08423061559648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0</v>
      </c>
      <c r="FR139" s="23">
        <f>EXP(-LN(2)/25)*FR138+(1-EXP(-LN(2)/25))/(LN(2)/25)*Calculateur!FM139*Calculateur!FO139*VLOOKUP('Données projet'!$B$16,Paramètres!$A$1:$I$89,3,0)*0.475*44/12</f>
        <v>0.44154241859408583</v>
      </c>
      <c r="FS139" s="23">
        <f>EXP(-LN(2)/2)*FS138+(1-EXP(-LN(2)/2))/(LN(2)/2)*FM139*FP139*VLOOKUP('Données projet'!$B$16,Paramètres!$A$1:$I$89,3,0)*0.475*44/12</f>
        <v>1.2272181541405112E-15</v>
      </c>
      <c r="FT139" s="24">
        <f t="shared" si="132"/>
        <v>0.44154241859408705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1.9895196601282805E-13</v>
      </c>
      <c r="O140" s="14">
        <f>N140*VLOOKUP('Données projet'!$B$9,Paramètres!$A$1:$I$89,3,0)*VLOOKUP('Données projet'!$B$9,Paramètres!$A$1:$I$89,5,0)</f>
        <v>1.738044375088066E-13</v>
      </c>
      <c r="P140" s="14">
        <f t="shared" si="141"/>
        <v>2.4483293633950478E-12</v>
      </c>
      <c r="Q140" s="22">
        <f t="shared" si="108"/>
        <v>4.566883036574213E-12</v>
      </c>
      <c r="R140" s="62">
        <f t="shared" si="109"/>
        <v>293.33333333333786</v>
      </c>
      <c r="S140" s="62">
        <f ca="1">AVERAGE(OFFSET($R$3,0,0,'Données projet'!$E$9+1,1))-AVERAGE(OFFSET($H$3,0,0,'Données projet'!$E$9+1,1))</f>
        <v>321.23599968992932</v>
      </c>
      <c r="T140" s="62">
        <f t="shared" si="142"/>
        <v>388.05195847800502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1.316796088100471</v>
      </c>
      <c r="AB140" s="23">
        <f>EXP(-LN(2)/2)*AB139+(1-EXP(-LN(2)/2))/(LN(2)/2)*V140*Y140*VLOOKUP('Données projet'!$B$9,Paramètres!$A$1:$I$89,3,0)*0.475*44/12</f>
        <v>1.4340053293530746E-15</v>
      </c>
      <c r="AC140" s="24">
        <f t="shared" si="111"/>
        <v>1.3167960881004723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-5.6843418860808015E-14</v>
      </c>
      <c r="AJ140" s="14">
        <f>AI140*VLOOKUP('Données projet'!$B$10,Paramètres!$A$1:$I$89,3,0)*VLOOKUP('Données projet'!$B$10,Paramètres!$A$1:$I$89,5,0)</f>
        <v>-5.1431925385259088E-14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439.19854273764042</v>
      </c>
      <c r="AO140" s="62">
        <f t="shared" si="144"/>
        <v>278.21741231699929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0.46998430642263356</v>
      </c>
      <c r="AW140" s="23">
        <f>EXP(-LN(2)/2)*AW139+(1-EXP(-LN(2)/2))/(LN(2)/2)*AQ140*AT140*VLOOKUP('Données projet'!$B$10,Paramètres!$A$1:$I$89,3,0)*0.475*44/12</f>
        <v>1.170486236504727E-15</v>
      </c>
      <c r="AX140" s="23">
        <f t="shared" si="114"/>
        <v>0.46998430642263472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-2.8421709430404007E-13</v>
      </c>
      <c r="BE140" s="14">
        <f>BD140*VLOOKUP('Données projet'!$B$11,Paramètres!$A$1:$I$89,3,0)*VLOOKUP('Données projet'!$B$11,Paramètres!$A$1:$I$89,5,0)</f>
        <v>-2.2612312022829427E-13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352.88510024787888</v>
      </c>
      <c r="BJ140" s="62">
        <f t="shared" si="146"/>
        <v>343.77208530767069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0.63265623734674414</v>
      </c>
      <c r="BR140" s="23">
        <f>EXP(-LN(2)/2)*BR139+(1-EXP(-LN(2)/2))/(LN(2)/2)*BL140*BO140*VLOOKUP('Données projet'!$B$11,Paramètres!$A$1:$I$89,3,0)*0.475*44/12</f>
        <v>3.0991161102160946E-17</v>
      </c>
      <c r="BS140" s="24">
        <f t="shared" si="117"/>
        <v>0.63265623734674414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-2.8421709430404007E-13</v>
      </c>
      <c r="BZ140" s="14">
        <f>BY140*VLOOKUP('Données projet'!$B$12,Paramètres!$A$1:$I$89,3,0)*VLOOKUP('Données projet'!$B$12,Paramètres!$A$1:$I$89,5,0)</f>
        <v>-2.0838797354372215E-13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328.10411227536315</v>
      </c>
      <c r="CE140" s="62">
        <f t="shared" si="148"/>
        <v>320.24200483294322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1.0907680411200065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1.0907680411200065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5.6843418860808015E-14</v>
      </c>
      <c r="CU140" s="18">
        <f>CT140*VLOOKUP('Données projet'!$B$13,Paramètres!$A$1:$I$89,3,0)*VLOOKUP('Données projet'!$B$13,Paramètres!$A$1:$I$89,5,0)</f>
        <v>4.4337866711430253E-14</v>
      </c>
      <c r="CV140" s="14">
        <f t="shared" si="149"/>
        <v>7.3222115536967035E-13</v>
      </c>
      <c r="CW140" s="22">
        <f t="shared" si="121"/>
        <v>1.3525069634579169E-12</v>
      </c>
      <c r="CX140" s="62">
        <f t="shared" si="122"/>
        <v>293.33333333333468</v>
      </c>
      <c r="CY140" s="62">
        <f ca="1">AVERAGE(OFFSET($CX$3,0,0,'Données projet'!$E$13+1,1))-AVERAGE(OFFSET($H$3,0,0,'Données projet'!$E$13+1,1))</f>
        <v>288.82868507674738</v>
      </c>
      <c r="CZ140" s="62">
        <f t="shared" si="150"/>
        <v>283.48738729114024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1.2264855513316599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1.2264855513316599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>
        <f>DO140*VLOOKUP('Données projet'!$B$14,Paramètres!$A$1:$I$89,3,0)*VLOOKUP('Données projet'!$B$14,Paramètres!$A$1:$I$89,5,0)</f>
        <v>0</v>
      </c>
      <c r="DQ140" s="14" t="e">
        <f t="shared" si="151"/>
        <v>#NUM!</v>
      </c>
      <c r="DR140" s="22" t="e">
        <f t="shared" si="124"/>
        <v>#NUM!</v>
      </c>
      <c r="DS140" s="62" t="e">
        <f t="shared" si="125"/>
        <v>#NUM!</v>
      </c>
      <c r="DT140" s="62">
        <f ca="1">AVERAGE(OFFSET($DS$3,0,0,'Données projet'!$E$14+1,1))-AVERAGE(OFFSET($H$3,0,0,'Données projet'!$E$14+1,1))</f>
        <v>487.04124684635974</v>
      </c>
      <c r="DU140" s="62">
        <f t="shared" si="152"/>
        <v>306.61893266146666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1.4711144480031515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1.4711144480031515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>
        <f>EJ140*VLOOKUP('Données projet'!$B$15,Paramètres!$A$1:$I$89,3,0)*VLOOKUP('Données projet'!$B$15,Paramètres!$A$1:$I$89,5,0)</f>
        <v>0</v>
      </c>
      <c r="EL140" s="14" t="e">
        <f t="shared" si="153"/>
        <v>#NUM!</v>
      </c>
      <c r="EM140" s="22" t="e">
        <f t="shared" si="127"/>
        <v>#NUM!</v>
      </c>
      <c r="EN140" s="62" t="e">
        <f t="shared" si="128"/>
        <v>#NUM!</v>
      </c>
      <c r="EO140" s="62">
        <f ca="1">AVERAGE(OFFSET($EN$3,0,0,'Données projet'!$E$15+1,1))-AVERAGE(OFFSET($H$3,0,0,'Données projet'!$E$15+1,1))</f>
        <v>459.64120566196812</v>
      </c>
      <c r="EP140" s="62">
        <f t="shared" si="154"/>
        <v>290.39826583283588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1.3805843281260348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1.3805843281260348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>
        <f>FE140*VLOOKUP('Données projet'!$B$16,Paramètres!$A$1:$I$89,3,0)*VLOOKUP('Données projet'!$B$16,Paramètres!$A$1:$I$89,5,0)</f>
        <v>0</v>
      </c>
      <c r="FG140" s="14" t="e">
        <f t="shared" si="155"/>
        <v>#NUM!</v>
      </c>
      <c r="FH140" s="22" t="e">
        <f t="shared" si="130"/>
        <v>#NUM!</v>
      </c>
      <c r="FI140" s="62" t="e">
        <f t="shared" si="131"/>
        <v>#NUM!</v>
      </c>
      <c r="FJ140" s="62">
        <f ca="1">AVERAGE(OFFSET($FI$3,0,0,'Données projet'!$E$16+1,1))-AVERAGE(OFFSET($H$3,0,0,'Données projet'!$E$16+1,1))</f>
        <v>335.83558218229564</v>
      </c>
      <c r="FK140" s="62">
        <f t="shared" si="156"/>
        <v>217.08423061559648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0</v>
      </c>
      <c r="FR140" s="23">
        <f>EXP(-LN(2)/25)*FR139+(1-EXP(-LN(2)/25))/(LN(2)/25)*Calculateur!FM140*Calculateur!FO140*VLOOKUP('Données projet'!$B$16,Paramètres!$A$1:$I$89,3,0)*0.475*44/12</f>
        <v>0.4294684179379239</v>
      </c>
      <c r="FS140" s="23">
        <f>EXP(-LN(2)/2)*FS139+(1-EXP(-LN(2)/2))/(LN(2)/2)*FM140*FP140*VLOOKUP('Données projet'!$B$16,Paramètres!$A$1:$I$89,3,0)*0.475*44/12</f>
        <v>8.6777427878799323E-16</v>
      </c>
      <c r="FT140" s="24">
        <f t="shared" si="132"/>
        <v>0.42946841793792478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1.9895196601282805E-13</v>
      </c>
      <c r="O141" s="14">
        <f>N141*VLOOKUP('Données projet'!$B$9,Paramètres!$A$1:$I$89,3,0)*VLOOKUP('Données projet'!$B$9,Paramètres!$A$1:$I$89,5,0)</f>
        <v>1.738044375088066E-13</v>
      </c>
      <c r="P141" s="14">
        <f t="shared" si="141"/>
        <v>2.4483293633950478E-12</v>
      </c>
      <c r="Q141" s="22">
        <f t="shared" si="108"/>
        <v>4.566883036574213E-12</v>
      </c>
      <c r="R141" s="62">
        <f t="shared" si="109"/>
        <v>293.33333333333786</v>
      </c>
      <c r="S141" s="62">
        <f ca="1">AVERAGE(OFFSET($R$3,0,0,'Données projet'!$E$9+1,1))-AVERAGE(OFFSET($H$3,0,0,'Données projet'!$E$9+1,1))</f>
        <v>321.23599968992932</v>
      </c>
      <c r="T141" s="62">
        <f t="shared" si="142"/>
        <v>388.05195847800502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1.2807882298240669</v>
      </c>
      <c r="AB141" s="23">
        <f>EXP(-LN(2)/2)*AB140+(1-EXP(-LN(2)/2))/(LN(2)/2)*V141*Y141*VLOOKUP('Données projet'!$B$9,Paramètres!$A$1:$I$89,3,0)*0.475*44/12</f>
        <v>1.0139948926432075E-15</v>
      </c>
      <c r="AC141" s="24">
        <f t="shared" si="111"/>
        <v>1.280788229824068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-5.6843418860808015E-14</v>
      </c>
      <c r="AJ141" s="14">
        <f>AI141*VLOOKUP('Données projet'!$B$10,Paramètres!$A$1:$I$89,3,0)*VLOOKUP('Données projet'!$B$10,Paramètres!$A$1:$I$89,5,0)</f>
        <v>-5.1431925385259088E-14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439.19854273764042</v>
      </c>
      <c r="AO141" s="62">
        <f t="shared" si="144"/>
        <v>278.21741231699929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0.45713256084810611</v>
      </c>
      <c r="AW141" s="23">
        <f>EXP(-LN(2)/2)*AW140+(1-EXP(-LN(2)/2))/(LN(2)/2)*AQ141*AT141*VLOOKUP('Données projet'!$B$10,Paramètres!$A$1:$I$89,3,0)*0.475*44/12</f>
        <v>8.2765875511801354E-16</v>
      </c>
      <c r="AX141" s="23">
        <f t="shared" si="114"/>
        <v>0.45713256084810694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-2.8421709430404007E-13</v>
      </c>
      <c r="BE141" s="14">
        <f>BD141*VLOOKUP('Données projet'!$B$11,Paramètres!$A$1:$I$89,3,0)*VLOOKUP('Données projet'!$B$11,Paramètres!$A$1:$I$89,5,0)</f>
        <v>-2.2612312022829427E-13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352.88510024787888</v>
      </c>
      <c r="BJ141" s="62">
        <f t="shared" si="146"/>
        <v>343.77208530767069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0.61535621926655182</v>
      </c>
      <c r="BR141" s="23">
        <f>EXP(-LN(2)/2)*BR140+(1-EXP(-LN(2)/2))/(LN(2)/2)*BL141*BO141*VLOOKUP('Données projet'!$B$11,Paramètres!$A$1:$I$89,3,0)*0.475*44/12</f>
        <v>2.1914060172182763E-17</v>
      </c>
      <c r="BS141" s="24">
        <f t="shared" si="117"/>
        <v>0.61535621926655182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-2.8421709430404007E-13</v>
      </c>
      <c r="BZ141" s="14">
        <f>BY141*VLOOKUP('Données projet'!$B$12,Paramètres!$A$1:$I$89,3,0)*VLOOKUP('Données projet'!$B$12,Paramètres!$A$1:$I$89,5,0)</f>
        <v>-2.0838797354372215E-13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328.10411227536315</v>
      </c>
      <c r="CE141" s="62">
        <f t="shared" si="148"/>
        <v>320.24200483294322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1.0693787451364549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1.0693787451364549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5.6843418860808015E-14</v>
      </c>
      <c r="CU141" s="18">
        <f>CT141*VLOOKUP('Données projet'!$B$13,Paramètres!$A$1:$I$89,3,0)*VLOOKUP('Données projet'!$B$13,Paramètres!$A$1:$I$89,5,0)</f>
        <v>4.4337866711430253E-14</v>
      </c>
      <c r="CV141" s="14">
        <f t="shared" si="149"/>
        <v>7.3222115536967035E-13</v>
      </c>
      <c r="CW141" s="22">
        <f t="shared" si="121"/>
        <v>1.3525069634579169E-12</v>
      </c>
      <c r="CX141" s="62">
        <f t="shared" si="122"/>
        <v>293.33333333333468</v>
      </c>
      <c r="CY141" s="62">
        <f ca="1">AVERAGE(OFFSET($CX$3,0,0,'Données projet'!$E$13+1,1))-AVERAGE(OFFSET($H$3,0,0,'Données projet'!$E$13+1,1))</f>
        <v>288.82868507674738</v>
      </c>
      <c r="CZ141" s="62">
        <f t="shared" si="150"/>
        <v>283.48738729114024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1.2024349177523654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1.2024349177523654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>
        <f>DO141*VLOOKUP('Données projet'!$B$14,Paramètres!$A$1:$I$89,3,0)*VLOOKUP('Données projet'!$B$14,Paramètres!$A$1:$I$89,5,0)</f>
        <v>0</v>
      </c>
      <c r="DQ141" s="14" t="e">
        <f t="shared" si="151"/>
        <v>#NUM!</v>
      </c>
      <c r="DR141" s="22" t="e">
        <f t="shared" si="124"/>
        <v>#NUM!</v>
      </c>
      <c r="DS141" s="62" t="e">
        <f t="shared" si="125"/>
        <v>#NUM!</v>
      </c>
      <c r="DT141" s="62">
        <f ca="1">AVERAGE(OFFSET($DS$3,0,0,'Données projet'!$E$14+1,1))-AVERAGE(OFFSET($H$3,0,0,'Données projet'!$E$14+1,1))</f>
        <v>487.04124684635974</v>
      </c>
      <c r="DU141" s="62">
        <f t="shared" si="152"/>
        <v>306.61893266146666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1.4422667909690228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1.4422667909690228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>
        <f>EJ141*VLOOKUP('Données projet'!$B$15,Paramètres!$A$1:$I$89,3,0)*VLOOKUP('Données projet'!$B$15,Paramètres!$A$1:$I$89,5,0)</f>
        <v>0</v>
      </c>
      <c r="EL141" s="14" t="e">
        <f t="shared" si="153"/>
        <v>#NUM!</v>
      </c>
      <c r="EM141" s="22" t="e">
        <f t="shared" si="127"/>
        <v>#NUM!</v>
      </c>
      <c r="EN141" s="62" t="e">
        <f t="shared" si="128"/>
        <v>#NUM!</v>
      </c>
      <c r="EO141" s="62">
        <f ca="1">AVERAGE(OFFSET($EN$3,0,0,'Données projet'!$E$15+1,1))-AVERAGE(OFFSET($H$3,0,0,'Données projet'!$E$15+1,1))</f>
        <v>459.64120566196812</v>
      </c>
      <c r="EP141" s="62">
        <f t="shared" si="154"/>
        <v>290.39826583283588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1.3535119115247756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1.3535119115247756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>
        <f>FE141*VLOOKUP('Données projet'!$B$16,Paramètres!$A$1:$I$89,3,0)*VLOOKUP('Données projet'!$B$16,Paramètres!$A$1:$I$89,5,0)</f>
        <v>0</v>
      </c>
      <c r="FG141" s="14" t="e">
        <f t="shared" si="155"/>
        <v>#NUM!</v>
      </c>
      <c r="FH141" s="22" t="e">
        <f t="shared" si="130"/>
        <v>#NUM!</v>
      </c>
      <c r="FI141" s="62" t="e">
        <f t="shared" si="131"/>
        <v>#NUM!</v>
      </c>
      <c r="FJ141" s="62">
        <f ca="1">AVERAGE(OFFSET($FI$3,0,0,'Données projet'!$E$16+1,1))-AVERAGE(OFFSET($H$3,0,0,'Données projet'!$E$16+1,1))</f>
        <v>335.83558218229564</v>
      </c>
      <c r="FK141" s="62">
        <f t="shared" si="156"/>
        <v>217.08423061559648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0</v>
      </c>
      <c r="FR141" s="23">
        <f>EXP(-LN(2)/25)*FR140+(1-EXP(-LN(2)/25))/(LN(2)/25)*Calculateur!FM141*Calculateur!FO141*VLOOKUP('Données projet'!$B$16,Paramètres!$A$1:$I$89,3,0)*0.475*44/12</f>
        <v>0.41772458146464886</v>
      </c>
      <c r="FS141" s="23">
        <f>EXP(-LN(2)/2)*FS140+(1-EXP(-LN(2)/2))/(LN(2)/2)*FM141*FP141*VLOOKUP('Données projet'!$B$16,Paramètres!$A$1:$I$89,3,0)*0.475*44/12</f>
        <v>6.1360907707025569E-16</v>
      </c>
      <c r="FT141" s="24">
        <f t="shared" si="132"/>
        <v>0.41772458146464947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1.9895196601282805E-13</v>
      </c>
      <c r="O142" s="14">
        <f>N142*VLOOKUP('Données projet'!$B$9,Paramètres!$A$1:$I$89,3,0)*VLOOKUP('Données projet'!$B$9,Paramètres!$A$1:$I$89,5,0)</f>
        <v>1.738044375088066E-13</v>
      </c>
      <c r="P142" s="14">
        <f t="shared" si="141"/>
        <v>2.4483293633950478E-12</v>
      </c>
      <c r="Q142" s="22">
        <f t="shared" si="108"/>
        <v>4.566883036574213E-12</v>
      </c>
      <c r="R142" s="62">
        <f t="shared" si="109"/>
        <v>293.33333333333786</v>
      </c>
      <c r="S142" s="62">
        <f ca="1">AVERAGE(OFFSET($R$3,0,0,'Données projet'!$E$9+1,1))-AVERAGE(OFFSET($H$3,0,0,'Données projet'!$E$9+1,1))</f>
        <v>321.23599968992932</v>
      </c>
      <c r="T142" s="62">
        <f t="shared" si="142"/>
        <v>388.05195847800502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1.2457650083258021</v>
      </c>
      <c r="AB142" s="23">
        <f>EXP(-LN(2)/2)*AB141+(1-EXP(-LN(2)/2))/(LN(2)/2)*V142*Y142*VLOOKUP('Données projet'!$B$9,Paramètres!$A$1:$I$89,3,0)*0.475*44/12</f>
        <v>7.1700266467653728E-16</v>
      </c>
      <c r="AC142" s="24">
        <f t="shared" si="111"/>
        <v>1.2457650083258027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-5.6843418860808015E-14</v>
      </c>
      <c r="AJ142" s="14">
        <f>AI142*VLOOKUP('Données projet'!$B$10,Paramètres!$A$1:$I$89,3,0)*VLOOKUP('Données projet'!$B$10,Paramètres!$A$1:$I$89,5,0)</f>
        <v>-5.1431925385259088E-14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439.19854273764042</v>
      </c>
      <c r="AO142" s="62">
        <f t="shared" si="144"/>
        <v>278.21741231699929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0.44463224693215808</v>
      </c>
      <c r="AW142" s="23">
        <f>EXP(-LN(2)/2)*AW141+(1-EXP(-LN(2)/2))/(LN(2)/2)*AQ142*AT142*VLOOKUP('Données projet'!$B$10,Paramètres!$A$1:$I$89,3,0)*0.475*44/12</f>
        <v>5.8524311825236352E-16</v>
      </c>
      <c r="AX142" s="23">
        <f t="shared" si="114"/>
        <v>0.44463224693215869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-2.8421709430404007E-13</v>
      </c>
      <c r="BE142" s="14">
        <f>BD142*VLOOKUP('Données projet'!$B$11,Paramètres!$A$1:$I$89,3,0)*VLOOKUP('Données projet'!$B$11,Paramètres!$A$1:$I$89,5,0)</f>
        <v>-2.2612312022829427E-13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352.88510024787888</v>
      </c>
      <c r="BJ142" s="62">
        <f t="shared" si="146"/>
        <v>343.77208530767069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0.59852927109053078</v>
      </c>
      <c r="BR142" s="23">
        <f>EXP(-LN(2)/2)*BR141+(1-EXP(-LN(2)/2))/(LN(2)/2)*BL142*BO142*VLOOKUP('Données projet'!$B$11,Paramètres!$A$1:$I$89,3,0)*0.475*44/12</f>
        <v>1.5495580551080473E-17</v>
      </c>
      <c r="BS142" s="24">
        <f t="shared" si="117"/>
        <v>0.59852927109053078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-2.8421709430404007E-13</v>
      </c>
      <c r="BZ142" s="14">
        <f>BY142*VLOOKUP('Données projet'!$B$12,Paramètres!$A$1:$I$89,3,0)*VLOOKUP('Données projet'!$B$12,Paramètres!$A$1:$I$89,5,0)</f>
        <v>-2.0838797354372215E-13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328.10411227536315</v>
      </c>
      <c r="CE142" s="62">
        <f t="shared" si="148"/>
        <v>320.24200483294322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1.0484088802009586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1.0484088802009586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5.6843418860808015E-14</v>
      </c>
      <c r="CU142" s="18">
        <f>CT142*VLOOKUP('Données projet'!$B$13,Paramètres!$A$1:$I$89,3,0)*VLOOKUP('Données projet'!$B$13,Paramètres!$A$1:$I$89,5,0)</f>
        <v>4.4337866711430253E-14</v>
      </c>
      <c r="CV142" s="14">
        <f t="shared" si="149"/>
        <v>7.3222115536967035E-13</v>
      </c>
      <c r="CW142" s="22">
        <f t="shared" si="121"/>
        <v>1.3525069634579169E-12</v>
      </c>
      <c r="CX142" s="62">
        <f t="shared" si="122"/>
        <v>293.33333333333468</v>
      </c>
      <c r="CY142" s="62">
        <f ca="1">AVERAGE(OFFSET($CX$3,0,0,'Données projet'!$E$13+1,1))-AVERAGE(OFFSET($H$3,0,0,'Données projet'!$E$13+1,1))</f>
        <v>288.82868507674738</v>
      </c>
      <c r="CZ142" s="62">
        <f t="shared" si="150"/>
        <v>283.48738729114024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1.1788559024281229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1.1788559024281229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>
        <f>DO142*VLOOKUP('Données projet'!$B$14,Paramètres!$A$1:$I$89,3,0)*VLOOKUP('Données projet'!$B$14,Paramètres!$A$1:$I$89,5,0)</f>
        <v>0</v>
      </c>
      <c r="DQ142" s="14" t="e">
        <f t="shared" si="151"/>
        <v>#NUM!</v>
      </c>
      <c r="DR142" s="22" t="e">
        <f t="shared" si="124"/>
        <v>#NUM!</v>
      </c>
      <c r="DS142" s="62" t="e">
        <f t="shared" si="125"/>
        <v>#NUM!</v>
      </c>
      <c r="DT142" s="62">
        <f ca="1">AVERAGE(OFFSET($DS$3,0,0,'Données projet'!$E$14+1,1))-AVERAGE(OFFSET($H$3,0,0,'Données projet'!$E$14+1,1))</f>
        <v>487.04124684635974</v>
      </c>
      <c r="DU142" s="62">
        <f t="shared" si="152"/>
        <v>306.61893266146666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1.4139848188940001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1.4139848188940001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>
        <f>EJ142*VLOOKUP('Données projet'!$B$15,Paramètres!$A$1:$I$89,3,0)*VLOOKUP('Données projet'!$B$15,Paramètres!$A$1:$I$89,5,0)</f>
        <v>0</v>
      </c>
      <c r="EL142" s="14" t="e">
        <f t="shared" si="153"/>
        <v>#NUM!</v>
      </c>
      <c r="EM142" s="22" t="e">
        <f t="shared" si="127"/>
        <v>#NUM!</v>
      </c>
      <c r="EN142" s="62" t="e">
        <f t="shared" si="128"/>
        <v>#NUM!</v>
      </c>
      <c r="EO142" s="62">
        <f ca="1">AVERAGE(OFFSET($EN$3,0,0,'Données projet'!$E$15+1,1))-AVERAGE(OFFSET($H$3,0,0,'Données projet'!$E$15+1,1))</f>
        <v>459.64120566196812</v>
      </c>
      <c r="EP142" s="62">
        <f t="shared" si="154"/>
        <v>290.39826583283588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1.3269703685005234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1.3269703685005234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>
        <f>FE142*VLOOKUP('Données projet'!$B$16,Paramètres!$A$1:$I$89,3,0)*VLOOKUP('Données projet'!$B$16,Paramètres!$A$1:$I$89,5,0)</f>
        <v>0</v>
      </c>
      <c r="FG142" s="14" t="e">
        <f t="shared" si="155"/>
        <v>#NUM!</v>
      </c>
      <c r="FH142" s="22" t="e">
        <f t="shared" si="130"/>
        <v>#NUM!</v>
      </c>
      <c r="FI142" s="62" t="e">
        <f t="shared" si="131"/>
        <v>#NUM!</v>
      </c>
      <c r="FJ142" s="62">
        <f ca="1">AVERAGE(OFFSET($FI$3,0,0,'Données projet'!$E$16+1,1))-AVERAGE(OFFSET($H$3,0,0,'Données projet'!$E$16+1,1))</f>
        <v>335.83558218229564</v>
      </c>
      <c r="FK142" s="62">
        <f t="shared" si="156"/>
        <v>217.08423061559648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0</v>
      </c>
      <c r="FR142" s="23">
        <f>EXP(-LN(2)/25)*FR141+(1-EXP(-LN(2)/25))/(LN(2)/25)*Calculateur!FM142*Calculateur!FO142*VLOOKUP('Données projet'!$B$16,Paramètres!$A$1:$I$89,3,0)*0.475*44/12</f>
        <v>0.406301880817317</v>
      </c>
      <c r="FS142" s="23">
        <f>EXP(-LN(2)/2)*FS141+(1-EXP(-LN(2)/2))/(LN(2)/2)*FM142*FP142*VLOOKUP('Données projet'!$B$16,Paramètres!$A$1:$I$89,3,0)*0.475*44/12</f>
        <v>4.3388713939399672E-16</v>
      </c>
      <c r="FT142" s="24">
        <f t="shared" si="132"/>
        <v>0.40630188081731744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1.9895196601282805E-13</v>
      </c>
      <c r="O143" s="14">
        <f>N143*VLOOKUP('Données projet'!$B$9,Paramètres!$A$1:$I$89,3,0)*VLOOKUP('Données projet'!$B$9,Paramètres!$A$1:$I$89,5,0)</f>
        <v>1.738044375088066E-13</v>
      </c>
      <c r="P143" s="14">
        <f t="shared" si="141"/>
        <v>2.4483293633950478E-12</v>
      </c>
      <c r="Q143" s="22">
        <f t="shared" si="108"/>
        <v>4.566883036574213E-12</v>
      </c>
      <c r="R143" s="62">
        <f t="shared" si="109"/>
        <v>293.33333333333786</v>
      </c>
      <c r="S143" s="62">
        <f ca="1">AVERAGE(OFFSET($R$3,0,0,'Données projet'!$E$9+1,1))-AVERAGE(OFFSET($H$3,0,0,'Données projet'!$E$9+1,1))</f>
        <v>321.23599968992932</v>
      </c>
      <c r="T143" s="62">
        <f t="shared" si="142"/>
        <v>388.05195847800502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1.2116994986611984</v>
      </c>
      <c r="AB143" s="23">
        <f>EXP(-LN(2)/2)*AB142+(1-EXP(-LN(2)/2))/(LN(2)/2)*V143*Y143*VLOOKUP('Données projet'!$B$9,Paramètres!$A$1:$I$89,3,0)*0.475*44/12</f>
        <v>5.0699744632160374E-16</v>
      </c>
      <c r="AC143" s="24">
        <f t="shared" si="111"/>
        <v>1.2116994986611989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-5.6843418860808015E-14</v>
      </c>
      <c r="AJ143" s="14">
        <f>AI143*VLOOKUP('Données projet'!$B$10,Paramètres!$A$1:$I$89,3,0)*VLOOKUP('Données projet'!$B$10,Paramètres!$A$1:$I$89,5,0)</f>
        <v>-5.1431925385259088E-14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439.19854273764042</v>
      </c>
      <c r="AO143" s="62">
        <f t="shared" si="144"/>
        <v>278.21741231699929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0.43247375475760458</v>
      </c>
      <c r="AW143" s="23">
        <f>EXP(-LN(2)/2)*AW142+(1-EXP(-LN(2)/2))/(LN(2)/2)*AQ143*AT143*VLOOKUP('Données projet'!$B$10,Paramètres!$A$1:$I$89,3,0)*0.475*44/12</f>
        <v>4.1382937755900677E-16</v>
      </c>
      <c r="AX143" s="23">
        <f t="shared" si="114"/>
        <v>0.43247375475760497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-2.8421709430404007E-13</v>
      </c>
      <c r="BE143" s="14">
        <f>BD143*VLOOKUP('Données projet'!$B$11,Paramètres!$A$1:$I$89,3,0)*VLOOKUP('Données projet'!$B$11,Paramètres!$A$1:$I$89,5,0)</f>
        <v>-2.2612312022829427E-13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352.88510024787888</v>
      </c>
      <c r="BJ143" s="62">
        <f t="shared" si="146"/>
        <v>343.77208530767069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0.58216245669727384</v>
      </c>
      <c r="BR143" s="23">
        <f>EXP(-LN(2)/2)*BR142+(1-EXP(-LN(2)/2))/(LN(2)/2)*BL143*BO143*VLOOKUP('Données projet'!$B$11,Paramètres!$A$1:$I$89,3,0)*0.475*44/12</f>
        <v>1.0957030086091381E-17</v>
      </c>
      <c r="BS143" s="24">
        <f t="shared" si="117"/>
        <v>0.58216245669727384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-2.8421709430404007E-13</v>
      </c>
      <c r="BZ143" s="14">
        <f>BY143*VLOOKUP('Données projet'!$B$12,Paramètres!$A$1:$I$89,3,0)*VLOOKUP('Données projet'!$B$12,Paramètres!$A$1:$I$89,5,0)</f>
        <v>-2.0838797354372215E-13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328.10411227536315</v>
      </c>
      <c r="CE143" s="62">
        <f t="shared" si="148"/>
        <v>320.24200483294322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1.0278502215264926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1.0278502215264926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5.6843418860808015E-14</v>
      </c>
      <c r="CU143" s="18">
        <f>CT143*VLOOKUP('Données projet'!$B$13,Paramètres!$A$1:$I$89,3,0)*VLOOKUP('Données projet'!$B$13,Paramètres!$A$1:$I$89,5,0)</f>
        <v>4.4337866711430253E-14</v>
      </c>
      <c r="CV143" s="14">
        <f t="shared" si="149"/>
        <v>7.3222115536967035E-13</v>
      </c>
      <c r="CW143" s="22">
        <f t="shared" si="121"/>
        <v>1.3525069634579169E-12</v>
      </c>
      <c r="CX143" s="62">
        <f t="shared" si="122"/>
        <v>293.33333333333468</v>
      </c>
      <c r="CY143" s="62">
        <f ca="1">AVERAGE(OFFSET($CX$3,0,0,'Données projet'!$E$13+1,1))-AVERAGE(OFFSET($H$3,0,0,'Données projet'!$E$13+1,1))</f>
        <v>288.82868507674738</v>
      </c>
      <c r="CZ143" s="62">
        <f t="shared" si="150"/>
        <v>283.48738729114024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1.1557392572126095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1.1557392572126095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>
        <f>DO143*VLOOKUP('Données projet'!$B$14,Paramètres!$A$1:$I$89,3,0)*VLOOKUP('Données projet'!$B$14,Paramètres!$A$1:$I$89,5,0)</f>
        <v>0</v>
      </c>
      <c r="DQ143" s="14" t="e">
        <f t="shared" si="151"/>
        <v>#NUM!</v>
      </c>
      <c r="DR143" s="22" t="e">
        <f t="shared" si="124"/>
        <v>#NUM!</v>
      </c>
      <c r="DS143" s="62" t="e">
        <f t="shared" si="125"/>
        <v>#NUM!</v>
      </c>
      <c r="DT143" s="62">
        <f ca="1">AVERAGE(OFFSET($DS$3,0,0,'Données projet'!$E$14+1,1))-AVERAGE(OFFSET($H$3,0,0,'Données projet'!$E$14+1,1))</f>
        <v>487.04124684635974</v>
      </c>
      <c r="DU143" s="62">
        <f t="shared" si="152"/>
        <v>306.61893266146666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1.3862574390410689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1.3862574390410689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>
        <f>EJ143*VLOOKUP('Données projet'!$B$15,Paramètres!$A$1:$I$89,3,0)*VLOOKUP('Données projet'!$B$15,Paramètres!$A$1:$I$89,5,0)</f>
        <v>0</v>
      </c>
      <c r="EL143" s="14" t="e">
        <f t="shared" si="153"/>
        <v>#NUM!</v>
      </c>
      <c r="EM143" s="22" t="e">
        <f t="shared" si="127"/>
        <v>#NUM!</v>
      </c>
      <c r="EN143" s="62" t="e">
        <f t="shared" si="128"/>
        <v>#NUM!</v>
      </c>
      <c r="EO143" s="62">
        <f ca="1">AVERAGE(OFFSET($EN$3,0,0,'Données projet'!$E$15+1,1))-AVERAGE(OFFSET($H$3,0,0,'Données projet'!$E$15+1,1))</f>
        <v>459.64120566196812</v>
      </c>
      <c r="EP143" s="62">
        <f t="shared" si="154"/>
        <v>290.39826583283588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1.3009492889462342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1.3009492889462342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>
        <f>FE143*VLOOKUP('Données projet'!$B$16,Paramètres!$A$1:$I$89,3,0)*VLOOKUP('Données projet'!$B$16,Paramètres!$A$1:$I$89,5,0)</f>
        <v>0</v>
      </c>
      <c r="FG143" s="14" t="e">
        <f t="shared" si="155"/>
        <v>#NUM!</v>
      </c>
      <c r="FH143" s="22" t="e">
        <f t="shared" si="130"/>
        <v>#NUM!</v>
      </c>
      <c r="FI143" s="62" t="e">
        <f t="shared" si="131"/>
        <v>#NUM!</v>
      </c>
      <c r="FJ143" s="62">
        <f ca="1">AVERAGE(OFFSET($FI$3,0,0,'Données projet'!$E$16+1,1))-AVERAGE(OFFSET($H$3,0,0,'Données projet'!$E$16+1,1))</f>
        <v>335.83558218229564</v>
      </c>
      <c r="FK143" s="62">
        <f t="shared" si="156"/>
        <v>217.08423061559648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0</v>
      </c>
      <c r="FR143" s="23">
        <f>EXP(-LN(2)/25)*FR142+(1-EXP(-LN(2)/25))/(LN(2)/25)*Calculateur!FM143*Calculateur!FO143*VLOOKUP('Données projet'!$B$16,Paramètres!$A$1:$I$89,3,0)*0.475*44/12</f>
        <v>0.39519153451988015</v>
      </c>
      <c r="FS143" s="23">
        <f>EXP(-LN(2)/2)*FS142+(1-EXP(-LN(2)/2))/(LN(2)/2)*FM143*FP143*VLOOKUP('Données projet'!$B$16,Paramètres!$A$1:$I$89,3,0)*0.475*44/12</f>
        <v>3.0680453853512789E-16</v>
      </c>
      <c r="FT143" s="24">
        <f t="shared" si="132"/>
        <v>0.39519153451988048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1.9895196601282805E-13</v>
      </c>
      <c r="O144" s="14">
        <f>N144*VLOOKUP('Données projet'!$B$9,Paramètres!$A$1:$I$89,3,0)*VLOOKUP('Données projet'!$B$9,Paramètres!$A$1:$I$89,5,0)</f>
        <v>1.738044375088066E-13</v>
      </c>
      <c r="P144" s="14">
        <f t="shared" si="141"/>
        <v>2.4483293633950478E-12</v>
      </c>
      <c r="Q144" s="22">
        <f t="shared" si="108"/>
        <v>4.566883036574213E-12</v>
      </c>
      <c r="R144" s="62">
        <f t="shared" si="109"/>
        <v>293.33333333333786</v>
      </c>
      <c r="S144" s="62">
        <f ca="1">AVERAGE(OFFSET($R$3,0,0,'Données projet'!$E$9+1,1))-AVERAGE(OFFSET($H$3,0,0,'Données projet'!$E$9+1,1))</f>
        <v>321.23599968992932</v>
      </c>
      <c r="T144" s="62">
        <f t="shared" si="142"/>
        <v>388.05195847800502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1.1785655121498007</v>
      </c>
      <c r="AB144" s="23">
        <f>EXP(-LN(2)/2)*AB143+(1-EXP(-LN(2)/2))/(LN(2)/2)*V144*Y144*VLOOKUP('Données projet'!$B$9,Paramètres!$A$1:$I$89,3,0)*0.475*44/12</f>
        <v>3.5850133233826864E-16</v>
      </c>
      <c r="AC144" s="24">
        <f t="shared" si="111"/>
        <v>1.1785655121498011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-5.6843418860808015E-14</v>
      </c>
      <c r="AJ144" s="14">
        <f>AI144*VLOOKUP('Données projet'!$B$10,Paramètres!$A$1:$I$89,3,0)*VLOOKUP('Données projet'!$B$10,Paramètres!$A$1:$I$89,5,0)</f>
        <v>-5.1431925385259088E-14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439.19854273764042</v>
      </c>
      <c r="AO144" s="62">
        <f t="shared" si="144"/>
        <v>278.21741231699929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0.42064773719095155</v>
      </c>
      <c r="AW144" s="23">
        <f>EXP(-LN(2)/2)*AW143+(1-EXP(-LN(2)/2))/(LN(2)/2)*AQ144*AT144*VLOOKUP('Données projet'!$B$10,Paramètres!$A$1:$I$89,3,0)*0.475*44/12</f>
        <v>2.9262155912618176E-16</v>
      </c>
      <c r="AX144" s="23">
        <f t="shared" si="114"/>
        <v>0.42064773719095183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-2.8421709430404007E-13</v>
      </c>
      <c r="BE144" s="14">
        <f>BD144*VLOOKUP('Données projet'!$B$11,Paramètres!$A$1:$I$89,3,0)*VLOOKUP('Données projet'!$B$11,Paramètres!$A$1:$I$89,5,0)</f>
        <v>-2.2612312022829427E-13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352.88510024787888</v>
      </c>
      <c r="BJ144" s="62">
        <f t="shared" si="146"/>
        <v>343.77208530767069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0.56624319370429388</v>
      </c>
      <c r="BR144" s="23">
        <f>EXP(-LN(2)/2)*BR143+(1-EXP(-LN(2)/2))/(LN(2)/2)*BL144*BO144*VLOOKUP('Données projet'!$B$11,Paramètres!$A$1:$I$89,3,0)*0.475*44/12</f>
        <v>7.7477902755402364E-18</v>
      </c>
      <c r="BS144" s="24">
        <f t="shared" si="117"/>
        <v>0.56624319370429388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-2.8421709430404007E-13</v>
      </c>
      <c r="BZ144" s="14">
        <f>BY144*VLOOKUP('Données projet'!$B$12,Paramètres!$A$1:$I$89,3,0)*VLOOKUP('Données projet'!$B$12,Paramètres!$A$1:$I$89,5,0)</f>
        <v>-2.0838797354372215E-13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328.10411227536315</v>
      </c>
      <c r="CE144" s="62">
        <f t="shared" si="148"/>
        <v>320.24200483294322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1.0076947056090895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1.0076947056090895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5.6843418860808015E-14</v>
      </c>
      <c r="CU144" s="18">
        <f>CT144*VLOOKUP('Données projet'!$B$13,Paramètres!$A$1:$I$89,3,0)*VLOOKUP('Données projet'!$B$13,Paramètres!$A$1:$I$89,5,0)</f>
        <v>4.4337866711430253E-14</v>
      </c>
      <c r="CV144" s="14">
        <f t="shared" si="149"/>
        <v>7.3222115536967035E-13</v>
      </c>
      <c r="CW144" s="22">
        <f t="shared" si="121"/>
        <v>1.3525069634579169E-12</v>
      </c>
      <c r="CX144" s="62">
        <f t="shared" si="122"/>
        <v>293.33333333333468</v>
      </c>
      <c r="CY144" s="62">
        <f ca="1">AVERAGE(OFFSET($CX$3,0,0,'Données projet'!$E$13+1,1))-AVERAGE(OFFSET($H$3,0,0,'Données projet'!$E$13+1,1))</f>
        <v>288.82868507674738</v>
      </c>
      <c r="CZ144" s="62">
        <f t="shared" si="150"/>
        <v>283.48738729114024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1.133075915310011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1.133075915310011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>
        <f>DO144*VLOOKUP('Données projet'!$B$14,Paramètres!$A$1:$I$89,3,0)*VLOOKUP('Données projet'!$B$14,Paramètres!$A$1:$I$89,5,0)</f>
        <v>0</v>
      </c>
      <c r="DQ144" s="14" t="e">
        <f t="shared" si="151"/>
        <v>#NUM!</v>
      </c>
      <c r="DR144" s="22" t="e">
        <f t="shared" si="124"/>
        <v>#NUM!</v>
      </c>
      <c r="DS144" s="62" t="e">
        <f t="shared" si="125"/>
        <v>#NUM!</v>
      </c>
      <c r="DT144" s="62">
        <f ca="1">AVERAGE(OFFSET($DS$3,0,0,'Données projet'!$E$14+1,1))-AVERAGE(OFFSET($H$3,0,0,'Données projet'!$E$14+1,1))</f>
        <v>487.04124684635974</v>
      </c>
      <c r="DU144" s="62">
        <f t="shared" si="152"/>
        <v>306.61893266146666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1.3590737761950218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1.3590737761950218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>
        <f>EJ144*VLOOKUP('Données projet'!$B$15,Paramètres!$A$1:$I$89,3,0)*VLOOKUP('Données projet'!$B$15,Paramètres!$A$1:$I$89,5,0)</f>
        <v>0</v>
      </c>
      <c r="EL144" s="14" t="e">
        <f t="shared" si="153"/>
        <v>#NUM!</v>
      </c>
      <c r="EM144" s="22" t="e">
        <f t="shared" si="127"/>
        <v>#NUM!</v>
      </c>
      <c r="EN144" s="62" t="e">
        <f t="shared" si="128"/>
        <v>#NUM!</v>
      </c>
      <c r="EO144" s="62">
        <f ca="1">AVERAGE(OFFSET($EN$3,0,0,'Données projet'!$E$15+1,1))-AVERAGE(OFFSET($H$3,0,0,'Données projet'!$E$15+1,1))</f>
        <v>459.64120566196812</v>
      </c>
      <c r="EP144" s="62">
        <f t="shared" si="154"/>
        <v>290.39826583283588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1.2754384668907131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1.2754384668907131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>
        <f>FE144*VLOOKUP('Données projet'!$B$16,Paramètres!$A$1:$I$89,3,0)*VLOOKUP('Données projet'!$B$16,Paramètres!$A$1:$I$89,5,0)</f>
        <v>0</v>
      </c>
      <c r="FG144" s="14" t="e">
        <f t="shared" si="155"/>
        <v>#NUM!</v>
      </c>
      <c r="FH144" s="22" t="e">
        <f t="shared" si="130"/>
        <v>#NUM!</v>
      </c>
      <c r="FI144" s="62" t="e">
        <f t="shared" si="131"/>
        <v>#NUM!</v>
      </c>
      <c r="FJ144" s="62">
        <f ca="1">AVERAGE(OFFSET($FI$3,0,0,'Données projet'!$E$16+1,1))-AVERAGE(OFFSET($H$3,0,0,'Données projet'!$E$16+1,1))</f>
        <v>335.83558218229564</v>
      </c>
      <c r="FK144" s="62">
        <f t="shared" si="156"/>
        <v>217.08423061559648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0</v>
      </c>
      <c r="FR144" s="23">
        <f>EXP(-LN(2)/25)*FR143+(1-EXP(-LN(2)/25))/(LN(2)/25)*Calculateur!FM144*Calculateur!FO144*VLOOKUP('Données projet'!$B$16,Paramètres!$A$1:$I$89,3,0)*0.475*44/12</f>
        <v>0.38438500122621444</v>
      </c>
      <c r="FS144" s="23">
        <f>EXP(-LN(2)/2)*FS143+(1-EXP(-LN(2)/2))/(LN(2)/2)*FM144*FP144*VLOOKUP('Données projet'!$B$16,Paramètres!$A$1:$I$89,3,0)*0.475*44/12</f>
        <v>2.1694356969699838E-16</v>
      </c>
      <c r="FT144" s="24">
        <f t="shared" si="132"/>
        <v>0.38438500122621466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1.9895196601282805E-13</v>
      </c>
      <c r="O145" s="14">
        <f>N145*VLOOKUP('Données projet'!$B$9,Paramètres!$A$1:$I$89,3,0)*VLOOKUP('Données projet'!$B$9,Paramètres!$A$1:$I$89,5,0)</f>
        <v>1.738044375088066E-13</v>
      </c>
      <c r="P145" s="14">
        <f t="shared" si="141"/>
        <v>2.4483293633950478E-12</v>
      </c>
      <c r="Q145" s="22">
        <f t="shared" si="108"/>
        <v>4.566883036574213E-12</v>
      </c>
      <c r="R145" s="62">
        <f t="shared" si="109"/>
        <v>293.33333333333786</v>
      </c>
      <c r="S145" s="62">
        <f ca="1">AVERAGE(OFFSET($R$3,0,0,'Données projet'!$E$9+1,1))-AVERAGE(OFFSET($H$3,0,0,'Données projet'!$E$9+1,1))</f>
        <v>321.23599968992932</v>
      </c>
      <c r="T145" s="62">
        <f t="shared" si="142"/>
        <v>388.05195847800502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1.1463375762419976</v>
      </c>
      <c r="AB145" s="23">
        <f>EXP(-LN(2)/2)*AB144+(1-EXP(-LN(2)/2))/(LN(2)/2)*V145*Y145*VLOOKUP('Données projet'!$B$9,Paramètres!$A$1:$I$89,3,0)*0.475*44/12</f>
        <v>2.5349872316080187E-16</v>
      </c>
      <c r="AC145" s="24">
        <f t="shared" si="111"/>
        <v>1.1463375762419978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-5.6843418860808015E-14</v>
      </c>
      <c r="AJ145" s="14">
        <f>AI145*VLOOKUP('Données projet'!$B$10,Paramètres!$A$1:$I$89,3,0)*VLOOKUP('Données projet'!$B$10,Paramètres!$A$1:$I$89,5,0)</f>
        <v>-5.1431925385259088E-14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439.19854273764042</v>
      </c>
      <c r="AO145" s="62">
        <f t="shared" si="144"/>
        <v>278.21741231699929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0.4091451026965619</v>
      </c>
      <c r="AW145" s="23">
        <f>EXP(-LN(2)/2)*AW144+(1-EXP(-LN(2)/2))/(LN(2)/2)*AQ145*AT145*VLOOKUP('Données projet'!$B$10,Paramètres!$A$1:$I$89,3,0)*0.475*44/12</f>
        <v>2.0691468877950339E-16</v>
      </c>
      <c r="AX145" s="23">
        <f t="shared" si="114"/>
        <v>0.40914510269656212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-2.8421709430404007E-13</v>
      </c>
      <c r="BE145" s="14">
        <f>BD145*VLOOKUP('Données projet'!$B$11,Paramètres!$A$1:$I$89,3,0)*VLOOKUP('Données projet'!$B$11,Paramètres!$A$1:$I$89,5,0)</f>
        <v>-2.2612312022829427E-13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352.88510024787888</v>
      </c>
      <c r="BJ145" s="62">
        <f t="shared" si="146"/>
        <v>343.77208530767069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0.55075924379501462</v>
      </c>
      <c r="BR145" s="23">
        <f>EXP(-LN(2)/2)*BR144+(1-EXP(-LN(2)/2))/(LN(2)/2)*BL145*BO145*VLOOKUP('Données projet'!$B$11,Paramètres!$A$1:$I$89,3,0)*0.475*44/12</f>
        <v>5.4785150430456907E-18</v>
      </c>
      <c r="BS145" s="24">
        <f t="shared" si="117"/>
        <v>0.55075924379501462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-2.8421709430404007E-13</v>
      </c>
      <c r="BZ145" s="14">
        <f>BY145*VLOOKUP('Données projet'!$B$12,Paramètres!$A$1:$I$89,3,0)*VLOOKUP('Données projet'!$B$12,Paramètres!$A$1:$I$89,5,0)</f>
        <v>-2.0838797354372215E-13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328.10411227536315</v>
      </c>
      <c r="CE145" s="62">
        <f t="shared" si="148"/>
        <v>320.24200483294322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0.98793442706517565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0.98793442706517565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5.6843418860808015E-14</v>
      </c>
      <c r="CU145" s="18">
        <f>CT145*VLOOKUP('Données projet'!$B$13,Paramètres!$A$1:$I$89,3,0)*VLOOKUP('Données projet'!$B$13,Paramètres!$A$1:$I$89,5,0)</f>
        <v>4.4337866711430253E-14</v>
      </c>
      <c r="CV145" s="14">
        <f t="shared" si="149"/>
        <v>7.3222115536967035E-13</v>
      </c>
      <c r="CW145" s="22">
        <f t="shared" si="121"/>
        <v>1.3525069634579169E-12</v>
      </c>
      <c r="CX145" s="62">
        <f t="shared" si="122"/>
        <v>293.33333333333468</v>
      </c>
      <c r="CY145" s="62">
        <f ca="1">AVERAGE(OFFSET($CX$3,0,0,'Données projet'!$E$13+1,1))-AVERAGE(OFFSET($H$3,0,0,'Données projet'!$E$13+1,1))</f>
        <v>288.82868507674738</v>
      </c>
      <c r="CZ145" s="62">
        <f t="shared" si="150"/>
        <v>283.48738729114024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1.1108569877188488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1.1108569877188488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>
        <f>DO145*VLOOKUP('Données projet'!$B$14,Paramètres!$A$1:$I$89,3,0)*VLOOKUP('Données projet'!$B$14,Paramètres!$A$1:$I$89,5,0)</f>
        <v>0</v>
      </c>
      <c r="DQ145" s="14" t="e">
        <f t="shared" si="151"/>
        <v>#NUM!</v>
      </c>
      <c r="DR145" s="22" t="e">
        <f t="shared" si="124"/>
        <v>#NUM!</v>
      </c>
      <c r="DS145" s="62" t="e">
        <f t="shared" si="125"/>
        <v>#NUM!</v>
      </c>
      <c r="DT145" s="62">
        <f ca="1">AVERAGE(OFFSET($DS$3,0,0,'Données projet'!$E$14+1,1))-AVERAGE(OFFSET($H$3,0,0,'Données projet'!$E$14+1,1))</f>
        <v>487.04124684635974</v>
      </c>
      <c r="DU145" s="62">
        <f t="shared" si="152"/>
        <v>306.61893266146666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1.3324231683969885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1.3324231683969885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>
        <f>EJ145*VLOOKUP('Données projet'!$B$15,Paramètres!$A$1:$I$89,3,0)*VLOOKUP('Données projet'!$B$15,Paramètres!$A$1:$I$89,5,0)</f>
        <v>0</v>
      </c>
      <c r="EL145" s="14" t="e">
        <f t="shared" si="153"/>
        <v>#NUM!</v>
      </c>
      <c r="EM145" s="22" t="e">
        <f t="shared" si="127"/>
        <v>#NUM!</v>
      </c>
      <c r="EN145" s="62" t="e">
        <f t="shared" si="128"/>
        <v>#NUM!</v>
      </c>
      <c r="EO145" s="62">
        <f ca="1">AVERAGE(OFFSET($EN$3,0,0,'Données projet'!$E$15+1,1))-AVERAGE(OFFSET($H$3,0,0,'Données projet'!$E$15+1,1))</f>
        <v>459.64120566196812</v>
      </c>
      <c r="EP145" s="62">
        <f t="shared" si="154"/>
        <v>290.39826583283588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1.2504278964956357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1.2504278964956357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>
        <f>FE145*VLOOKUP('Données projet'!$B$16,Paramètres!$A$1:$I$89,3,0)*VLOOKUP('Données projet'!$B$16,Paramètres!$A$1:$I$89,5,0)</f>
        <v>0</v>
      </c>
      <c r="FG145" s="14" t="e">
        <f t="shared" si="155"/>
        <v>#NUM!</v>
      </c>
      <c r="FH145" s="22" t="e">
        <f t="shared" si="130"/>
        <v>#NUM!</v>
      </c>
      <c r="FI145" s="62" t="e">
        <f t="shared" si="131"/>
        <v>#NUM!</v>
      </c>
      <c r="FJ145" s="62">
        <f ca="1">AVERAGE(OFFSET($FI$3,0,0,'Données projet'!$E$16+1,1))-AVERAGE(OFFSET($H$3,0,0,'Données projet'!$E$16+1,1))</f>
        <v>335.83558218229564</v>
      </c>
      <c r="FK145" s="62">
        <f t="shared" si="156"/>
        <v>217.08423061559648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0</v>
      </c>
      <c r="FR145" s="23">
        <f>EXP(-LN(2)/25)*FR144+(1-EXP(-LN(2)/25))/(LN(2)/25)*Calculateur!FM145*Calculateur!FO145*VLOOKUP('Données projet'!$B$16,Paramètres!$A$1:$I$89,3,0)*0.475*44/12</f>
        <v>0.37387397315375492</v>
      </c>
      <c r="FS145" s="23">
        <f>EXP(-LN(2)/2)*FS144+(1-EXP(-LN(2)/2))/(LN(2)/2)*FM145*FP145*VLOOKUP('Données projet'!$B$16,Paramètres!$A$1:$I$89,3,0)*0.475*44/12</f>
        <v>1.5340226926756397E-16</v>
      </c>
      <c r="FT145" s="24">
        <f t="shared" si="132"/>
        <v>0.37387397315375509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1.9895196601282805E-13</v>
      </c>
      <c r="O146" s="14">
        <f>N146*VLOOKUP('Données projet'!$B$9,Paramètres!$A$1:$I$89,3,0)*VLOOKUP('Données projet'!$B$9,Paramètres!$A$1:$I$89,5,0)</f>
        <v>1.738044375088066E-13</v>
      </c>
      <c r="P146" s="14">
        <f t="shared" si="141"/>
        <v>2.4483293633950478E-12</v>
      </c>
      <c r="Q146" s="22">
        <f t="shared" si="108"/>
        <v>4.566883036574213E-12</v>
      </c>
      <c r="R146" s="62">
        <f t="shared" si="109"/>
        <v>293.33333333333786</v>
      </c>
      <c r="S146" s="62">
        <f ca="1">AVERAGE(OFFSET($R$3,0,0,'Données projet'!$E$9+1,1))-AVERAGE(OFFSET($H$3,0,0,'Données projet'!$E$9+1,1))</f>
        <v>321.23599968992932</v>
      </c>
      <c r="T146" s="62">
        <f t="shared" si="142"/>
        <v>388.05195847800502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1.114990914936387</v>
      </c>
      <c r="AB146" s="23">
        <f>EXP(-LN(2)/2)*AB145+(1-EXP(-LN(2)/2))/(LN(2)/2)*V146*Y146*VLOOKUP('Données projet'!$B$9,Paramètres!$A$1:$I$89,3,0)*0.475*44/12</f>
        <v>1.7925066616913432E-16</v>
      </c>
      <c r="AC146" s="24">
        <f t="shared" si="111"/>
        <v>1.1149909149363872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-5.6843418860808015E-14</v>
      </c>
      <c r="AJ146" s="14">
        <f>AI146*VLOOKUP('Données projet'!$B$10,Paramètres!$A$1:$I$89,3,0)*VLOOKUP('Données projet'!$B$10,Paramètres!$A$1:$I$89,5,0)</f>
        <v>-5.1431925385259088E-14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439.19854273764042</v>
      </c>
      <c r="AO146" s="62">
        <f t="shared" si="144"/>
        <v>278.21741231699929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0.39795700834731856</v>
      </c>
      <c r="AW146" s="23">
        <f>EXP(-LN(2)/2)*AW145+(1-EXP(-LN(2)/2))/(LN(2)/2)*AQ146*AT146*VLOOKUP('Données projet'!$B$10,Paramètres!$A$1:$I$89,3,0)*0.475*44/12</f>
        <v>1.4631077956309088E-16</v>
      </c>
      <c r="AX146" s="23">
        <f t="shared" si="114"/>
        <v>0.39795700834731873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-2.8421709430404007E-13</v>
      </c>
      <c r="BE146" s="14">
        <f>BD146*VLOOKUP('Données projet'!$B$11,Paramètres!$A$1:$I$89,3,0)*VLOOKUP('Données projet'!$B$11,Paramètres!$A$1:$I$89,5,0)</f>
        <v>-2.2612312022829427E-13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352.88510024787888</v>
      </c>
      <c r="BJ146" s="62">
        <f t="shared" si="146"/>
        <v>343.77208530767069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0.53569870331027014</v>
      </c>
      <c r="BR146" s="23">
        <f>EXP(-LN(2)/2)*BR145+(1-EXP(-LN(2)/2))/(LN(2)/2)*BL146*BO146*VLOOKUP('Données projet'!$B$11,Paramètres!$A$1:$I$89,3,0)*0.475*44/12</f>
        <v>3.8738951377701182E-18</v>
      </c>
      <c r="BS146" s="24">
        <f t="shared" si="117"/>
        <v>0.53569870331027014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-2.8421709430404007E-13</v>
      </c>
      <c r="BZ146" s="14">
        <f>BY146*VLOOKUP('Données projet'!$B$12,Paramètres!$A$1:$I$89,3,0)*VLOOKUP('Données projet'!$B$12,Paramètres!$A$1:$I$89,5,0)</f>
        <v>-2.0838797354372215E-13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328.10411227536315</v>
      </c>
      <c r="CE146" s="62">
        <f t="shared" si="148"/>
        <v>320.24200483294322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0.96856163553092822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0.96856163553092822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5.6843418860808015E-14</v>
      </c>
      <c r="CU146" s="18">
        <f>CT146*VLOOKUP('Données projet'!$B$13,Paramètres!$A$1:$I$89,3,0)*VLOOKUP('Données projet'!$B$13,Paramètres!$A$1:$I$89,5,0)</f>
        <v>4.4337866711430253E-14</v>
      </c>
      <c r="CV146" s="14">
        <f t="shared" si="149"/>
        <v>7.3222115536967035E-13</v>
      </c>
      <c r="CW146" s="22">
        <f t="shared" si="121"/>
        <v>1.3525069634579169E-12</v>
      </c>
      <c r="CX146" s="62">
        <f t="shared" si="122"/>
        <v>293.33333333333468</v>
      </c>
      <c r="CY146" s="62">
        <f ca="1">AVERAGE(OFFSET($CX$3,0,0,'Données projet'!$E$13+1,1))-AVERAGE(OFFSET($H$3,0,0,'Données projet'!$E$13+1,1))</f>
        <v>288.82868507674738</v>
      </c>
      <c r="CZ146" s="62">
        <f t="shared" si="150"/>
        <v>283.48738729114024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1.0890737597455415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1.0890737597455415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>
        <f>DO146*VLOOKUP('Données projet'!$B$14,Paramètres!$A$1:$I$89,3,0)*VLOOKUP('Données projet'!$B$14,Paramètres!$A$1:$I$89,5,0)</f>
        <v>0</v>
      </c>
      <c r="DQ146" s="14" t="e">
        <f t="shared" si="151"/>
        <v>#NUM!</v>
      </c>
      <c r="DR146" s="22" t="e">
        <f t="shared" si="124"/>
        <v>#NUM!</v>
      </c>
      <c r="DS146" s="62" t="e">
        <f t="shared" si="125"/>
        <v>#NUM!</v>
      </c>
      <c r="DT146" s="62">
        <f ca="1">AVERAGE(OFFSET($DS$3,0,0,'Données projet'!$E$14+1,1))-AVERAGE(OFFSET($H$3,0,0,'Données projet'!$E$14+1,1))</f>
        <v>487.04124684635974</v>
      </c>
      <c r="DU146" s="62">
        <f t="shared" si="152"/>
        <v>306.61893266146666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1.3062951627626089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1.3062951627626089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>
        <f>EJ146*VLOOKUP('Données projet'!$B$15,Paramètres!$A$1:$I$89,3,0)*VLOOKUP('Données projet'!$B$15,Paramètres!$A$1:$I$89,5,0)</f>
        <v>0</v>
      </c>
      <c r="EL146" s="14" t="e">
        <f t="shared" si="153"/>
        <v>#NUM!</v>
      </c>
      <c r="EM146" s="22" t="e">
        <f t="shared" si="127"/>
        <v>#NUM!</v>
      </c>
      <c r="EN146" s="62" t="e">
        <f t="shared" si="128"/>
        <v>#NUM!</v>
      </c>
      <c r="EO146" s="62">
        <f ca="1">AVERAGE(OFFSET($EN$3,0,0,'Données projet'!$E$15+1,1))-AVERAGE(OFFSET($H$3,0,0,'Données projet'!$E$15+1,1))</f>
        <v>459.64120566196812</v>
      </c>
      <c r="EP146" s="62">
        <f t="shared" si="154"/>
        <v>290.39826583283588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1.2259077681310642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1.2259077681310642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>
        <f>FE146*VLOOKUP('Données projet'!$B$16,Paramètres!$A$1:$I$89,3,0)*VLOOKUP('Données projet'!$B$16,Paramètres!$A$1:$I$89,5,0)</f>
        <v>0</v>
      </c>
      <c r="FG146" s="14" t="e">
        <f t="shared" si="155"/>
        <v>#NUM!</v>
      </c>
      <c r="FH146" s="22" t="e">
        <f t="shared" si="130"/>
        <v>#NUM!</v>
      </c>
      <c r="FI146" s="62" t="e">
        <f t="shared" si="131"/>
        <v>#NUM!</v>
      </c>
      <c r="FJ146" s="62">
        <f ca="1">AVERAGE(OFFSET($FI$3,0,0,'Données projet'!$E$16+1,1))-AVERAGE(OFFSET($H$3,0,0,'Données projet'!$E$16+1,1))</f>
        <v>335.83558218229564</v>
      </c>
      <c r="FK146" s="62">
        <f t="shared" si="156"/>
        <v>217.08423061559648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0</v>
      </c>
      <c r="FR146" s="23">
        <f>EXP(-LN(2)/25)*FR145+(1-EXP(-LN(2)/25))/(LN(2)/25)*Calculateur!FM146*Calculateur!FO146*VLOOKUP('Données projet'!$B$16,Paramètres!$A$1:$I$89,3,0)*0.475*44/12</f>
        <v>0.36365036969668774</v>
      </c>
      <c r="FS146" s="23">
        <f>EXP(-LN(2)/2)*FS145+(1-EXP(-LN(2)/2))/(LN(2)/2)*FM146*FP146*VLOOKUP('Données projet'!$B$16,Paramètres!$A$1:$I$89,3,0)*0.475*44/12</f>
        <v>1.084717848484992E-16</v>
      </c>
      <c r="FT146" s="24">
        <f t="shared" si="132"/>
        <v>0.36365036969668785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1.9895196601282805E-13</v>
      </c>
      <c r="O147" s="14">
        <f>N147*VLOOKUP('Données projet'!$B$9,Paramètres!$A$1:$I$89,3,0)*VLOOKUP('Données projet'!$B$9,Paramètres!$A$1:$I$89,5,0)</f>
        <v>1.738044375088066E-13</v>
      </c>
      <c r="P147" s="14">
        <f t="shared" si="141"/>
        <v>2.4483293633950478E-12</v>
      </c>
      <c r="Q147" s="22">
        <f t="shared" si="108"/>
        <v>4.566883036574213E-12</v>
      </c>
      <c r="R147" s="62">
        <f t="shared" si="109"/>
        <v>293.33333333333786</v>
      </c>
      <c r="S147" s="62">
        <f ca="1">AVERAGE(OFFSET($R$3,0,0,'Données projet'!$E$9+1,1))-AVERAGE(OFFSET($H$3,0,0,'Données projet'!$E$9+1,1))</f>
        <v>321.23599968992932</v>
      </c>
      <c r="T147" s="62">
        <f t="shared" si="142"/>
        <v>388.05195847800502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1.0845014297326276</v>
      </c>
      <c r="AB147" s="23">
        <f>EXP(-LN(2)/2)*AB146+(1-EXP(-LN(2)/2))/(LN(2)/2)*V147*Y147*VLOOKUP('Données projet'!$B$9,Paramètres!$A$1:$I$89,3,0)*0.475*44/12</f>
        <v>1.2674936158040094E-16</v>
      </c>
      <c r="AC147" s="24">
        <f t="shared" si="111"/>
        <v>1.0845014297326279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-5.6843418860808015E-14</v>
      </c>
      <c r="AJ147" s="14">
        <f>AI147*VLOOKUP('Données projet'!$B$10,Paramètres!$A$1:$I$89,3,0)*VLOOKUP('Données projet'!$B$10,Paramètres!$A$1:$I$89,5,0)</f>
        <v>-5.1431925385259088E-14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439.19854273764042</v>
      </c>
      <c r="AO147" s="62">
        <f t="shared" si="144"/>
        <v>278.21741231699929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0.38707485302641159</v>
      </c>
      <c r="AW147" s="23">
        <f>EXP(-LN(2)/2)*AW146+(1-EXP(-LN(2)/2))/(LN(2)/2)*AQ147*AT147*VLOOKUP('Données projet'!$B$10,Paramètres!$A$1:$I$89,3,0)*0.475*44/12</f>
        <v>1.0345734438975169E-16</v>
      </c>
      <c r="AX147" s="23">
        <f t="shared" si="114"/>
        <v>0.3870748530264117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-2.8421709430404007E-13</v>
      </c>
      <c r="BE147" s="14">
        <f>BD147*VLOOKUP('Données projet'!$B$11,Paramètres!$A$1:$I$89,3,0)*VLOOKUP('Données projet'!$B$11,Paramètres!$A$1:$I$89,5,0)</f>
        <v>-2.2612312022829427E-13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352.88510024787888</v>
      </c>
      <c r="BJ147" s="62">
        <f t="shared" si="146"/>
        <v>343.77208530767069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0.5210499940970803</v>
      </c>
      <c r="BR147" s="23">
        <f>EXP(-LN(2)/2)*BR146+(1-EXP(-LN(2)/2))/(LN(2)/2)*BL147*BO147*VLOOKUP('Données projet'!$B$11,Paramètres!$A$1:$I$89,3,0)*0.475*44/12</f>
        <v>2.7392575215228454E-18</v>
      </c>
      <c r="BS147" s="24">
        <f t="shared" si="117"/>
        <v>0.5210499940970803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-2.8421709430404007E-13</v>
      </c>
      <c r="BZ147" s="14">
        <f>BY147*VLOOKUP('Données projet'!$B$12,Paramètres!$A$1:$I$89,3,0)*VLOOKUP('Données projet'!$B$12,Paramètres!$A$1:$I$89,5,0)</f>
        <v>-2.0838797354372215E-13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328.10411227536315</v>
      </c>
      <c r="CE147" s="62">
        <f t="shared" si="148"/>
        <v>320.24200483294322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0.94956873262243124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0.94956873262243124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5.6843418860808015E-14</v>
      </c>
      <c r="CU147" s="18">
        <f>CT147*VLOOKUP('Données projet'!$B$13,Paramètres!$A$1:$I$89,3,0)*VLOOKUP('Données projet'!$B$13,Paramètres!$A$1:$I$89,5,0)</f>
        <v>4.4337866711430253E-14</v>
      </c>
      <c r="CV147" s="14">
        <f t="shared" si="149"/>
        <v>7.3222115536967035E-13</v>
      </c>
      <c r="CW147" s="22">
        <f t="shared" si="121"/>
        <v>1.3525069634579169E-12</v>
      </c>
      <c r="CX147" s="62">
        <f t="shared" si="122"/>
        <v>293.33333333333468</v>
      </c>
      <c r="CY147" s="62">
        <f ca="1">AVERAGE(OFFSET($CX$3,0,0,'Données projet'!$E$13+1,1))-AVERAGE(OFFSET($H$3,0,0,'Données projet'!$E$13+1,1))</f>
        <v>288.82868507674738</v>
      </c>
      <c r="CZ147" s="62">
        <f t="shared" si="150"/>
        <v>283.48738729114024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1.0677176875863337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1.0677176875863337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>
        <f>DO147*VLOOKUP('Données projet'!$B$14,Paramètres!$A$1:$I$89,3,0)*VLOOKUP('Données projet'!$B$14,Paramètres!$A$1:$I$89,5,0)</f>
        <v>0</v>
      </c>
      <c r="DQ147" s="14" t="e">
        <f t="shared" si="151"/>
        <v>#NUM!</v>
      </c>
      <c r="DR147" s="22" t="e">
        <f t="shared" si="124"/>
        <v>#NUM!</v>
      </c>
      <c r="DS147" s="62" t="e">
        <f t="shared" si="125"/>
        <v>#NUM!</v>
      </c>
      <c r="DT147" s="62">
        <f ca="1">AVERAGE(OFFSET($DS$3,0,0,'Données projet'!$E$14+1,1))-AVERAGE(OFFSET($H$3,0,0,'Données projet'!$E$14+1,1))</f>
        <v>487.04124684635974</v>
      </c>
      <c r="DU147" s="62">
        <f t="shared" si="152"/>
        <v>306.61893266146666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1.2806795113822098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1.2806795113822098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>
        <f>EJ147*VLOOKUP('Données projet'!$B$15,Paramètres!$A$1:$I$89,3,0)*VLOOKUP('Données projet'!$B$15,Paramètres!$A$1:$I$89,5,0)</f>
        <v>0</v>
      </c>
      <c r="EL147" s="14" t="e">
        <f t="shared" si="153"/>
        <v>#NUM!</v>
      </c>
      <c r="EM147" s="22" t="e">
        <f t="shared" si="127"/>
        <v>#NUM!</v>
      </c>
      <c r="EN147" s="62" t="e">
        <f t="shared" si="128"/>
        <v>#NUM!</v>
      </c>
      <c r="EO147" s="62">
        <f ca="1">AVERAGE(OFFSET($EN$3,0,0,'Données projet'!$E$15+1,1))-AVERAGE(OFFSET($H$3,0,0,'Données projet'!$E$15+1,1))</f>
        <v>459.64120566196812</v>
      </c>
      <c r="EP147" s="62">
        <f t="shared" si="154"/>
        <v>290.39826583283588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1.2018684645279203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1.2018684645279203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>
        <f>FE147*VLOOKUP('Données projet'!$B$16,Paramètres!$A$1:$I$89,3,0)*VLOOKUP('Données projet'!$B$16,Paramètres!$A$1:$I$89,5,0)</f>
        <v>0</v>
      </c>
      <c r="FG147" s="14" t="e">
        <f t="shared" si="155"/>
        <v>#NUM!</v>
      </c>
      <c r="FH147" s="22" t="e">
        <f t="shared" si="130"/>
        <v>#NUM!</v>
      </c>
      <c r="FI147" s="62" t="e">
        <f t="shared" si="131"/>
        <v>#NUM!</v>
      </c>
      <c r="FJ147" s="62">
        <f ca="1">AVERAGE(OFFSET($FI$3,0,0,'Données projet'!$E$16+1,1))-AVERAGE(OFFSET($H$3,0,0,'Données projet'!$E$16+1,1))</f>
        <v>335.83558218229564</v>
      </c>
      <c r="FK147" s="62">
        <f t="shared" si="156"/>
        <v>217.08423061559648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0</v>
      </c>
      <c r="FR147" s="23">
        <f>EXP(-LN(2)/25)*FR146+(1-EXP(-LN(2)/25))/(LN(2)/25)*Calculateur!FM147*Calculateur!FO147*VLOOKUP('Données projet'!$B$16,Paramètres!$A$1:$I$89,3,0)*0.475*44/12</f>
        <v>0.35370633121379003</v>
      </c>
      <c r="FS147" s="23">
        <f>EXP(-LN(2)/2)*FS146+(1-EXP(-LN(2)/2))/(LN(2)/2)*FM147*FP147*VLOOKUP('Données projet'!$B$16,Paramètres!$A$1:$I$89,3,0)*0.475*44/12</f>
        <v>7.6701134633781998E-17</v>
      </c>
      <c r="FT147" s="24">
        <f t="shared" si="132"/>
        <v>0.35370633121379008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1.9895196601282805E-13</v>
      </c>
      <c r="O148" s="14">
        <f>N148*VLOOKUP('Données projet'!$B$9,Paramètres!$A$1:$I$89,3,0)*VLOOKUP('Données projet'!$B$9,Paramètres!$A$1:$I$89,5,0)</f>
        <v>1.738044375088066E-13</v>
      </c>
      <c r="P148" s="14">
        <f t="shared" si="141"/>
        <v>2.4483293633950478E-12</v>
      </c>
      <c r="Q148" s="22">
        <f t="shared" si="108"/>
        <v>4.566883036574213E-12</v>
      </c>
      <c r="R148" s="62">
        <f t="shared" si="109"/>
        <v>293.33333333333786</v>
      </c>
      <c r="S148" s="62">
        <f ca="1">AVERAGE(OFFSET($R$3,0,0,'Données projet'!$E$9+1,1))-AVERAGE(OFFSET($H$3,0,0,'Données projet'!$E$9+1,1))</f>
        <v>321.23599968992932</v>
      </c>
      <c r="T148" s="62">
        <f t="shared" si="142"/>
        <v>388.05195847800502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1.0548456811051374</v>
      </c>
      <c r="AB148" s="23">
        <f>EXP(-LN(2)/2)*AB147+(1-EXP(-LN(2)/2))/(LN(2)/2)*V148*Y148*VLOOKUP('Données projet'!$B$9,Paramètres!$A$1:$I$89,3,0)*0.475*44/12</f>
        <v>8.962533308456716E-17</v>
      </c>
      <c r="AC148" s="24">
        <f t="shared" si="111"/>
        <v>1.0548456811051374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-5.6843418860808015E-14</v>
      </c>
      <c r="AJ148" s="14">
        <f>AI148*VLOOKUP('Données projet'!$B$10,Paramètres!$A$1:$I$89,3,0)*VLOOKUP('Données projet'!$B$10,Paramètres!$A$1:$I$89,5,0)</f>
        <v>-5.1431925385259088E-14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439.19854273764042</v>
      </c>
      <c r="AO148" s="62">
        <f t="shared" si="144"/>
        <v>278.21741231699929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0.37649027081502251</v>
      </c>
      <c r="AW148" s="23">
        <f>EXP(-LN(2)/2)*AW147+(1-EXP(-LN(2)/2))/(LN(2)/2)*AQ148*AT148*VLOOKUP('Données projet'!$B$10,Paramètres!$A$1:$I$89,3,0)*0.475*44/12</f>
        <v>7.315538978154544E-17</v>
      </c>
      <c r="AX148" s="23">
        <f t="shared" si="114"/>
        <v>0.37649027081502257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-2.8421709430404007E-13</v>
      </c>
      <c r="BE148" s="14">
        <f>BD148*VLOOKUP('Données projet'!$B$11,Paramètres!$A$1:$I$89,3,0)*VLOOKUP('Données projet'!$B$11,Paramètres!$A$1:$I$89,5,0)</f>
        <v>-2.2612312022829427E-13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352.88510024787888</v>
      </c>
      <c r="BJ148" s="62">
        <f t="shared" si="146"/>
        <v>343.77208530767069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0.50680185460766736</v>
      </c>
      <c r="BR148" s="23">
        <f>EXP(-LN(2)/2)*BR147+(1-EXP(-LN(2)/2))/(LN(2)/2)*BL148*BO148*VLOOKUP('Données projet'!$B$11,Paramètres!$A$1:$I$89,3,0)*0.475*44/12</f>
        <v>1.9369475688850591E-18</v>
      </c>
      <c r="BS148" s="24">
        <f t="shared" si="117"/>
        <v>0.50680185460766736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-2.8421709430404007E-13</v>
      </c>
      <c r="BZ148" s="14">
        <f>BY148*VLOOKUP('Données projet'!$B$12,Paramètres!$A$1:$I$89,3,0)*VLOOKUP('Données projet'!$B$12,Paramètres!$A$1:$I$89,5,0)</f>
        <v>-2.0838797354372215E-13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328.10411227536315</v>
      </c>
      <c r="CE148" s="62">
        <f t="shared" si="148"/>
        <v>320.24200483294322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0.93094826895544303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0.93094826895544303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5.6843418860808015E-14</v>
      </c>
      <c r="CU148" s="18">
        <f>CT148*VLOOKUP('Données projet'!$B$13,Paramètres!$A$1:$I$89,3,0)*VLOOKUP('Données projet'!$B$13,Paramètres!$A$1:$I$89,5,0)</f>
        <v>4.4337866711430253E-14</v>
      </c>
      <c r="CV148" s="14">
        <f t="shared" si="149"/>
        <v>7.3222115536967035E-13</v>
      </c>
      <c r="CW148" s="22">
        <f t="shared" si="121"/>
        <v>1.3525069634579169E-12</v>
      </c>
      <c r="CX148" s="62">
        <f t="shared" si="122"/>
        <v>293.33333333333468</v>
      </c>
      <c r="CY148" s="62">
        <f ca="1">AVERAGE(OFFSET($CX$3,0,0,'Données projet'!$E$13+1,1))-AVERAGE(OFFSET($H$3,0,0,'Données projet'!$E$13+1,1))</f>
        <v>288.82868507674738</v>
      </c>
      <c r="CZ148" s="62">
        <f t="shared" si="150"/>
        <v>283.48738729114024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1.0467803949762502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1.0467803949762502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>
        <f>DO148*VLOOKUP('Données projet'!$B$14,Paramètres!$A$1:$I$89,3,0)*VLOOKUP('Données projet'!$B$14,Paramètres!$A$1:$I$89,5,0)</f>
        <v>0</v>
      </c>
      <c r="DQ148" s="14" t="e">
        <f t="shared" si="151"/>
        <v>#NUM!</v>
      </c>
      <c r="DR148" s="22" t="e">
        <f t="shared" si="124"/>
        <v>#NUM!</v>
      </c>
      <c r="DS148" s="62" t="e">
        <f t="shared" si="125"/>
        <v>#NUM!</v>
      </c>
      <c r="DT148" s="62">
        <f ca="1">AVERAGE(OFFSET($DS$3,0,0,'Données projet'!$E$14+1,1))-AVERAGE(OFFSET($H$3,0,0,'Données projet'!$E$14+1,1))</f>
        <v>487.04124684635974</v>
      </c>
      <c r="DU148" s="62">
        <f t="shared" si="152"/>
        <v>306.61893266146666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1.2555661673013756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1.2555661673013756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>
        <f>EJ148*VLOOKUP('Données projet'!$B$15,Paramètres!$A$1:$I$89,3,0)*VLOOKUP('Données projet'!$B$15,Paramètres!$A$1:$I$89,5,0)</f>
        <v>0</v>
      </c>
      <c r="EL148" s="14" t="e">
        <f t="shared" si="153"/>
        <v>#NUM!</v>
      </c>
      <c r="EM148" s="22" t="e">
        <f t="shared" si="127"/>
        <v>#NUM!</v>
      </c>
      <c r="EN148" s="62" t="e">
        <f t="shared" si="128"/>
        <v>#NUM!</v>
      </c>
      <c r="EO148" s="62">
        <f ca="1">AVERAGE(OFFSET($EN$3,0,0,'Données projet'!$E$15+1,1))-AVERAGE(OFFSET($H$3,0,0,'Données projet'!$E$15+1,1))</f>
        <v>459.64120566196812</v>
      </c>
      <c r="EP148" s="62">
        <f t="shared" si="154"/>
        <v>290.39826583283588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1.1783005570059066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1.1783005570059066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>
        <f>FE148*VLOOKUP('Données projet'!$B$16,Paramètres!$A$1:$I$89,3,0)*VLOOKUP('Données projet'!$B$16,Paramètres!$A$1:$I$89,5,0)</f>
        <v>0</v>
      </c>
      <c r="FG148" s="14" t="e">
        <f t="shared" si="155"/>
        <v>#NUM!</v>
      </c>
      <c r="FH148" s="22" t="e">
        <f t="shared" si="130"/>
        <v>#NUM!</v>
      </c>
      <c r="FI148" s="62" t="e">
        <f t="shared" si="131"/>
        <v>#NUM!</v>
      </c>
      <c r="FJ148" s="62">
        <f ca="1">AVERAGE(OFFSET($FI$3,0,0,'Données projet'!$E$16+1,1))-AVERAGE(OFFSET($H$3,0,0,'Données projet'!$E$16+1,1))</f>
        <v>335.83558218229564</v>
      </c>
      <c r="FK148" s="62">
        <f t="shared" si="156"/>
        <v>217.08423061559648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0</v>
      </c>
      <c r="FR148" s="23">
        <f>EXP(-LN(2)/25)*FR147+(1-EXP(-LN(2)/25))/(LN(2)/25)*Calculateur!FM148*Calculateur!FO148*VLOOKUP('Données projet'!$B$16,Paramètres!$A$1:$I$89,3,0)*0.475*44/12</f>
        <v>0.3440342129861414</v>
      </c>
      <c r="FS148" s="23">
        <f>EXP(-LN(2)/2)*FS147+(1-EXP(-LN(2)/2))/(LN(2)/2)*FM148*FP148*VLOOKUP('Données projet'!$B$16,Paramètres!$A$1:$I$89,3,0)*0.475*44/12</f>
        <v>5.4235892424249614E-17</v>
      </c>
      <c r="FT148" s="24">
        <f t="shared" si="132"/>
        <v>0.34403421298614145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1.9895196601282805E-13</v>
      </c>
      <c r="O149" s="14">
        <f>N149*VLOOKUP('Données projet'!$B$9,Paramètres!$A$1:$I$89,3,0)*VLOOKUP('Données projet'!$B$9,Paramètres!$A$1:$I$89,5,0)</f>
        <v>1.738044375088066E-13</v>
      </c>
      <c r="P149" s="14">
        <f t="shared" si="141"/>
        <v>2.4483293633950478E-12</v>
      </c>
      <c r="Q149" s="22">
        <f t="shared" si="108"/>
        <v>4.566883036574213E-12</v>
      </c>
      <c r="R149" s="62">
        <f t="shared" si="109"/>
        <v>293.33333333333786</v>
      </c>
      <c r="S149" s="62">
        <f ca="1">AVERAGE(OFFSET($R$3,0,0,'Données projet'!$E$9+1,1))-AVERAGE(OFFSET($H$3,0,0,'Données projet'!$E$9+1,1))</f>
        <v>321.23599968992932</v>
      </c>
      <c r="T149" s="62">
        <f t="shared" si="142"/>
        <v>388.05195847800502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1.0260008704833941</v>
      </c>
      <c r="AB149" s="23">
        <f>EXP(-LN(2)/2)*AB148+(1-EXP(-LN(2)/2))/(LN(2)/2)*V149*Y149*VLOOKUP('Données projet'!$B$9,Paramètres!$A$1:$I$89,3,0)*0.475*44/12</f>
        <v>6.3374680790200468E-17</v>
      </c>
      <c r="AC149" s="24">
        <f t="shared" si="111"/>
        <v>1.0260008704833941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-5.6843418860808015E-14</v>
      </c>
      <c r="AJ149" s="14">
        <f>AI149*VLOOKUP('Données projet'!$B$10,Paramètres!$A$1:$I$89,3,0)*VLOOKUP('Données projet'!$B$10,Paramètres!$A$1:$I$89,5,0)</f>
        <v>-5.1431925385259088E-14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439.19854273764042</v>
      </c>
      <c r="AO149" s="62">
        <f t="shared" si="144"/>
        <v>278.21741231699929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0.36619512456082287</v>
      </c>
      <c r="AW149" s="23">
        <f>EXP(-LN(2)/2)*AW148+(1-EXP(-LN(2)/2))/(LN(2)/2)*AQ149*AT149*VLOOKUP('Données projet'!$B$10,Paramètres!$A$1:$I$89,3,0)*0.475*44/12</f>
        <v>5.1728672194875846E-17</v>
      </c>
      <c r="AX149" s="23">
        <f t="shared" si="114"/>
        <v>0.36619512456082293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-2.8421709430404007E-13</v>
      </c>
      <c r="BE149" s="14">
        <f>BD149*VLOOKUP('Données projet'!$B$11,Paramètres!$A$1:$I$89,3,0)*VLOOKUP('Données projet'!$B$11,Paramètres!$A$1:$I$89,5,0)</f>
        <v>-2.2612312022829427E-13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352.88510024787888</v>
      </c>
      <c r="BJ149" s="62">
        <f t="shared" si="146"/>
        <v>343.77208530767069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0.49294333124186945</v>
      </c>
      <c r="BR149" s="23">
        <f>EXP(-LN(2)/2)*BR148+(1-EXP(-LN(2)/2))/(LN(2)/2)*BL149*BO149*VLOOKUP('Données projet'!$B$11,Paramètres!$A$1:$I$89,3,0)*0.475*44/12</f>
        <v>1.3696287607614227E-18</v>
      </c>
      <c r="BS149" s="24">
        <f t="shared" si="117"/>
        <v>0.49294333124186945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-2.8421709430404007E-13</v>
      </c>
      <c r="BZ149" s="14">
        <f>BY149*VLOOKUP('Données projet'!$B$12,Paramètres!$A$1:$I$89,3,0)*VLOOKUP('Données projet'!$B$12,Paramètres!$A$1:$I$89,5,0)</f>
        <v>-2.0838797354372215E-13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328.10411227536315</v>
      </c>
      <c r="CE149" s="62">
        <f t="shared" si="148"/>
        <v>320.24200483294322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0.912692941223603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0.912692941223603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5.6843418860808015E-14</v>
      </c>
      <c r="CU149" s="18">
        <f>CT149*VLOOKUP('Données projet'!$B$13,Paramètres!$A$1:$I$89,3,0)*VLOOKUP('Données projet'!$B$13,Paramètres!$A$1:$I$89,5,0)</f>
        <v>4.4337866711430253E-14</v>
      </c>
      <c r="CV149" s="14">
        <f t="shared" si="149"/>
        <v>7.3222115536967035E-13</v>
      </c>
      <c r="CW149" s="22">
        <f t="shared" si="121"/>
        <v>1.3525069634579169E-12</v>
      </c>
      <c r="CX149" s="62">
        <f t="shared" si="122"/>
        <v>293.33333333333468</v>
      </c>
      <c r="CY149" s="62">
        <f ca="1">AVERAGE(OFFSET($CX$3,0,0,'Données projet'!$E$13+1,1))-AVERAGE(OFFSET($H$3,0,0,'Données projet'!$E$13+1,1))</f>
        <v>288.82868507674738</v>
      </c>
      <c r="CZ149" s="62">
        <f t="shared" si="150"/>
        <v>283.48738729114024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1.026253669903763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1.026253669903763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>
        <f>DO149*VLOOKUP('Données projet'!$B$14,Paramètres!$A$1:$I$89,3,0)*VLOOKUP('Données projet'!$B$14,Paramètres!$A$1:$I$89,5,0)</f>
        <v>0</v>
      </c>
      <c r="DQ149" s="14" t="e">
        <f t="shared" si="151"/>
        <v>#NUM!</v>
      </c>
      <c r="DR149" s="22" t="e">
        <f t="shared" si="124"/>
        <v>#NUM!</v>
      </c>
      <c r="DS149" s="62" t="e">
        <f t="shared" si="125"/>
        <v>#NUM!</v>
      </c>
      <c r="DT149" s="62">
        <f ca="1">AVERAGE(OFFSET($DS$3,0,0,'Données projet'!$E$14+1,1))-AVERAGE(OFFSET($H$3,0,0,'Données projet'!$E$14+1,1))</f>
        <v>487.04124684635974</v>
      </c>
      <c r="DU149" s="62">
        <f t="shared" si="152"/>
        <v>306.61893266146666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1.2309452805803394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1.2309452805803394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>
        <f>EJ149*VLOOKUP('Données projet'!$B$15,Paramètres!$A$1:$I$89,3,0)*VLOOKUP('Données projet'!$B$15,Paramètres!$A$1:$I$89,5,0)</f>
        <v>0</v>
      </c>
      <c r="EL149" s="14" t="e">
        <f t="shared" si="153"/>
        <v>#NUM!</v>
      </c>
      <c r="EM149" s="22" t="e">
        <f t="shared" si="127"/>
        <v>#NUM!</v>
      </c>
      <c r="EN149" s="62" t="e">
        <f t="shared" si="128"/>
        <v>#NUM!</v>
      </c>
      <c r="EO149" s="62">
        <f ca="1">AVERAGE(OFFSET($EN$3,0,0,'Données projet'!$E$15+1,1))-AVERAGE(OFFSET($H$3,0,0,'Données projet'!$E$15+1,1))</f>
        <v>459.64120566196812</v>
      </c>
      <c r="EP149" s="62">
        <f t="shared" si="154"/>
        <v>290.39826583283588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1.1551948017753957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1.1551948017753957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>
        <f>FE149*VLOOKUP('Données projet'!$B$16,Paramètres!$A$1:$I$89,3,0)*VLOOKUP('Données projet'!$B$16,Paramètres!$A$1:$I$89,5,0)</f>
        <v>0</v>
      </c>
      <c r="FG149" s="14" t="e">
        <f t="shared" si="155"/>
        <v>#NUM!</v>
      </c>
      <c r="FH149" s="22" t="e">
        <f t="shared" si="130"/>
        <v>#NUM!</v>
      </c>
      <c r="FI149" s="62" t="e">
        <f t="shared" si="131"/>
        <v>#NUM!</v>
      </c>
      <c r="FJ149" s="62">
        <f ca="1">AVERAGE(OFFSET($FI$3,0,0,'Données projet'!$E$16+1,1))-AVERAGE(OFFSET($H$3,0,0,'Données projet'!$E$16+1,1))</f>
        <v>335.83558218229564</v>
      </c>
      <c r="FK149" s="62">
        <f t="shared" si="156"/>
        <v>217.08423061559648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0</v>
      </c>
      <c r="FR149" s="23">
        <f>EXP(-LN(2)/25)*FR148+(1-EXP(-LN(2)/25))/(LN(2)/25)*Calculateur!FM149*Calculateur!FO149*VLOOKUP('Données projet'!$B$16,Paramètres!$A$1:$I$89,3,0)*0.475*44/12</f>
        <v>0.3346265793400624</v>
      </c>
      <c r="FS149" s="23">
        <f>EXP(-LN(2)/2)*FS148+(1-EXP(-LN(2)/2))/(LN(2)/2)*FM149*FP149*VLOOKUP('Données projet'!$B$16,Paramètres!$A$1:$I$89,3,0)*0.475*44/12</f>
        <v>3.8350567316891005E-17</v>
      </c>
      <c r="FT149" s="24">
        <f t="shared" si="132"/>
        <v>0.33462657934006246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1.9895196601282805E-13</v>
      </c>
      <c r="O150" s="14">
        <f>N150*VLOOKUP('Données projet'!$B$9,Paramètres!$A$1:$I$89,3,0)*VLOOKUP('Données projet'!$B$9,Paramètres!$A$1:$I$89,5,0)</f>
        <v>1.738044375088066E-13</v>
      </c>
      <c r="P150" s="14">
        <f t="shared" si="141"/>
        <v>2.4483293633950478E-12</v>
      </c>
      <c r="Q150" s="22">
        <f t="shared" si="108"/>
        <v>4.566883036574213E-12</v>
      </c>
      <c r="R150" s="62">
        <f t="shared" si="109"/>
        <v>293.33333333333786</v>
      </c>
      <c r="S150" s="62">
        <f ca="1">AVERAGE(OFFSET($R$3,0,0,'Données projet'!$E$9+1,1))-AVERAGE(OFFSET($H$3,0,0,'Données projet'!$E$9+1,1))</f>
        <v>321.23599968992932</v>
      </c>
      <c r="T150" s="62">
        <f t="shared" si="142"/>
        <v>388.05195847800502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0.99794482272498486</v>
      </c>
      <c r="AB150" s="23">
        <f>EXP(-LN(2)/2)*AB149+(1-EXP(-LN(2)/2))/(LN(2)/2)*V150*Y150*VLOOKUP('Données projet'!$B$9,Paramètres!$A$1:$I$89,3,0)*0.475*44/12</f>
        <v>4.481266654228358E-17</v>
      </c>
      <c r="AC150" s="24">
        <f t="shared" si="111"/>
        <v>0.99794482272498486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-5.6843418860808015E-14</v>
      </c>
      <c r="AJ150" s="14">
        <f>AI150*VLOOKUP('Données projet'!$B$10,Paramètres!$A$1:$I$89,3,0)*VLOOKUP('Données projet'!$B$10,Paramètres!$A$1:$I$89,5,0)</f>
        <v>-5.1431925385259088E-14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439.19854273764042</v>
      </c>
      <c r="AO150" s="62">
        <f t="shared" si="144"/>
        <v>278.21741231699929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0.35618149962234252</v>
      </c>
      <c r="AW150" s="23">
        <f>EXP(-LN(2)/2)*AW149+(1-EXP(-LN(2)/2))/(LN(2)/2)*AQ150*AT150*VLOOKUP('Données projet'!$B$10,Paramètres!$A$1:$I$89,3,0)*0.475*44/12</f>
        <v>3.657769489077272E-17</v>
      </c>
      <c r="AX150" s="23">
        <f t="shared" si="114"/>
        <v>0.35618149962234258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-2.8421709430404007E-13</v>
      </c>
      <c r="BE150" s="14">
        <f>BD150*VLOOKUP('Données projet'!$B$11,Paramètres!$A$1:$I$89,3,0)*VLOOKUP('Données projet'!$B$11,Paramètres!$A$1:$I$89,5,0)</f>
        <v>-2.2612312022829427E-13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352.88510024787888</v>
      </c>
      <c r="BJ150" s="62">
        <f t="shared" si="146"/>
        <v>343.77208530767069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0.47946376992629736</v>
      </c>
      <c r="BR150" s="23">
        <f>EXP(-LN(2)/2)*BR149+(1-EXP(-LN(2)/2))/(LN(2)/2)*BL150*BO150*VLOOKUP('Données projet'!$B$11,Paramètres!$A$1:$I$89,3,0)*0.475*44/12</f>
        <v>9.6847378444252955E-19</v>
      </c>
      <c r="BS150" s="24">
        <f t="shared" si="117"/>
        <v>0.47946376992629736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-2.8421709430404007E-13</v>
      </c>
      <c r="BZ150" s="14">
        <f>BY150*VLOOKUP('Données projet'!$B$12,Paramètres!$A$1:$I$89,3,0)*VLOOKUP('Données projet'!$B$12,Paramètres!$A$1:$I$89,5,0)</f>
        <v>-2.0838797354372215E-13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328.10411227536315</v>
      </c>
      <c r="CE150" s="62">
        <f t="shared" si="148"/>
        <v>320.24200483294322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0.89479558933393399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0.89479558933393399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5.6843418860808015E-14</v>
      </c>
      <c r="CU150" s="18">
        <f>CT150*VLOOKUP('Données projet'!$B$13,Paramètres!$A$1:$I$89,3,0)*VLOOKUP('Données projet'!$B$13,Paramètres!$A$1:$I$89,5,0)</f>
        <v>4.4337866711430253E-14</v>
      </c>
      <c r="CV150" s="14">
        <f t="shared" si="149"/>
        <v>7.3222115536967035E-13</v>
      </c>
      <c r="CW150" s="22">
        <f t="shared" si="121"/>
        <v>1.3525069634579169E-12</v>
      </c>
      <c r="CX150" s="62">
        <f t="shared" si="122"/>
        <v>293.33333333333468</v>
      </c>
      <c r="CY150" s="62">
        <f ca="1">AVERAGE(OFFSET($CX$3,0,0,'Données projet'!$E$13+1,1))-AVERAGE(OFFSET($H$3,0,0,'Données projet'!$E$13+1,1))</f>
        <v>288.82868507674738</v>
      </c>
      <c r="CZ150" s="62">
        <f t="shared" si="150"/>
        <v>283.48738729114024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1.006129461389881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1.006129461389881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>
        <f>DO150*VLOOKUP('Données projet'!$B$14,Paramètres!$A$1:$I$89,3,0)*VLOOKUP('Données projet'!$B$14,Paramètres!$A$1:$I$89,5,0)</f>
        <v>0</v>
      </c>
      <c r="DQ150" s="14" t="e">
        <f t="shared" si="151"/>
        <v>#NUM!</v>
      </c>
      <c r="DR150" s="22" t="e">
        <f t="shared" si="124"/>
        <v>#NUM!</v>
      </c>
      <c r="DS150" s="62" t="e">
        <f t="shared" si="125"/>
        <v>#NUM!</v>
      </c>
      <c r="DT150" s="62">
        <f ca="1">AVERAGE(OFFSET($DS$3,0,0,'Données projet'!$E$14+1,1))-AVERAGE(OFFSET($H$3,0,0,'Données projet'!$E$14+1,1))</f>
        <v>487.04124684635974</v>
      </c>
      <c r="DU150" s="62">
        <f t="shared" si="152"/>
        <v>306.61893266146666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1.2068071944306444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1.2068071944306444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>
        <f>EJ150*VLOOKUP('Données projet'!$B$15,Paramètres!$A$1:$I$89,3,0)*VLOOKUP('Données projet'!$B$15,Paramètres!$A$1:$I$89,5,0)</f>
        <v>0</v>
      </c>
      <c r="EL150" s="14" t="e">
        <f t="shared" si="153"/>
        <v>#NUM!</v>
      </c>
      <c r="EM150" s="22" t="e">
        <f t="shared" si="127"/>
        <v>#NUM!</v>
      </c>
      <c r="EN150" s="62" t="e">
        <f t="shared" si="128"/>
        <v>#NUM!</v>
      </c>
      <c r="EO150" s="62">
        <f ca="1">AVERAGE(OFFSET($EN$3,0,0,'Données projet'!$E$15+1,1))-AVERAGE(OFFSET($H$3,0,0,'Données projet'!$E$15+1,1))</f>
        <v>459.64120566196812</v>
      </c>
      <c r="EP150" s="62">
        <f t="shared" si="154"/>
        <v>290.39826583283588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1.1325421363118358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1.1325421363118358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>
        <f>FE150*VLOOKUP('Données projet'!$B$16,Paramètres!$A$1:$I$89,3,0)*VLOOKUP('Données projet'!$B$16,Paramètres!$A$1:$I$89,5,0)</f>
        <v>0</v>
      </c>
      <c r="FG150" s="14" t="e">
        <f t="shared" si="155"/>
        <v>#NUM!</v>
      </c>
      <c r="FH150" s="22" t="e">
        <f t="shared" si="130"/>
        <v>#NUM!</v>
      </c>
      <c r="FI150" s="62" t="e">
        <f t="shared" si="131"/>
        <v>#NUM!</v>
      </c>
      <c r="FJ150" s="62">
        <f ca="1">AVERAGE(OFFSET($FI$3,0,0,'Données projet'!$E$16+1,1))-AVERAGE(OFFSET($H$3,0,0,'Données projet'!$E$16+1,1))</f>
        <v>335.83558218229564</v>
      </c>
      <c r="FK150" s="62">
        <f t="shared" si="156"/>
        <v>217.08423061559648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0</v>
      </c>
      <c r="FR150" s="23">
        <f>EXP(-LN(2)/25)*FR149+(1-EXP(-LN(2)/25))/(LN(2)/25)*Calculateur!FM150*Calculateur!FO150*VLOOKUP('Données projet'!$B$16,Paramètres!$A$1:$I$89,3,0)*0.475*44/12</f>
        <v>0.32547619793076138</v>
      </c>
      <c r="FS150" s="23">
        <f>EXP(-LN(2)/2)*FS149+(1-EXP(-LN(2)/2))/(LN(2)/2)*FM150*FP150*VLOOKUP('Données projet'!$B$16,Paramètres!$A$1:$I$89,3,0)*0.475*44/12</f>
        <v>2.711794621212481E-17</v>
      </c>
      <c r="FT150" s="24">
        <f t="shared" si="132"/>
        <v>0.32547619793076138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1.9895196601282805E-13</v>
      </c>
      <c r="O151" s="14">
        <f>N151*VLOOKUP('Données projet'!$B$9,Paramètres!$A$1:$I$89,3,0)*VLOOKUP('Données projet'!$B$9,Paramètres!$A$1:$I$89,5,0)</f>
        <v>1.738044375088066E-13</v>
      </c>
      <c r="P151" s="14">
        <f t="shared" si="141"/>
        <v>2.4483293633950478E-12</v>
      </c>
      <c r="Q151" s="22">
        <f t="shared" si="108"/>
        <v>4.566883036574213E-12</v>
      </c>
      <c r="R151" s="62">
        <f t="shared" si="109"/>
        <v>293.33333333333786</v>
      </c>
      <c r="S151" s="62">
        <f ca="1">AVERAGE(OFFSET($R$3,0,0,'Données projet'!$E$9+1,1))-AVERAGE(OFFSET($H$3,0,0,'Données projet'!$E$9+1,1))</f>
        <v>321.23599968992932</v>
      </c>
      <c r="T151" s="62">
        <f t="shared" si="142"/>
        <v>388.05195847800502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0.97065596906793272</v>
      </c>
      <c r="AB151" s="23">
        <f>EXP(-LN(2)/2)*AB150+(1-EXP(-LN(2)/2))/(LN(2)/2)*V151*Y151*VLOOKUP('Données projet'!$B$9,Paramètres!$A$1:$I$89,3,0)*0.475*44/12</f>
        <v>3.1687340395100234E-17</v>
      </c>
      <c r="AC151" s="24">
        <f t="shared" si="111"/>
        <v>0.97065596906793272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-5.6843418860808015E-14</v>
      </c>
      <c r="AJ151" s="14">
        <f>AI151*VLOOKUP('Données projet'!$B$10,Paramètres!$A$1:$I$89,3,0)*VLOOKUP('Données projet'!$B$10,Paramètres!$A$1:$I$89,5,0)</f>
        <v>-5.1431925385259088E-14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439.19854273764042</v>
      </c>
      <c r="AO151" s="62">
        <f t="shared" si="144"/>
        <v>278.21741231699929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0.34644169778439854</v>
      </c>
      <c r="AW151" s="23">
        <f>EXP(-LN(2)/2)*AW150+(1-EXP(-LN(2)/2))/(LN(2)/2)*AQ151*AT151*VLOOKUP('Données projet'!$B$10,Paramètres!$A$1:$I$89,3,0)*0.475*44/12</f>
        <v>2.5864336097437923E-17</v>
      </c>
      <c r="AX151" s="23">
        <f t="shared" si="114"/>
        <v>0.34644169778439854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-2.8421709430404007E-13</v>
      </c>
      <c r="BE151" s="14">
        <f>BD151*VLOOKUP('Données projet'!$B$11,Paramètres!$A$1:$I$89,3,0)*VLOOKUP('Données projet'!$B$11,Paramètres!$A$1:$I$89,5,0)</f>
        <v>-2.2612312022829427E-13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352.88510024787888</v>
      </c>
      <c r="BJ151" s="62">
        <f t="shared" si="146"/>
        <v>343.77208530767069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0.46635280792375894</v>
      </c>
      <c r="BR151" s="23">
        <f>EXP(-LN(2)/2)*BR150+(1-EXP(-LN(2)/2))/(LN(2)/2)*BL151*BO151*VLOOKUP('Données projet'!$B$11,Paramètres!$A$1:$I$89,3,0)*0.475*44/12</f>
        <v>6.8481438038071134E-19</v>
      </c>
      <c r="BS151" s="24">
        <f t="shared" si="117"/>
        <v>0.46635280792375894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-2.8421709430404007E-13</v>
      </c>
      <c r="BZ151" s="14">
        <f>BY151*VLOOKUP('Données projet'!$B$12,Paramètres!$A$1:$I$89,3,0)*VLOOKUP('Données projet'!$B$12,Paramètres!$A$1:$I$89,5,0)</f>
        <v>-2.0838797354372215E-13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328.10411227536315</v>
      </c>
      <c r="CE151" s="62">
        <f t="shared" si="148"/>
        <v>320.24200483294322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0.87724919359851461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0.87724919359851461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5.6843418860808015E-14</v>
      </c>
      <c r="CU151" s="18">
        <f>CT151*VLOOKUP('Données projet'!$B$13,Paramètres!$A$1:$I$89,3,0)*VLOOKUP('Données projet'!$B$13,Paramètres!$A$1:$I$89,5,0)</f>
        <v>4.4337866711430253E-14</v>
      </c>
      <c r="CV151" s="14">
        <f t="shared" si="149"/>
        <v>7.3222115536967035E-13</v>
      </c>
      <c r="CW151" s="22">
        <f t="shared" si="121"/>
        <v>1.3525069634579169E-12</v>
      </c>
      <c r="CX151" s="62">
        <f t="shared" si="122"/>
        <v>293.33333333333468</v>
      </c>
      <c r="CY151" s="62">
        <f ca="1">AVERAGE(OFFSET($CX$3,0,0,'Données projet'!$E$13+1,1))-AVERAGE(OFFSET($H$3,0,0,'Données projet'!$E$13+1,1))</f>
        <v>288.82868507674738</v>
      </c>
      <c r="CZ151" s="62">
        <f t="shared" si="150"/>
        <v>283.48738729114024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0.98639987633040116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0.98639987633040116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>
        <f>DO151*VLOOKUP('Données projet'!$B$14,Paramètres!$A$1:$I$89,3,0)*VLOOKUP('Données projet'!$B$14,Paramètres!$A$1:$I$89,5,0)</f>
        <v>0</v>
      </c>
      <c r="DQ151" s="14" t="e">
        <f t="shared" si="151"/>
        <v>#NUM!</v>
      </c>
      <c r="DR151" s="22" t="e">
        <f t="shared" si="124"/>
        <v>#NUM!</v>
      </c>
      <c r="DS151" s="62" t="e">
        <f t="shared" si="125"/>
        <v>#NUM!</v>
      </c>
      <c r="DT151" s="62">
        <f ca="1">AVERAGE(OFFSET($DS$3,0,0,'Données projet'!$E$14+1,1))-AVERAGE(OFFSET($H$3,0,0,'Données projet'!$E$14+1,1))</f>
        <v>487.04124684635974</v>
      </c>
      <c r="DU151" s="62">
        <f t="shared" si="152"/>
        <v>306.61893266146666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1.1831424414275662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1.1831424414275662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>
        <f>EJ151*VLOOKUP('Données projet'!$B$15,Paramètres!$A$1:$I$89,3,0)*VLOOKUP('Données projet'!$B$15,Paramètres!$A$1:$I$89,5,0)</f>
        <v>0</v>
      </c>
      <c r="EL151" s="14" t="e">
        <f t="shared" si="153"/>
        <v>#NUM!</v>
      </c>
      <c r="EM151" s="22" t="e">
        <f t="shared" si="127"/>
        <v>#NUM!</v>
      </c>
      <c r="EN151" s="62" t="e">
        <f t="shared" si="128"/>
        <v>#NUM!</v>
      </c>
      <c r="EO151" s="62">
        <f ca="1">AVERAGE(OFFSET($EN$3,0,0,'Données projet'!$E$15+1,1))-AVERAGE(OFFSET($H$3,0,0,'Données projet'!$E$15+1,1))</f>
        <v>459.64120566196812</v>
      </c>
      <c r="EP151" s="62">
        <f t="shared" si="154"/>
        <v>290.39826583283588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1.1103336758012547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1.1103336758012547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>
        <f>FE151*VLOOKUP('Données projet'!$B$16,Paramètres!$A$1:$I$89,3,0)*VLOOKUP('Données projet'!$B$16,Paramètres!$A$1:$I$89,5,0)</f>
        <v>0</v>
      </c>
      <c r="FG151" s="14" t="e">
        <f t="shared" si="155"/>
        <v>#NUM!</v>
      </c>
      <c r="FH151" s="22" t="e">
        <f t="shared" si="130"/>
        <v>#NUM!</v>
      </c>
      <c r="FI151" s="62" t="e">
        <f t="shared" si="131"/>
        <v>#NUM!</v>
      </c>
      <c r="FJ151" s="62">
        <f ca="1">AVERAGE(OFFSET($FI$3,0,0,'Données projet'!$E$16+1,1))-AVERAGE(OFFSET($H$3,0,0,'Données projet'!$E$16+1,1))</f>
        <v>335.83558218229564</v>
      </c>
      <c r="FK151" s="62">
        <f t="shared" si="156"/>
        <v>217.08423061559648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0</v>
      </c>
      <c r="FR151" s="23">
        <f>EXP(-LN(2)/25)*FR150+(1-EXP(-LN(2)/25))/(LN(2)/25)*Calculateur!FM151*Calculateur!FO151*VLOOKUP('Données projet'!$B$16,Paramètres!$A$1:$I$89,3,0)*0.475*44/12</f>
        <v>0.31657603418229535</v>
      </c>
      <c r="FS151" s="23">
        <f>EXP(-LN(2)/2)*FS150+(1-EXP(-LN(2)/2))/(LN(2)/2)*FM151*FP151*VLOOKUP('Données projet'!$B$16,Paramètres!$A$1:$I$89,3,0)*0.475*44/12</f>
        <v>1.9175283658445506E-17</v>
      </c>
      <c r="FT151" s="24">
        <f t="shared" si="132"/>
        <v>0.31657603418229535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1.9895196601282805E-13</v>
      </c>
      <c r="O152" s="14">
        <f>N152*VLOOKUP('Données projet'!$B$9,Paramètres!$A$1:$I$89,3,0)*VLOOKUP('Données projet'!$B$9,Paramètres!$A$1:$I$89,5,0)</f>
        <v>1.738044375088066E-13</v>
      </c>
      <c r="P152" s="14">
        <f t="shared" si="141"/>
        <v>2.4483293633950478E-12</v>
      </c>
      <c r="Q152" s="22">
        <f t="shared" si="108"/>
        <v>4.566883036574213E-12</v>
      </c>
      <c r="R152" s="62">
        <f t="shared" si="109"/>
        <v>293.33333333333786</v>
      </c>
      <c r="S152" s="62">
        <f ca="1">AVERAGE(OFFSET($R$3,0,0,'Données projet'!$E$9+1,1))-AVERAGE(OFFSET($H$3,0,0,'Données projet'!$E$9+1,1))</f>
        <v>321.23599968992932</v>
      </c>
      <c r="T152" s="62">
        <f t="shared" si="142"/>
        <v>388.05195847800502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0.94411333054919111</v>
      </c>
      <c r="AB152" s="23">
        <f>EXP(-LN(2)/2)*AB151+(1-EXP(-LN(2)/2))/(LN(2)/2)*V152*Y152*VLOOKUP('Données projet'!$B$9,Paramètres!$A$1:$I$89,3,0)*0.475*44/12</f>
        <v>2.240633327114179E-17</v>
      </c>
      <c r="AC152" s="24">
        <f t="shared" si="111"/>
        <v>0.94411333054919111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-5.6843418860808015E-14</v>
      </c>
      <c r="AJ152" s="14">
        <f>AI152*VLOOKUP('Données projet'!$B$10,Paramètres!$A$1:$I$89,3,0)*VLOOKUP('Données projet'!$B$10,Paramètres!$A$1:$I$89,5,0)</f>
        <v>-5.1431925385259088E-14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439.19854273764042</v>
      </c>
      <c r="AO152" s="62">
        <f t="shared" si="144"/>
        <v>278.21741231699929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0.33696823133990705</v>
      </c>
      <c r="AW152" s="23">
        <f>EXP(-LN(2)/2)*AW151+(1-EXP(-LN(2)/2))/(LN(2)/2)*AQ152*AT152*VLOOKUP('Données projet'!$B$10,Paramètres!$A$1:$I$89,3,0)*0.475*44/12</f>
        <v>1.828884744538636E-17</v>
      </c>
      <c r="AX152" s="23">
        <f t="shared" si="114"/>
        <v>0.33696823133990705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-2.8421709430404007E-13</v>
      </c>
      <c r="BE152" s="14">
        <f>BD152*VLOOKUP('Données projet'!$B$11,Paramètres!$A$1:$I$89,3,0)*VLOOKUP('Données projet'!$B$11,Paramètres!$A$1:$I$89,5,0)</f>
        <v>-2.2612312022829427E-13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352.88510024787888</v>
      </c>
      <c r="BJ152" s="62">
        <f t="shared" si="146"/>
        <v>343.77208530767069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0.45360036586665542</v>
      </c>
      <c r="BR152" s="23">
        <f>EXP(-LN(2)/2)*BR151+(1-EXP(-LN(2)/2))/(LN(2)/2)*BL152*BO152*VLOOKUP('Données projet'!$B$11,Paramètres!$A$1:$I$89,3,0)*0.475*44/12</f>
        <v>4.8423689222126477E-19</v>
      </c>
      <c r="BS152" s="24">
        <f t="shared" si="117"/>
        <v>0.45360036586665542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-2.8421709430404007E-13</v>
      </c>
      <c r="BZ152" s="14">
        <f>BY152*VLOOKUP('Données projet'!$B$12,Paramètres!$A$1:$I$89,3,0)*VLOOKUP('Données projet'!$B$12,Paramètres!$A$1:$I$89,5,0)</f>
        <v>-2.0838797354372215E-13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328.10411227536315</v>
      </c>
      <c r="CE152" s="62">
        <f t="shared" si="148"/>
        <v>320.24200483294322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0.86004687198122209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0.86004687198122209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5.6843418860808015E-14</v>
      </c>
      <c r="CU152" s="18">
        <f>CT152*VLOOKUP('Données projet'!$B$13,Paramètres!$A$1:$I$89,3,0)*VLOOKUP('Données projet'!$B$13,Paramètres!$A$1:$I$89,5,0)</f>
        <v>4.4337866711430253E-14</v>
      </c>
      <c r="CV152" s="14">
        <f t="shared" si="149"/>
        <v>7.3222115536967035E-13</v>
      </c>
      <c r="CW152" s="22">
        <f t="shared" si="121"/>
        <v>1.3525069634579169E-12</v>
      </c>
      <c r="CX152" s="62">
        <f t="shared" si="122"/>
        <v>293.33333333333468</v>
      </c>
      <c r="CY152" s="62">
        <f ca="1">AVERAGE(OFFSET($CX$3,0,0,'Données projet'!$E$13+1,1))-AVERAGE(OFFSET($H$3,0,0,'Données projet'!$E$13+1,1))</f>
        <v>288.82868507674738</v>
      </c>
      <c r="CZ152" s="62">
        <f t="shared" si="150"/>
        <v>283.48738729114024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0.96705717640007904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0.96705717640007904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>
        <f>DO152*VLOOKUP('Données projet'!$B$14,Paramètres!$A$1:$I$89,3,0)*VLOOKUP('Données projet'!$B$14,Paramètres!$A$1:$I$89,5,0)</f>
        <v>0</v>
      </c>
      <c r="DQ152" s="14" t="e">
        <f t="shared" si="151"/>
        <v>#NUM!</v>
      </c>
      <c r="DR152" s="22" t="e">
        <f t="shared" si="124"/>
        <v>#NUM!</v>
      </c>
      <c r="DS152" s="62" t="e">
        <f t="shared" si="125"/>
        <v>#NUM!</v>
      </c>
      <c r="DT152" s="62">
        <f ca="1">AVERAGE(OFFSET($DS$3,0,0,'Données projet'!$E$14+1,1))-AVERAGE(OFFSET($H$3,0,0,'Données projet'!$E$14+1,1))</f>
        <v>487.04124684635974</v>
      </c>
      <c r="DU152" s="62">
        <f t="shared" si="152"/>
        <v>306.61893266146666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1.1599417397968044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1.1599417397968044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>
        <f>EJ152*VLOOKUP('Données projet'!$B$15,Paramètres!$A$1:$I$89,3,0)*VLOOKUP('Données projet'!$B$15,Paramètres!$A$1:$I$89,5,0)</f>
        <v>0</v>
      </c>
      <c r="EL152" s="14" t="e">
        <f t="shared" si="153"/>
        <v>#NUM!</v>
      </c>
      <c r="EM152" s="22" t="e">
        <f t="shared" si="127"/>
        <v>#NUM!</v>
      </c>
      <c r="EN152" s="62" t="e">
        <f t="shared" si="128"/>
        <v>#NUM!</v>
      </c>
      <c r="EO152" s="62">
        <f ca="1">AVERAGE(OFFSET($EN$3,0,0,'Données projet'!$E$15+1,1))-AVERAGE(OFFSET($H$3,0,0,'Données projet'!$E$15+1,1))</f>
        <v>459.64120566196812</v>
      </c>
      <c r="EP152" s="62">
        <f t="shared" si="154"/>
        <v>290.39826583283588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1.0885607096554628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1.0885607096554628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>
        <f>FE152*VLOOKUP('Données projet'!$B$16,Paramètres!$A$1:$I$89,3,0)*VLOOKUP('Données projet'!$B$16,Paramètres!$A$1:$I$89,5,0)</f>
        <v>0</v>
      </c>
      <c r="FG152" s="14" t="e">
        <f t="shared" si="155"/>
        <v>#NUM!</v>
      </c>
      <c r="FH152" s="22" t="e">
        <f t="shared" si="130"/>
        <v>#NUM!</v>
      </c>
      <c r="FI152" s="62" t="e">
        <f t="shared" si="131"/>
        <v>#NUM!</v>
      </c>
      <c r="FJ152" s="62">
        <f ca="1">AVERAGE(OFFSET($FI$3,0,0,'Données projet'!$E$16+1,1))-AVERAGE(OFFSET($H$3,0,0,'Données projet'!$E$16+1,1))</f>
        <v>335.83558218229564</v>
      </c>
      <c r="FK152" s="62">
        <f t="shared" si="156"/>
        <v>217.08423061559648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0</v>
      </c>
      <c r="FR152" s="23">
        <f>EXP(-LN(2)/25)*FR151+(1-EXP(-LN(2)/25))/(LN(2)/25)*Calculateur!FM152*Calculateur!FO152*VLOOKUP('Données projet'!$B$16,Paramètres!$A$1:$I$89,3,0)*0.475*44/12</f>
        <v>0.30791924587957037</v>
      </c>
      <c r="FS152" s="23">
        <f>EXP(-LN(2)/2)*FS151+(1-EXP(-LN(2)/2))/(LN(2)/2)*FM152*FP152*VLOOKUP('Données projet'!$B$16,Paramètres!$A$1:$I$89,3,0)*0.475*44/12</f>
        <v>1.3558973106062408E-17</v>
      </c>
      <c r="FT152" s="24">
        <f t="shared" si="132"/>
        <v>0.30791924587957037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1.9895196601282805E-13</v>
      </c>
      <c r="O153" s="14">
        <f>N153*VLOOKUP('Données projet'!$B$9,Paramètres!$A$1:$I$89,3,0)*VLOOKUP('Données projet'!$B$9,Paramètres!$A$1:$I$89,5,0)</f>
        <v>1.738044375088066E-13</v>
      </c>
      <c r="P153" s="14">
        <f t="shared" si="141"/>
        <v>2.4483293633950478E-12</v>
      </c>
      <c r="Q153" s="22">
        <f t="shared" si="108"/>
        <v>4.566883036574213E-12</v>
      </c>
      <c r="R153" s="62">
        <f t="shared" si="109"/>
        <v>293.33333333333786</v>
      </c>
      <c r="S153" s="62">
        <f ca="1">AVERAGE(OFFSET($R$3,0,0,'Données projet'!$E$9+1,1))-AVERAGE(OFFSET($H$3,0,0,'Données projet'!$E$9+1,1))</f>
        <v>321.23599968992932</v>
      </c>
      <c r="T153" s="62">
        <f t="shared" si="142"/>
        <v>388.05195847800502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0.9182965018765612</v>
      </c>
      <c r="AB153" s="23">
        <f>EXP(-LN(2)/2)*AB152+(1-EXP(-LN(2)/2))/(LN(2)/2)*V153*Y153*VLOOKUP('Données projet'!$B$9,Paramètres!$A$1:$I$89,3,0)*0.475*44/12</f>
        <v>1.5843670197550117E-17</v>
      </c>
      <c r="AC153" s="24">
        <f t="shared" si="111"/>
        <v>0.9182965018765612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-5.6843418860808015E-14</v>
      </c>
      <c r="AJ153" s="14">
        <f>AI153*VLOOKUP('Données projet'!$B$10,Paramètres!$A$1:$I$89,3,0)*VLOOKUP('Données projet'!$B$10,Paramètres!$A$1:$I$89,5,0)</f>
        <v>-5.1431925385259088E-14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439.19854273764042</v>
      </c>
      <c r="AO153" s="62">
        <f t="shared" si="144"/>
        <v>278.21741231699929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0.32775381733352815</v>
      </c>
      <c r="AW153" s="23">
        <f>EXP(-LN(2)/2)*AW152+(1-EXP(-LN(2)/2))/(LN(2)/2)*AQ153*AT153*VLOOKUP('Données projet'!$B$10,Paramètres!$A$1:$I$89,3,0)*0.475*44/12</f>
        <v>1.2932168048718962E-17</v>
      </c>
      <c r="AX153" s="23">
        <f t="shared" si="114"/>
        <v>0.32775381733352815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-2.8421709430404007E-13</v>
      </c>
      <c r="BE153" s="14">
        <f>BD153*VLOOKUP('Données projet'!$B$11,Paramètres!$A$1:$I$89,3,0)*VLOOKUP('Données projet'!$B$11,Paramètres!$A$1:$I$89,5,0)</f>
        <v>-2.2612312022829427E-13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352.88510024787888</v>
      </c>
      <c r="BJ153" s="62">
        <f t="shared" si="146"/>
        <v>343.77208530767069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0.44119664000822523</v>
      </c>
      <c r="BR153" s="23">
        <f>EXP(-LN(2)/2)*BR152+(1-EXP(-LN(2)/2))/(LN(2)/2)*BL153*BO153*VLOOKUP('Données projet'!$B$11,Paramètres!$A$1:$I$89,3,0)*0.475*44/12</f>
        <v>3.4240719019035567E-19</v>
      </c>
      <c r="BS153" s="24">
        <f t="shared" si="117"/>
        <v>0.44119664000822523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-2.8421709430404007E-13</v>
      </c>
      <c r="BZ153" s="14">
        <f>BY153*VLOOKUP('Données projet'!$B$12,Paramètres!$A$1:$I$89,3,0)*VLOOKUP('Données projet'!$B$12,Paramètres!$A$1:$I$89,5,0)</f>
        <v>-2.0838797354372215E-13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328.10411227536315</v>
      </c>
      <c r="CE153" s="62">
        <f t="shared" si="148"/>
        <v>320.24200483294322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0.84318187739846462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0.84318187739846462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5.6843418860808015E-14</v>
      </c>
      <c r="CU153" s="18">
        <f>CT153*VLOOKUP('Données projet'!$B$13,Paramètres!$A$1:$I$89,3,0)*VLOOKUP('Données projet'!$B$13,Paramètres!$A$1:$I$89,5,0)</f>
        <v>4.4337866711430253E-14</v>
      </c>
      <c r="CV153" s="14">
        <f t="shared" si="149"/>
        <v>7.3222115536967035E-13</v>
      </c>
      <c r="CW153" s="22">
        <f t="shared" si="121"/>
        <v>1.3525069634579169E-12</v>
      </c>
      <c r="CX153" s="62">
        <f t="shared" si="122"/>
        <v>293.33333333333468</v>
      </c>
      <c r="CY153" s="62">
        <f ca="1">AVERAGE(OFFSET($CX$3,0,0,'Données projet'!$E$13+1,1))-AVERAGE(OFFSET($H$3,0,0,'Données projet'!$E$13+1,1))</f>
        <v>288.82868507674738</v>
      </c>
      <c r="CZ153" s="62">
        <f t="shared" si="150"/>
        <v>283.48738729114024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0.94809377501750858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0.94809377501750858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>
        <f>DO153*VLOOKUP('Données projet'!$B$14,Paramètres!$A$1:$I$89,3,0)*VLOOKUP('Données projet'!$B$14,Paramètres!$A$1:$I$89,5,0)</f>
        <v>0</v>
      </c>
      <c r="DQ153" s="14" t="e">
        <f t="shared" si="151"/>
        <v>#NUM!</v>
      </c>
      <c r="DR153" s="22" t="e">
        <f t="shared" si="124"/>
        <v>#NUM!</v>
      </c>
      <c r="DS153" s="62" t="e">
        <f t="shared" si="125"/>
        <v>#NUM!</v>
      </c>
      <c r="DT153" s="62">
        <f ca="1">AVERAGE(OFFSET($DS$3,0,0,'Données projet'!$E$14+1,1))-AVERAGE(OFFSET($H$3,0,0,'Données projet'!$E$14+1,1))</f>
        <v>487.04124684635974</v>
      </c>
      <c r="DU153" s="62">
        <f t="shared" si="152"/>
        <v>306.61893266146666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1.1371959897739909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1.1371959897739909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>
        <f>EJ153*VLOOKUP('Données projet'!$B$15,Paramètres!$A$1:$I$89,3,0)*VLOOKUP('Données projet'!$B$15,Paramètres!$A$1:$I$89,5,0)</f>
        <v>0</v>
      </c>
      <c r="EL153" s="14" t="e">
        <f t="shared" si="153"/>
        <v>#NUM!</v>
      </c>
      <c r="EM153" s="22" t="e">
        <f t="shared" si="127"/>
        <v>#NUM!</v>
      </c>
      <c r="EN153" s="62" t="e">
        <f t="shared" si="128"/>
        <v>#NUM!</v>
      </c>
      <c r="EO153" s="62">
        <f ca="1">AVERAGE(OFFSET($EN$3,0,0,'Données projet'!$E$15+1,1))-AVERAGE(OFFSET($H$3,0,0,'Données projet'!$E$15+1,1))</f>
        <v>459.64120566196812</v>
      </c>
      <c r="EP153" s="62">
        <f t="shared" si="154"/>
        <v>290.39826583283588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1.0672146980955919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1.0672146980955919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>
        <f>FE153*VLOOKUP('Données projet'!$B$16,Paramètres!$A$1:$I$89,3,0)*VLOOKUP('Données projet'!$B$16,Paramètres!$A$1:$I$89,5,0)</f>
        <v>0</v>
      </c>
      <c r="FG153" s="14" t="e">
        <f t="shared" si="155"/>
        <v>#NUM!</v>
      </c>
      <c r="FH153" s="22" t="e">
        <f t="shared" si="130"/>
        <v>#NUM!</v>
      </c>
      <c r="FI153" s="62" t="e">
        <f t="shared" si="131"/>
        <v>#NUM!</v>
      </c>
      <c r="FJ153" s="62">
        <f ca="1">AVERAGE(OFFSET($FI$3,0,0,'Données projet'!$E$16+1,1))-AVERAGE(OFFSET($H$3,0,0,'Données projet'!$E$16+1,1))</f>
        <v>335.83558218229564</v>
      </c>
      <c r="FK153" s="62">
        <f t="shared" si="156"/>
        <v>217.08423061559648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0</v>
      </c>
      <c r="FR153" s="23">
        <f>EXP(-LN(2)/25)*FR152+(1-EXP(-LN(2)/25))/(LN(2)/25)*Calculateur!FM153*Calculateur!FO153*VLOOKUP('Données projet'!$B$16,Paramètres!$A$1:$I$89,3,0)*0.475*44/12</f>
        <v>0.29949917790822411</v>
      </c>
      <c r="FS153" s="23">
        <f>EXP(-LN(2)/2)*FS152+(1-EXP(-LN(2)/2))/(LN(2)/2)*FM153*FP153*VLOOKUP('Données projet'!$B$16,Paramètres!$A$1:$I$89,3,0)*0.475*44/12</f>
        <v>9.5876418292227544E-18</v>
      </c>
      <c r="FT153" s="24">
        <f t="shared" si="132"/>
        <v>0.29949917790822411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1.9895196601282805E-13</v>
      </c>
      <c r="O154" s="14">
        <f>N154*VLOOKUP('Données projet'!$B$9,Paramètres!$A$1:$I$89,3,0)*VLOOKUP('Données projet'!$B$9,Paramètres!$A$1:$I$89,5,0)</f>
        <v>1.738044375088066E-13</v>
      </c>
      <c r="P154" s="14">
        <f t="shared" si="141"/>
        <v>2.4483293633950478E-12</v>
      </c>
      <c r="Q154" s="22">
        <f t="shared" ref="Q154:Q203" si="162">(O154+P154)*0.475*44/12</f>
        <v>4.566883036574213E-12</v>
      </c>
      <c r="R154" s="62">
        <f t="shared" si="109"/>
        <v>293.33333333333786</v>
      </c>
      <c r="S154" s="62">
        <f ca="1">AVERAGE(OFFSET($R$3,0,0,'Données projet'!$E$9+1,1))-AVERAGE(OFFSET($H$3,0,0,'Données projet'!$E$9+1,1))</f>
        <v>321.23599968992932</v>
      </c>
      <c r="T154" s="62">
        <f t="shared" si="142"/>
        <v>388.05195847800502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0.89318563574163234</v>
      </c>
      <c r="AB154" s="23">
        <f>EXP(-LN(2)/2)*AB153+(1-EXP(-LN(2)/2))/(LN(2)/2)*V154*Y154*VLOOKUP('Données projet'!$B$9,Paramètres!$A$1:$I$89,3,0)*0.475*44/12</f>
        <v>1.1203166635570895E-17</v>
      </c>
      <c r="AC154" s="24">
        <f t="shared" ref="AC154:AC203" si="163">SUM(Z154:AB154)</f>
        <v>0.89318563574163234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-5.6843418860808015E-14</v>
      </c>
      <c r="AJ154" s="14">
        <f>AI154*VLOOKUP('Données projet'!$B$10,Paramètres!$A$1:$I$89,3,0)*VLOOKUP('Données projet'!$B$10,Paramètres!$A$1:$I$89,5,0)</f>
        <v>-5.1431925385259088E-14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439.19854273764042</v>
      </c>
      <c r="AO154" s="62">
        <f t="shared" si="144"/>
        <v>278.21741231699929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0.31879137196271867</v>
      </c>
      <c r="AW154" s="23">
        <f>EXP(-LN(2)/2)*AW153+(1-EXP(-LN(2)/2))/(LN(2)/2)*AQ154*AT154*VLOOKUP('Données projet'!$B$10,Paramètres!$A$1:$I$89,3,0)*0.475*44/12</f>
        <v>9.1444237226931799E-18</v>
      </c>
      <c r="AX154" s="23">
        <f t="shared" ref="AX154:AX203" si="166">SUM(AU154:AW154)</f>
        <v>0.31879137196271867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-2.8421709430404007E-13</v>
      </c>
      <c r="BE154" s="14">
        <f>BD154*VLOOKUP('Données projet'!$B$11,Paramètres!$A$1:$I$89,3,0)*VLOOKUP('Données projet'!$B$11,Paramètres!$A$1:$I$89,5,0)</f>
        <v>-2.2612312022829427E-13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352.88510024787888</v>
      </c>
      <c r="BJ154" s="62">
        <f t="shared" si="146"/>
        <v>343.77208530767069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0.42913209468567737</v>
      </c>
      <c r="BR154" s="23">
        <f>EXP(-LN(2)/2)*BR153+(1-EXP(-LN(2)/2))/(LN(2)/2)*BL154*BO154*VLOOKUP('Données projet'!$B$11,Paramètres!$A$1:$I$89,3,0)*0.475*44/12</f>
        <v>2.4211844611063239E-19</v>
      </c>
      <c r="BS154" s="24">
        <f t="shared" ref="BS154:BS203" si="169">SUM(BP154:BR154)</f>
        <v>0.42913209468567737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-2.8421709430404007E-13</v>
      </c>
      <c r="BZ154" s="14">
        <f>BY154*VLOOKUP('Données projet'!$B$12,Paramètres!$A$1:$I$89,3,0)*VLOOKUP('Données projet'!$B$12,Paramètres!$A$1:$I$89,5,0)</f>
        <v>-2.0838797354372215E-13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328.10411227536315</v>
      </c>
      <c r="CE154" s="62">
        <f t="shared" si="148"/>
        <v>320.24200483294322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0.82664759507284402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0.82664759507284402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5.6843418860808015E-14</v>
      </c>
      <c r="CU154" s="18">
        <f>CT154*VLOOKUP('Données projet'!$B$13,Paramètres!$A$1:$I$89,3,0)*VLOOKUP('Données projet'!$B$13,Paramètres!$A$1:$I$89,5,0)</f>
        <v>4.4337866711430253E-14</v>
      </c>
      <c r="CV154" s="14">
        <f t="shared" ref="CV154:CV203" si="173">EXP(-1.0587+0.8836*LN(CU154)+0.284)</f>
        <v>7.3222115536967035E-13</v>
      </c>
      <c r="CW154" s="22">
        <f t="shared" ref="CW154:CW203" si="174">(CU154+CV154)*0.475*44/12</f>
        <v>1.3525069634579169E-12</v>
      </c>
      <c r="CX154" s="62">
        <f t="shared" si="122"/>
        <v>293.33333333333468</v>
      </c>
      <c r="CY154" s="62">
        <f ca="1">AVERAGE(OFFSET($CX$3,0,0,'Données projet'!$E$13+1,1))-AVERAGE(OFFSET($H$3,0,0,'Données projet'!$E$13+1,1))</f>
        <v>288.82868507674738</v>
      </c>
      <c r="CZ154" s="62">
        <f t="shared" si="150"/>
        <v>283.48738729114024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0.92950223436951762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0.92950223436951762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>
        <f>DO154*VLOOKUP('Données projet'!$B$14,Paramètres!$A$1:$I$89,3,0)*VLOOKUP('Données projet'!$B$14,Paramètres!$A$1:$I$89,5,0)</f>
        <v>0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2" t="e">
        <f t="shared" si="125"/>
        <v>#NUM!</v>
      </c>
      <c r="DT154" s="62">
        <f ca="1">AVERAGE(OFFSET($DS$3,0,0,'Données projet'!$E$14+1,1))-AVERAGE(OFFSET($H$3,0,0,'Données projet'!$E$14+1,1))</f>
        <v>487.04124684635974</v>
      </c>
      <c r="DU154" s="62">
        <f t="shared" si="152"/>
        <v>306.61893266146666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1.1148962700355873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1.1148962700355873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>
        <f>EJ154*VLOOKUP('Données projet'!$B$15,Paramètres!$A$1:$I$89,3,0)*VLOOKUP('Données projet'!$B$15,Paramètres!$A$1:$I$89,5,0)</f>
        <v>0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2" t="e">
        <f t="shared" si="128"/>
        <v>#NUM!</v>
      </c>
      <c r="EO154" s="62">
        <f ca="1">AVERAGE(OFFSET($EN$3,0,0,'Données projet'!$E$15+1,1))-AVERAGE(OFFSET($H$3,0,0,'Données projet'!$E$15+1,1))</f>
        <v>459.64120566196812</v>
      </c>
      <c r="EP154" s="62">
        <f t="shared" si="154"/>
        <v>290.39826583283588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1.0462872688026286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1.0462872688026286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>
        <f>FE154*VLOOKUP('Données projet'!$B$16,Paramètres!$A$1:$I$89,3,0)*VLOOKUP('Données projet'!$B$16,Paramètres!$A$1:$I$89,5,0)</f>
        <v>0</v>
      </c>
      <c r="FG154" s="14" t="e">
        <f t="shared" ref="FG154:FG203" si="182">EXP(-1.0587+0.8836*LN(FF154)+0.284)</f>
        <v>#NUM!</v>
      </c>
      <c r="FH154" s="22" t="e">
        <f t="shared" ref="FH154:FH203" si="183">(FF154+FG154)*0.475*44/12</f>
        <v>#NUM!</v>
      </c>
      <c r="FI154" s="62" t="e">
        <f t="shared" si="131"/>
        <v>#NUM!</v>
      </c>
      <c r="FJ154" s="62">
        <f ca="1">AVERAGE(OFFSET($FI$3,0,0,'Données projet'!$E$16+1,1))-AVERAGE(OFFSET($H$3,0,0,'Données projet'!$E$16+1,1))</f>
        <v>335.83558218229564</v>
      </c>
      <c r="FK154" s="62">
        <f t="shared" si="156"/>
        <v>217.08423061559648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0</v>
      </c>
      <c r="FR154" s="23">
        <f>EXP(-LN(2)/25)*FR153+(1-EXP(-LN(2)/25))/(LN(2)/25)*Calculateur!FM154*Calculateur!FO154*VLOOKUP('Données projet'!$B$16,Paramètres!$A$1:$I$89,3,0)*0.475*44/12</f>
        <v>0.29130935713834649</v>
      </c>
      <c r="FS154" s="23">
        <f>EXP(-LN(2)/2)*FS153+(1-EXP(-LN(2)/2))/(LN(2)/2)*FM154*FP154*VLOOKUP('Données projet'!$B$16,Paramètres!$A$1:$I$89,3,0)*0.475*44/12</f>
        <v>6.7794865530312048E-18</v>
      </c>
      <c r="FT154" s="24">
        <f t="shared" ref="FT154:FT203" si="184">SUM(FQ154:FS154)</f>
        <v>0.29130935713834649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1.9895196601282805E-13</v>
      </c>
      <c r="O155" s="14">
        <f>N155*VLOOKUP('Données projet'!$B$9,Paramètres!$A$1:$I$89,3,0)*VLOOKUP('Données projet'!$B$9,Paramètres!$A$1:$I$89,5,0)</f>
        <v>1.738044375088066E-13</v>
      </c>
      <c r="P155" s="14">
        <f t="shared" si="141"/>
        <v>2.4483293633950478E-12</v>
      </c>
      <c r="Q155" s="22">
        <f t="shared" si="162"/>
        <v>4.566883036574213E-12</v>
      </c>
      <c r="R155" s="62">
        <f t="shared" si="109"/>
        <v>293.33333333333786</v>
      </c>
      <c r="S155" s="62">
        <f ca="1">AVERAGE(OFFSET($R$3,0,0,'Données projet'!$E$9+1,1))-AVERAGE(OFFSET($H$3,0,0,'Données projet'!$E$9+1,1))</f>
        <v>321.23599968992932</v>
      </c>
      <c r="T155" s="62">
        <f t="shared" si="142"/>
        <v>388.05195847800502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0.86876142756168617</v>
      </c>
      <c r="AB155" s="23">
        <f>EXP(-LN(2)/2)*AB154+(1-EXP(-LN(2)/2))/(LN(2)/2)*V155*Y155*VLOOKUP('Données projet'!$B$9,Paramètres!$A$1:$I$89,3,0)*0.475*44/12</f>
        <v>7.9218350987750585E-18</v>
      </c>
      <c r="AC155" s="24">
        <f t="shared" si="163"/>
        <v>0.86876142756168617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-5.6843418860808015E-14</v>
      </c>
      <c r="AJ155" s="14">
        <f>AI155*VLOOKUP('Données projet'!$B$10,Paramètres!$A$1:$I$89,3,0)*VLOOKUP('Données projet'!$B$10,Paramètres!$A$1:$I$89,5,0)</f>
        <v>-5.1431925385259088E-14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439.19854273764042</v>
      </c>
      <c r="AO155" s="62">
        <f t="shared" si="144"/>
        <v>278.21741231699929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0.31007400513188849</v>
      </c>
      <c r="AW155" s="23">
        <f>EXP(-LN(2)/2)*AW154+(1-EXP(-LN(2)/2))/(LN(2)/2)*AQ155*AT155*VLOOKUP('Données projet'!$B$10,Paramètres!$A$1:$I$89,3,0)*0.475*44/12</f>
        <v>6.4660840243594808E-18</v>
      </c>
      <c r="AX155" s="23">
        <f t="shared" si="166"/>
        <v>0.31007400513188849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-2.8421709430404007E-13</v>
      </c>
      <c r="BE155" s="14">
        <f>BD155*VLOOKUP('Données projet'!$B$11,Paramètres!$A$1:$I$89,3,0)*VLOOKUP('Données projet'!$B$11,Paramètres!$A$1:$I$89,5,0)</f>
        <v>-2.2612312022829427E-13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352.88510024787888</v>
      </c>
      <c r="BJ155" s="62">
        <f t="shared" si="146"/>
        <v>343.77208530767069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0.41739745498942143</v>
      </c>
      <c r="BR155" s="23">
        <f>EXP(-LN(2)/2)*BR154+(1-EXP(-LN(2)/2))/(LN(2)/2)*BL155*BO155*VLOOKUP('Données projet'!$B$11,Paramètres!$A$1:$I$89,3,0)*0.475*44/12</f>
        <v>1.7120359509517784E-19</v>
      </c>
      <c r="BS155" s="24">
        <f t="shared" si="169"/>
        <v>0.41739745498942143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-2.8421709430404007E-13</v>
      </c>
      <c r="BZ155" s="14">
        <f>BY155*VLOOKUP('Données projet'!$B$12,Paramètres!$A$1:$I$89,3,0)*VLOOKUP('Données projet'!$B$12,Paramètres!$A$1:$I$89,5,0)</f>
        <v>-2.0838797354372215E-13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328.10411227536315</v>
      </c>
      <c r="CE155" s="62">
        <f t="shared" si="148"/>
        <v>320.24200483294322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0.81043753993871237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0.81043753993871237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5.6843418860808015E-14</v>
      </c>
      <c r="CU155" s="18">
        <f>CT155*VLOOKUP('Données projet'!$B$13,Paramètres!$A$1:$I$89,3,0)*VLOOKUP('Données projet'!$B$13,Paramètres!$A$1:$I$89,5,0)</f>
        <v>4.4337866711430253E-14</v>
      </c>
      <c r="CV155" s="14">
        <f t="shared" si="173"/>
        <v>7.3222115536967035E-13</v>
      </c>
      <c r="CW155" s="22">
        <f t="shared" si="174"/>
        <v>1.3525069634579169E-12</v>
      </c>
      <c r="CX155" s="62">
        <f t="shared" si="122"/>
        <v>293.33333333333468</v>
      </c>
      <c r="CY155" s="62">
        <f ca="1">AVERAGE(OFFSET($CX$3,0,0,'Données projet'!$E$13+1,1))-AVERAGE(OFFSET($H$3,0,0,'Données projet'!$E$13+1,1))</f>
        <v>288.82868507674738</v>
      </c>
      <c r="CZ155" s="62">
        <f t="shared" si="150"/>
        <v>283.48738729114024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0.91127526249391366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0.91127526249391366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>
        <f>DO155*VLOOKUP('Données projet'!$B$14,Paramètres!$A$1:$I$89,3,0)*VLOOKUP('Données projet'!$B$14,Paramètres!$A$1:$I$89,5,0)</f>
        <v>0</v>
      </c>
      <c r="DQ155" s="14" t="e">
        <f t="shared" si="176"/>
        <v>#NUM!</v>
      </c>
      <c r="DR155" s="22" t="e">
        <f t="shared" si="177"/>
        <v>#NUM!</v>
      </c>
      <c r="DS155" s="62" t="e">
        <f t="shared" si="125"/>
        <v>#NUM!</v>
      </c>
      <c r="DT155" s="62">
        <f ca="1">AVERAGE(OFFSET($DS$3,0,0,'Données projet'!$E$14+1,1))-AVERAGE(OFFSET($H$3,0,0,'Données projet'!$E$14+1,1))</f>
        <v>487.04124684635974</v>
      </c>
      <c r="DU155" s="62">
        <f t="shared" si="152"/>
        <v>306.61893266146666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1.0930338341997679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1.0930338341997679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>
        <f>EJ155*VLOOKUP('Données projet'!$B$15,Paramètres!$A$1:$I$89,3,0)*VLOOKUP('Données projet'!$B$15,Paramètres!$A$1:$I$89,5,0)</f>
        <v>0</v>
      </c>
      <c r="EL155" s="14" t="e">
        <f t="shared" si="179"/>
        <v>#NUM!</v>
      </c>
      <c r="EM155" s="22" t="e">
        <f t="shared" si="180"/>
        <v>#NUM!</v>
      </c>
      <c r="EN155" s="62" t="e">
        <f t="shared" si="128"/>
        <v>#NUM!</v>
      </c>
      <c r="EO155" s="62">
        <f ca="1">AVERAGE(OFFSET($EN$3,0,0,'Données projet'!$E$15+1,1))-AVERAGE(OFFSET($H$3,0,0,'Données projet'!$E$15+1,1))</f>
        <v>459.64120566196812</v>
      </c>
      <c r="EP155" s="62">
        <f t="shared" si="154"/>
        <v>290.39826583283588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1.0257702136336286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1.0257702136336286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>
        <f>FE155*VLOOKUP('Données projet'!$B$16,Paramètres!$A$1:$I$89,3,0)*VLOOKUP('Données projet'!$B$16,Paramètres!$A$1:$I$89,5,0)</f>
        <v>0</v>
      </c>
      <c r="FG155" s="14" t="e">
        <f t="shared" si="182"/>
        <v>#NUM!</v>
      </c>
      <c r="FH155" s="22" t="e">
        <f t="shared" si="183"/>
        <v>#NUM!</v>
      </c>
      <c r="FI155" s="62" t="e">
        <f t="shared" si="131"/>
        <v>#NUM!</v>
      </c>
      <c r="FJ155" s="62">
        <f ca="1">AVERAGE(OFFSET($FI$3,0,0,'Données projet'!$E$16+1,1))-AVERAGE(OFFSET($H$3,0,0,'Données projet'!$E$16+1,1))</f>
        <v>335.83558218229564</v>
      </c>
      <c r="FK155" s="62">
        <f t="shared" si="156"/>
        <v>217.08423061559648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0</v>
      </c>
      <c r="FR155" s="23">
        <f>EXP(-LN(2)/25)*FR154+(1-EXP(-LN(2)/25))/(LN(2)/25)*Calculateur!FM155*Calculateur!FO155*VLOOKUP('Données projet'!$B$16,Paramètres!$A$1:$I$89,3,0)*0.475*44/12</f>
        <v>0.28334348744810511</v>
      </c>
      <c r="FS155" s="23">
        <f>EXP(-LN(2)/2)*FS154+(1-EXP(-LN(2)/2))/(LN(2)/2)*FM155*FP155*VLOOKUP('Données projet'!$B$16,Paramètres!$A$1:$I$89,3,0)*0.475*44/12</f>
        <v>4.793820914611378E-18</v>
      </c>
      <c r="FT155" s="24">
        <f t="shared" si="184"/>
        <v>0.28334348744810511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1.9895196601282805E-13</v>
      </c>
      <c r="O156" s="14">
        <f>N156*VLOOKUP('Données projet'!$B$9,Paramètres!$A$1:$I$89,3,0)*VLOOKUP('Données projet'!$B$9,Paramètres!$A$1:$I$89,5,0)</f>
        <v>1.738044375088066E-13</v>
      </c>
      <c r="P156" s="14">
        <f t="shared" si="141"/>
        <v>2.4483293633950478E-12</v>
      </c>
      <c r="Q156" s="22">
        <f t="shared" si="162"/>
        <v>4.566883036574213E-12</v>
      </c>
      <c r="R156" s="62">
        <f t="shared" si="109"/>
        <v>293.33333333333786</v>
      </c>
      <c r="S156" s="62">
        <f ca="1">AVERAGE(OFFSET($R$3,0,0,'Données projet'!$E$9+1,1))-AVERAGE(OFFSET($H$3,0,0,'Données projet'!$E$9+1,1))</f>
        <v>321.23599968992932</v>
      </c>
      <c r="T156" s="62">
        <f t="shared" si="142"/>
        <v>388.05195847800502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0.84500510063883394</v>
      </c>
      <c r="AB156" s="23">
        <f>EXP(-LN(2)/2)*AB155+(1-EXP(-LN(2)/2))/(LN(2)/2)*V156*Y156*VLOOKUP('Données projet'!$B$9,Paramètres!$A$1:$I$89,3,0)*0.475*44/12</f>
        <v>5.6015833177854475E-18</v>
      </c>
      <c r="AC156" s="24">
        <f t="shared" si="163"/>
        <v>0.84500510063883394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-5.6843418860808015E-14</v>
      </c>
      <c r="AJ156" s="14">
        <f>AI156*VLOOKUP('Données projet'!$B$10,Paramètres!$A$1:$I$89,3,0)*VLOOKUP('Données projet'!$B$10,Paramètres!$A$1:$I$89,5,0)</f>
        <v>-5.1431925385259088E-14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439.19854273764042</v>
      </c>
      <c r="AO156" s="62">
        <f t="shared" si="144"/>
        <v>278.21741231699929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0.30159501515547377</v>
      </c>
      <c r="AW156" s="23">
        <f>EXP(-LN(2)/2)*AW155+(1-EXP(-LN(2)/2))/(LN(2)/2)*AQ156*AT156*VLOOKUP('Données projet'!$B$10,Paramètres!$A$1:$I$89,3,0)*0.475*44/12</f>
        <v>4.57221186134659E-18</v>
      </c>
      <c r="AX156" s="23">
        <f t="shared" si="166"/>
        <v>0.30159501515547377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-2.8421709430404007E-13</v>
      </c>
      <c r="BE156" s="14">
        <f>BD156*VLOOKUP('Données projet'!$B$11,Paramètres!$A$1:$I$89,3,0)*VLOOKUP('Données projet'!$B$11,Paramètres!$A$1:$I$89,5,0)</f>
        <v>-2.2612312022829427E-13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352.88510024787888</v>
      </c>
      <c r="BJ156" s="62">
        <f t="shared" si="146"/>
        <v>343.77208530767069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0.40598369963275754</v>
      </c>
      <c r="BR156" s="23">
        <f>EXP(-LN(2)/2)*BR155+(1-EXP(-LN(2)/2))/(LN(2)/2)*BL156*BO156*VLOOKUP('Données projet'!$B$11,Paramètres!$A$1:$I$89,3,0)*0.475*44/12</f>
        <v>1.2105922305531619E-19</v>
      </c>
      <c r="BS156" s="24">
        <f t="shared" si="169"/>
        <v>0.40598369963275754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-2.8421709430404007E-13</v>
      </c>
      <c r="BZ156" s="14">
        <f>BY156*VLOOKUP('Données projet'!$B$12,Paramètres!$A$1:$I$89,3,0)*VLOOKUP('Données projet'!$B$12,Paramètres!$A$1:$I$89,5,0)</f>
        <v>-2.0838797354372215E-13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328.10411227536315</v>
      </c>
      <c r="CE156" s="62">
        <f t="shared" si="148"/>
        <v>320.24200483294322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0.79454535409860372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0.79454535409860372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5.6843418860808015E-14</v>
      </c>
      <c r="CU156" s="18">
        <f>CT156*VLOOKUP('Données projet'!$B$13,Paramètres!$A$1:$I$89,3,0)*VLOOKUP('Données projet'!$B$13,Paramètres!$A$1:$I$89,5,0)</f>
        <v>4.4337866711430253E-14</v>
      </c>
      <c r="CV156" s="14">
        <f t="shared" si="173"/>
        <v>7.3222115536967035E-13</v>
      </c>
      <c r="CW156" s="22">
        <f t="shared" si="174"/>
        <v>1.3525069634579169E-12</v>
      </c>
      <c r="CX156" s="62">
        <f t="shared" si="122"/>
        <v>293.33333333333468</v>
      </c>
      <c r="CY156" s="62">
        <f ca="1">AVERAGE(OFFSET($CX$3,0,0,'Données projet'!$E$13+1,1))-AVERAGE(OFFSET($H$3,0,0,'Données projet'!$E$13+1,1))</f>
        <v>288.82868507674738</v>
      </c>
      <c r="CZ156" s="62">
        <f t="shared" si="150"/>
        <v>283.48738729114024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0.89340571041943517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0.89340571041943517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>
        <f>DO156*VLOOKUP('Données projet'!$B$14,Paramètres!$A$1:$I$89,3,0)*VLOOKUP('Données projet'!$B$14,Paramètres!$A$1:$I$89,5,0)</f>
        <v>0</v>
      </c>
      <c r="DQ156" s="14" t="e">
        <f t="shared" si="176"/>
        <v>#NUM!</v>
      </c>
      <c r="DR156" s="22" t="e">
        <f t="shared" si="177"/>
        <v>#NUM!</v>
      </c>
      <c r="DS156" s="62" t="e">
        <f t="shared" si="125"/>
        <v>#NUM!</v>
      </c>
      <c r="DT156" s="62">
        <f ca="1">AVERAGE(OFFSET($DS$3,0,0,'Données projet'!$E$14+1,1))-AVERAGE(OFFSET($H$3,0,0,'Données projet'!$E$14+1,1))</f>
        <v>487.04124684635974</v>
      </c>
      <c r="DU156" s="62">
        <f t="shared" si="152"/>
        <v>306.61893266146666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1.0716001073959196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1.0716001073959196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>
        <f>EJ156*VLOOKUP('Données projet'!$B$15,Paramètres!$A$1:$I$89,3,0)*VLOOKUP('Données projet'!$B$15,Paramètres!$A$1:$I$89,5,0)</f>
        <v>0</v>
      </c>
      <c r="EL156" s="14" t="e">
        <f t="shared" si="179"/>
        <v>#NUM!</v>
      </c>
      <c r="EM156" s="22" t="e">
        <f t="shared" si="180"/>
        <v>#NUM!</v>
      </c>
      <c r="EN156" s="62" t="e">
        <f t="shared" si="128"/>
        <v>#NUM!</v>
      </c>
      <c r="EO156" s="62">
        <f ca="1">AVERAGE(OFFSET($EN$3,0,0,'Données projet'!$E$15+1,1))-AVERAGE(OFFSET($H$3,0,0,'Données projet'!$E$15+1,1))</f>
        <v>459.64120566196812</v>
      </c>
      <c r="EP156" s="62">
        <f t="shared" si="154"/>
        <v>290.39826583283588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1.005655485402325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1.005655485402325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>
        <f>FE156*VLOOKUP('Données projet'!$B$16,Paramètres!$A$1:$I$89,3,0)*VLOOKUP('Données projet'!$B$16,Paramètres!$A$1:$I$89,5,0)</f>
        <v>0</v>
      </c>
      <c r="FG156" s="14" t="e">
        <f t="shared" si="182"/>
        <v>#NUM!</v>
      </c>
      <c r="FH156" s="22" t="e">
        <f t="shared" si="183"/>
        <v>#NUM!</v>
      </c>
      <c r="FI156" s="62" t="e">
        <f t="shared" si="131"/>
        <v>#NUM!</v>
      </c>
      <c r="FJ156" s="62">
        <f ca="1">AVERAGE(OFFSET($FI$3,0,0,'Données projet'!$E$16+1,1))-AVERAGE(OFFSET($H$3,0,0,'Données projet'!$E$16+1,1))</f>
        <v>335.83558218229564</v>
      </c>
      <c r="FK156" s="62">
        <f t="shared" si="156"/>
        <v>217.08423061559648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0</v>
      </c>
      <c r="FR156" s="23">
        <f>EXP(-LN(2)/25)*FR155+(1-EXP(-LN(2)/25))/(LN(2)/25)*Calculateur!FM156*Calculateur!FO156*VLOOKUP('Données projet'!$B$16,Paramètres!$A$1:$I$89,3,0)*0.475*44/12</f>
        <v>0.27559544488345028</v>
      </c>
      <c r="FS156" s="23">
        <f>EXP(-LN(2)/2)*FS155+(1-EXP(-LN(2)/2))/(LN(2)/2)*FM156*FP156*VLOOKUP('Données projet'!$B$16,Paramètres!$A$1:$I$89,3,0)*0.475*44/12</f>
        <v>3.3897432765156028E-18</v>
      </c>
      <c r="FT156" s="24">
        <f t="shared" si="184"/>
        <v>0.27559544488345028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1.9895196601282805E-13</v>
      </c>
      <c r="O157" s="14">
        <f>N157*VLOOKUP('Données projet'!$B$9,Paramètres!$A$1:$I$89,3,0)*VLOOKUP('Données projet'!$B$9,Paramètres!$A$1:$I$89,5,0)</f>
        <v>1.738044375088066E-13</v>
      </c>
      <c r="P157" s="14">
        <f t="shared" si="141"/>
        <v>2.4483293633950478E-12</v>
      </c>
      <c r="Q157" s="22">
        <f t="shared" si="162"/>
        <v>4.566883036574213E-12</v>
      </c>
      <c r="R157" s="62">
        <f t="shared" si="109"/>
        <v>293.33333333333786</v>
      </c>
      <c r="S157" s="62">
        <f ca="1">AVERAGE(OFFSET($R$3,0,0,'Données projet'!$E$9+1,1))-AVERAGE(OFFSET($H$3,0,0,'Données projet'!$E$9+1,1))</f>
        <v>321.23599968992932</v>
      </c>
      <c r="T157" s="62">
        <f t="shared" si="142"/>
        <v>388.05195847800502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0.82189839172497803</v>
      </c>
      <c r="AB157" s="23">
        <f>EXP(-LN(2)/2)*AB156+(1-EXP(-LN(2)/2))/(LN(2)/2)*V157*Y157*VLOOKUP('Données projet'!$B$9,Paramètres!$A$1:$I$89,3,0)*0.475*44/12</f>
        <v>3.9609175493875292E-18</v>
      </c>
      <c r="AC157" s="24">
        <f t="shared" si="163"/>
        <v>0.82189839172497803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-5.6843418860808015E-14</v>
      </c>
      <c r="AJ157" s="14">
        <f>AI157*VLOOKUP('Données projet'!$B$10,Paramètres!$A$1:$I$89,3,0)*VLOOKUP('Données projet'!$B$10,Paramètres!$A$1:$I$89,5,0)</f>
        <v>-5.1431925385259088E-14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439.19854273764042</v>
      </c>
      <c r="AO157" s="62">
        <f t="shared" si="144"/>
        <v>278.21741231699929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0.29334788360585479</v>
      </c>
      <c r="AW157" s="23">
        <f>EXP(-LN(2)/2)*AW156+(1-EXP(-LN(2)/2))/(LN(2)/2)*AQ157*AT157*VLOOKUP('Données projet'!$B$10,Paramètres!$A$1:$I$89,3,0)*0.475*44/12</f>
        <v>3.2330420121797404E-18</v>
      </c>
      <c r="AX157" s="23">
        <f t="shared" si="166"/>
        <v>0.29334788360585479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-2.8421709430404007E-13</v>
      </c>
      <c r="BE157" s="14">
        <f>BD157*VLOOKUP('Données projet'!$B$11,Paramètres!$A$1:$I$89,3,0)*VLOOKUP('Données projet'!$B$11,Paramètres!$A$1:$I$89,5,0)</f>
        <v>-2.2612312022829427E-13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352.88510024787888</v>
      </c>
      <c r="BJ157" s="62">
        <f t="shared" si="146"/>
        <v>343.77208530767069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0.39488205401654491</v>
      </c>
      <c r="BR157" s="23">
        <f>EXP(-LN(2)/2)*BR156+(1-EXP(-LN(2)/2))/(LN(2)/2)*BL157*BO157*VLOOKUP('Données projet'!$B$11,Paramètres!$A$1:$I$89,3,0)*0.475*44/12</f>
        <v>8.5601797547588918E-20</v>
      </c>
      <c r="BS157" s="24">
        <f t="shared" si="169"/>
        <v>0.39488205401654491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-2.8421709430404007E-13</v>
      </c>
      <c r="BZ157" s="14">
        <f>BY157*VLOOKUP('Données projet'!$B$12,Paramètres!$A$1:$I$89,3,0)*VLOOKUP('Données projet'!$B$12,Paramètres!$A$1:$I$89,5,0)</f>
        <v>-2.0838797354372215E-13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328.10411227536315</v>
      </c>
      <c r="CE157" s="62">
        <f t="shared" si="148"/>
        <v>320.24200483294322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0.7789648043295434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0.7789648043295434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5.6843418860808015E-14</v>
      </c>
      <c r="CU157" s="18">
        <f>CT157*VLOOKUP('Données projet'!$B$13,Paramètres!$A$1:$I$89,3,0)*VLOOKUP('Données projet'!$B$13,Paramètres!$A$1:$I$89,5,0)</f>
        <v>4.4337866711430253E-14</v>
      </c>
      <c r="CV157" s="14">
        <f t="shared" si="173"/>
        <v>7.3222115536967035E-13</v>
      </c>
      <c r="CW157" s="22">
        <f t="shared" si="174"/>
        <v>1.3525069634579169E-12</v>
      </c>
      <c r="CX157" s="62">
        <f t="shared" si="122"/>
        <v>293.33333333333468</v>
      </c>
      <c r="CY157" s="62">
        <f ca="1">AVERAGE(OFFSET($CX$3,0,0,'Données projet'!$E$13+1,1))-AVERAGE(OFFSET($H$3,0,0,'Données projet'!$E$13+1,1))</f>
        <v>288.82868507674738</v>
      </c>
      <c r="CZ157" s="62">
        <f t="shared" si="150"/>
        <v>283.48738729114024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0.87588656936178666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0.87588656936178666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>
        <f>DO157*VLOOKUP('Données projet'!$B$14,Paramètres!$A$1:$I$89,3,0)*VLOOKUP('Données projet'!$B$14,Paramètres!$A$1:$I$89,5,0)</f>
        <v>0</v>
      </c>
      <c r="DQ157" s="14" t="e">
        <f t="shared" si="176"/>
        <v>#NUM!</v>
      </c>
      <c r="DR157" s="22" t="e">
        <f t="shared" si="177"/>
        <v>#NUM!</v>
      </c>
      <c r="DS157" s="62" t="e">
        <f t="shared" si="125"/>
        <v>#NUM!</v>
      </c>
      <c r="DT157" s="62">
        <f ca="1">AVERAGE(OFFSET($DS$3,0,0,'Données projet'!$E$14+1,1))-AVERAGE(OFFSET($H$3,0,0,'Données projet'!$E$14+1,1))</f>
        <v>487.04124684635974</v>
      </c>
      <c r="DU157" s="62">
        <f t="shared" si="152"/>
        <v>306.61893266146666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1.0505866829014123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1.0505866829014123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>
        <f>EJ157*VLOOKUP('Données projet'!$B$15,Paramètres!$A$1:$I$89,3,0)*VLOOKUP('Données projet'!$B$15,Paramètres!$A$1:$I$89,5,0)</f>
        <v>0</v>
      </c>
      <c r="EL157" s="14" t="e">
        <f t="shared" si="179"/>
        <v>#NUM!</v>
      </c>
      <c r="EM157" s="22" t="e">
        <f t="shared" si="180"/>
        <v>#NUM!</v>
      </c>
      <c r="EN157" s="62" t="e">
        <f t="shared" si="128"/>
        <v>#NUM!</v>
      </c>
      <c r="EO157" s="62">
        <f ca="1">AVERAGE(OFFSET($EN$3,0,0,'Données projet'!$E$15+1,1))-AVERAGE(OFFSET($H$3,0,0,'Données projet'!$E$15+1,1))</f>
        <v>459.64120566196812</v>
      </c>
      <c r="EP157" s="62">
        <f t="shared" si="154"/>
        <v>290.39826583283588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0.98593519472286428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0.98593519472286428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>
        <f>FE157*VLOOKUP('Données projet'!$B$16,Paramètres!$A$1:$I$89,3,0)*VLOOKUP('Données projet'!$B$16,Paramètres!$A$1:$I$89,5,0)</f>
        <v>0</v>
      </c>
      <c r="FG157" s="14" t="e">
        <f t="shared" si="182"/>
        <v>#NUM!</v>
      </c>
      <c r="FH157" s="22" t="e">
        <f t="shared" si="183"/>
        <v>#NUM!</v>
      </c>
      <c r="FI157" s="62" t="e">
        <f t="shared" si="131"/>
        <v>#NUM!</v>
      </c>
      <c r="FJ157" s="62">
        <f ca="1">AVERAGE(OFFSET($FI$3,0,0,'Données projet'!$E$16+1,1))-AVERAGE(OFFSET($H$3,0,0,'Données projet'!$E$16+1,1))</f>
        <v>335.83558218229564</v>
      </c>
      <c r="FK157" s="62">
        <f t="shared" si="156"/>
        <v>217.08423061559648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0</v>
      </c>
      <c r="FR157" s="23">
        <f>EXP(-LN(2)/25)*FR156+(1-EXP(-LN(2)/25))/(LN(2)/25)*Calculateur!FM157*Calculateur!FO157*VLOOKUP('Données projet'!$B$16,Paramètres!$A$1:$I$89,3,0)*0.475*44/12</f>
        <v>0.26805927295017778</v>
      </c>
      <c r="FS157" s="23">
        <f>EXP(-LN(2)/2)*FS156+(1-EXP(-LN(2)/2))/(LN(2)/2)*FM157*FP157*VLOOKUP('Données projet'!$B$16,Paramètres!$A$1:$I$89,3,0)*0.475*44/12</f>
        <v>2.396910457305689E-18</v>
      </c>
      <c r="FT157" s="24">
        <f t="shared" si="184"/>
        <v>0.26805927295017778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1.9895196601282805E-13</v>
      </c>
      <c r="O158" s="14">
        <f>N158*VLOOKUP('Données projet'!$B$9,Paramètres!$A$1:$I$89,3,0)*VLOOKUP('Données projet'!$B$9,Paramètres!$A$1:$I$89,5,0)</f>
        <v>1.738044375088066E-13</v>
      </c>
      <c r="P158" s="14">
        <f t="shared" si="141"/>
        <v>2.4483293633950478E-12</v>
      </c>
      <c r="Q158" s="22">
        <f t="shared" si="162"/>
        <v>4.566883036574213E-12</v>
      </c>
      <c r="R158" s="62">
        <f t="shared" si="109"/>
        <v>293.33333333333786</v>
      </c>
      <c r="S158" s="62">
        <f ca="1">AVERAGE(OFFSET($R$3,0,0,'Données projet'!$E$9+1,1))-AVERAGE(OFFSET($H$3,0,0,'Données projet'!$E$9+1,1))</f>
        <v>321.23599968992932</v>
      </c>
      <c r="T158" s="62">
        <f t="shared" si="142"/>
        <v>388.05195847800502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0.79942353698150059</v>
      </c>
      <c r="AB158" s="23">
        <f>EXP(-LN(2)/2)*AB157+(1-EXP(-LN(2)/2))/(LN(2)/2)*V158*Y158*VLOOKUP('Données projet'!$B$9,Paramètres!$A$1:$I$89,3,0)*0.475*44/12</f>
        <v>2.8007916588927237E-18</v>
      </c>
      <c r="AC158" s="24">
        <f t="shared" si="163"/>
        <v>0.79942353698150059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-5.6843418860808015E-14</v>
      </c>
      <c r="AJ158" s="14">
        <f>AI158*VLOOKUP('Données projet'!$B$10,Paramètres!$A$1:$I$89,3,0)*VLOOKUP('Données projet'!$B$10,Paramètres!$A$1:$I$89,5,0)</f>
        <v>-5.1431925385259088E-14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439.19854273764042</v>
      </c>
      <c r="AO158" s="62">
        <f t="shared" si="144"/>
        <v>278.21741231699929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0.28532627030215796</v>
      </c>
      <c r="AW158" s="23">
        <f>EXP(-LN(2)/2)*AW157+(1-EXP(-LN(2)/2))/(LN(2)/2)*AQ158*AT158*VLOOKUP('Données projet'!$B$10,Paramètres!$A$1:$I$89,3,0)*0.475*44/12</f>
        <v>2.286105930673295E-18</v>
      </c>
      <c r="AX158" s="23">
        <f t="shared" si="166"/>
        <v>0.28532627030215796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-2.8421709430404007E-13</v>
      </c>
      <c r="BE158" s="14">
        <f>BD158*VLOOKUP('Données projet'!$B$11,Paramètres!$A$1:$I$89,3,0)*VLOOKUP('Données projet'!$B$11,Paramètres!$A$1:$I$89,5,0)</f>
        <v>-2.2612312022829427E-13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352.88510024787888</v>
      </c>
      <c r="BJ158" s="62">
        <f t="shared" si="146"/>
        <v>343.77208530767069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0.3840839834835178</v>
      </c>
      <c r="BR158" s="23">
        <f>EXP(-LN(2)/2)*BR157+(1-EXP(-LN(2)/2))/(LN(2)/2)*BL158*BO158*VLOOKUP('Données projet'!$B$11,Paramètres!$A$1:$I$89,3,0)*0.475*44/12</f>
        <v>6.0529611527658097E-20</v>
      </c>
      <c r="BS158" s="24">
        <f t="shared" si="169"/>
        <v>0.3840839834835178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-2.8421709430404007E-13</v>
      </c>
      <c r="BZ158" s="14">
        <f>BY158*VLOOKUP('Données projet'!$B$12,Paramètres!$A$1:$I$89,3,0)*VLOOKUP('Données projet'!$B$12,Paramètres!$A$1:$I$89,5,0)</f>
        <v>-2.0838797354372215E-13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328.10411227536315</v>
      </c>
      <c r="CE158" s="62">
        <f t="shared" si="148"/>
        <v>320.24200483294322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0.76368977963825735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0.76368977963825735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5.6843418860808015E-14</v>
      </c>
      <c r="CU158" s="18">
        <f>CT158*VLOOKUP('Données projet'!$B$13,Paramètres!$A$1:$I$89,3,0)*VLOOKUP('Données projet'!$B$13,Paramètres!$A$1:$I$89,5,0)</f>
        <v>4.4337866711430253E-14</v>
      </c>
      <c r="CV158" s="14">
        <f t="shared" si="173"/>
        <v>7.3222115536967035E-13</v>
      </c>
      <c r="CW158" s="22">
        <f t="shared" si="174"/>
        <v>1.3525069634579169E-12</v>
      </c>
      <c r="CX158" s="62">
        <f t="shared" si="122"/>
        <v>293.33333333333468</v>
      </c>
      <c r="CY158" s="62">
        <f ca="1">AVERAGE(OFFSET($CX$3,0,0,'Données projet'!$E$13+1,1))-AVERAGE(OFFSET($H$3,0,0,'Données projet'!$E$13+1,1))</f>
        <v>288.82868507674738</v>
      </c>
      <c r="CZ158" s="62">
        <f t="shared" si="150"/>
        <v>283.48738729114024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0.85871096797465774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0.85871096797465774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>
        <f>DO158*VLOOKUP('Données projet'!$B$14,Paramètres!$A$1:$I$89,3,0)*VLOOKUP('Données projet'!$B$14,Paramètres!$A$1:$I$89,5,0)</f>
        <v>0</v>
      </c>
      <c r="DQ158" s="14" t="e">
        <f t="shared" si="176"/>
        <v>#NUM!</v>
      </c>
      <c r="DR158" s="22" t="e">
        <f t="shared" si="177"/>
        <v>#NUM!</v>
      </c>
      <c r="DS158" s="62" t="e">
        <f t="shared" si="125"/>
        <v>#NUM!</v>
      </c>
      <c r="DT158" s="62">
        <f ca="1">AVERAGE(OFFSET($DS$3,0,0,'Données projet'!$E$14+1,1))-AVERAGE(OFFSET($H$3,0,0,'Données projet'!$E$14+1,1))</f>
        <v>487.04124684635974</v>
      </c>
      <c r="DU158" s="62">
        <f t="shared" si="152"/>
        <v>306.61893266146666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1.0299853188443191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1.0299853188443191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>
        <f>EJ158*VLOOKUP('Données projet'!$B$15,Paramètres!$A$1:$I$89,3,0)*VLOOKUP('Données projet'!$B$15,Paramètres!$A$1:$I$89,5,0)</f>
        <v>0</v>
      </c>
      <c r="EL158" s="14" t="e">
        <f t="shared" si="179"/>
        <v>#NUM!</v>
      </c>
      <c r="EM158" s="22" t="e">
        <f t="shared" si="180"/>
        <v>#NUM!</v>
      </c>
      <c r="EN158" s="62" t="e">
        <f t="shared" si="128"/>
        <v>#NUM!</v>
      </c>
      <c r="EO158" s="62">
        <f ca="1">AVERAGE(OFFSET($EN$3,0,0,'Données projet'!$E$15+1,1))-AVERAGE(OFFSET($H$3,0,0,'Données projet'!$E$15+1,1))</f>
        <v>459.64120566196812</v>
      </c>
      <c r="EP158" s="62">
        <f t="shared" si="154"/>
        <v>290.39826583283588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0.96660160691543817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0.96660160691543817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>
        <f>FE158*VLOOKUP('Données projet'!$B$16,Paramètres!$A$1:$I$89,3,0)*VLOOKUP('Données projet'!$B$16,Paramètres!$A$1:$I$89,5,0)</f>
        <v>0</v>
      </c>
      <c r="FG158" s="14" t="e">
        <f t="shared" si="182"/>
        <v>#NUM!</v>
      </c>
      <c r="FH158" s="22" t="e">
        <f t="shared" si="183"/>
        <v>#NUM!</v>
      </c>
      <c r="FI158" s="62" t="e">
        <f t="shared" si="131"/>
        <v>#NUM!</v>
      </c>
      <c r="FJ158" s="62">
        <f ca="1">AVERAGE(OFFSET($FI$3,0,0,'Données projet'!$E$16+1,1))-AVERAGE(OFFSET($H$3,0,0,'Données projet'!$E$16+1,1))</f>
        <v>335.83558218229564</v>
      </c>
      <c r="FK158" s="62">
        <f t="shared" si="156"/>
        <v>217.08423061559648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0</v>
      </c>
      <c r="FR158" s="23">
        <f>EXP(-LN(2)/25)*FR157+(1-EXP(-LN(2)/25))/(LN(2)/25)*Calculateur!FM158*Calculateur!FO158*VLOOKUP('Données projet'!$B$16,Paramètres!$A$1:$I$89,3,0)*0.475*44/12</f>
        <v>0.26072917803473067</v>
      </c>
      <c r="FS158" s="23">
        <f>EXP(-LN(2)/2)*FS157+(1-EXP(-LN(2)/2))/(LN(2)/2)*FM158*FP158*VLOOKUP('Données projet'!$B$16,Paramètres!$A$1:$I$89,3,0)*0.475*44/12</f>
        <v>1.6948716382578014E-18</v>
      </c>
      <c r="FT158" s="24">
        <f t="shared" si="184"/>
        <v>0.26072917803473067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1.9895196601282805E-13</v>
      </c>
      <c r="O159" s="14">
        <f>N159*VLOOKUP('Données projet'!$B$9,Paramètres!$A$1:$I$89,3,0)*VLOOKUP('Données projet'!$B$9,Paramètres!$A$1:$I$89,5,0)</f>
        <v>1.738044375088066E-13</v>
      </c>
      <c r="P159" s="14">
        <f t="shared" si="141"/>
        <v>2.4483293633950478E-12</v>
      </c>
      <c r="Q159" s="22">
        <f t="shared" si="162"/>
        <v>4.566883036574213E-12</v>
      </c>
      <c r="R159" s="62">
        <f t="shared" si="109"/>
        <v>293.33333333333786</v>
      </c>
      <c r="S159" s="62">
        <f ca="1">AVERAGE(OFFSET($R$3,0,0,'Données projet'!$E$9+1,1))-AVERAGE(OFFSET($H$3,0,0,'Données projet'!$E$9+1,1))</f>
        <v>321.23599968992932</v>
      </c>
      <c r="T159" s="62">
        <f t="shared" si="142"/>
        <v>388.05195847800502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0.77756325832288475</v>
      </c>
      <c r="AB159" s="23">
        <f>EXP(-LN(2)/2)*AB158+(1-EXP(-LN(2)/2))/(LN(2)/2)*V159*Y159*VLOOKUP('Données projet'!$B$9,Paramètres!$A$1:$I$89,3,0)*0.475*44/12</f>
        <v>1.9804587746937646E-18</v>
      </c>
      <c r="AC159" s="24">
        <f t="shared" si="163"/>
        <v>0.77756325832288475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-5.6843418860808015E-14</v>
      </c>
      <c r="AJ159" s="14">
        <f>AI159*VLOOKUP('Données projet'!$B$10,Paramètres!$A$1:$I$89,3,0)*VLOOKUP('Données projet'!$B$10,Paramètres!$A$1:$I$89,5,0)</f>
        <v>-5.1431925385259088E-14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439.19854273764042</v>
      </c>
      <c r="AO159" s="62">
        <f t="shared" si="144"/>
        <v>278.21741231699929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0.27752400843608904</v>
      </c>
      <c r="AW159" s="23">
        <f>EXP(-LN(2)/2)*AW158+(1-EXP(-LN(2)/2))/(LN(2)/2)*AQ159*AT159*VLOOKUP('Données projet'!$B$10,Paramètres!$A$1:$I$89,3,0)*0.475*44/12</f>
        <v>1.6165210060898702E-18</v>
      </c>
      <c r="AX159" s="23">
        <f t="shared" si="166"/>
        <v>0.27752400843608904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-2.8421709430404007E-13</v>
      </c>
      <c r="BE159" s="14">
        <f>BD159*VLOOKUP('Données projet'!$B$11,Paramètres!$A$1:$I$89,3,0)*VLOOKUP('Données projet'!$B$11,Paramètres!$A$1:$I$89,5,0)</f>
        <v>-2.2612312022829427E-13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352.88510024787888</v>
      </c>
      <c r="BJ159" s="62">
        <f t="shared" si="146"/>
        <v>343.77208530767069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0.37358118675706214</v>
      </c>
      <c r="BR159" s="23">
        <f>EXP(-LN(2)/2)*BR158+(1-EXP(-LN(2)/2))/(LN(2)/2)*BL159*BO159*VLOOKUP('Données projet'!$B$11,Paramètres!$A$1:$I$89,3,0)*0.475*44/12</f>
        <v>4.2800898773794459E-20</v>
      </c>
      <c r="BS159" s="24">
        <f t="shared" si="169"/>
        <v>0.37358118675706214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-2.8421709430404007E-13</v>
      </c>
      <c r="BZ159" s="14">
        <f>BY159*VLOOKUP('Données projet'!$B$12,Paramètres!$A$1:$I$89,3,0)*VLOOKUP('Données projet'!$B$12,Paramètres!$A$1:$I$89,5,0)</f>
        <v>-2.0838797354372215E-13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328.10411227536315</v>
      </c>
      <c r="CE159" s="62">
        <f t="shared" si="148"/>
        <v>320.24200483294322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0.74871428886432234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0.74871428886432234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5.6843418860808015E-14</v>
      </c>
      <c r="CU159" s="18">
        <f>CT159*VLOOKUP('Données projet'!$B$13,Paramètres!$A$1:$I$89,3,0)*VLOOKUP('Données projet'!$B$13,Paramètres!$A$1:$I$89,5,0)</f>
        <v>4.4337866711430253E-14</v>
      </c>
      <c r="CV159" s="14">
        <f t="shared" si="173"/>
        <v>7.3222115536967035E-13</v>
      </c>
      <c r="CW159" s="22">
        <f t="shared" si="174"/>
        <v>1.3525069634579169E-12</v>
      </c>
      <c r="CX159" s="62">
        <f t="shared" si="122"/>
        <v>293.33333333333468</v>
      </c>
      <c r="CY159" s="62">
        <f ca="1">AVERAGE(OFFSET($CX$3,0,0,'Données projet'!$E$13+1,1))-AVERAGE(OFFSET($H$3,0,0,'Données projet'!$E$13+1,1))</f>
        <v>288.82868507674738</v>
      </c>
      <c r="CZ159" s="62">
        <f t="shared" si="150"/>
        <v>283.48738729114024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0.84187216965464795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0.84187216965464795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>
        <f>DO159*VLOOKUP('Données projet'!$B$14,Paramètres!$A$1:$I$89,3,0)*VLOOKUP('Données projet'!$B$14,Paramètres!$A$1:$I$89,5,0)</f>
        <v>0</v>
      </c>
      <c r="DQ159" s="14" t="e">
        <f t="shared" si="176"/>
        <v>#NUM!</v>
      </c>
      <c r="DR159" s="22" t="e">
        <f t="shared" si="177"/>
        <v>#NUM!</v>
      </c>
      <c r="DS159" s="62" t="e">
        <f t="shared" si="125"/>
        <v>#NUM!</v>
      </c>
      <c r="DT159" s="62">
        <f ca="1">AVERAGE(OFFSET($DS$3,0,0,'Données projet'!$E$14+1,1))-AVERAGE(OFFSET($H$3,0,0,'Données projet'!$E$14+1,1))</f>
        <v>487.04124684635974</v>
      </c>
      <c r="DU159" s="62">
        <f t="shared" si="152"/>
        <v>306.61893266146666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1.0097879349707941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1.0097879349707941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>
        <f>EJ159*VLOOKUP('Données projet'!$B$15,Paramètres!$A$1:$I$89,3,0)*VLOOKUP('Données projet'!$B$15,Paramètres!$A$1:$I$89,5,0)</f>
        <v>0</v>
      </c>
      <c r="EL159" s="14" t="e">
        <f t="shared" si="179"/>
        <v>#NUM!</v>
      </c>
      <c r="EM159" s="22" t="e">
        <f t="shared" si="180"/>
        <v>#NUM!</v>
      </c>
      <c r="EN159" s="62" t="e">
        <f t="shared" si="128"/>
        <v>#NUM!</v>
      </c>
      <c r="EO159" s="62">
        <f ca="1">AVERAGE(OFFSET($EN$3,0,0,'Données projet'!$E$15+1,1))-AVERAGE(OFFSET($H$3,0,0,'Données projet'!$E$15+1,1))</f>
        <v>459.64120566196812</v>
      </c>
      <c r="EP159" s="62">
        <f t="shared" si="154"/>
        <v>290.39826583283588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0.94764713897259156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0.94764713897259156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>
        <f>FE159*VLOOKUP('Données projet'!$B$16,Paramètres!$A$1:$I$89,3,0)*VLOOKUP('Données projet'!$B$16,Paramètres!$A$1:$I$89,5,0)</f>
        <v>0</v>
      </c>
      <c r="FG159" s="14" t="e">
        <f t="shared" si="182"/>
        <v>#NUM!</v>
      </c>
      <c r="FH159" s="22" t="e">
        <f t="shared" si="183"/>
        <v>#NUM!</v>
      </c>
      <c r="FI159" s="62" t="e">
        <f t="shared" si="131"/>
        <v>#NUM!</v>
      </c>
      <c r="FJ159" s="62">
        <f ca="1">AVERAGE(OFFSET($FI$3,0,0,'Données projet'!$E$16+1,1))-AVERAGE(OFFSET($H$3,0,0,'Données projet'!$E$16+1,1))</f>
        <v>335.83558218229564</v>
      </c>
      <c r="FK159" s="62">
        <f t="shared" si="156"/>
        <v>217.08423061559648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0</v>
      </c>
      <c r="FR159" s="23">
        <f>EXP(-LN(2)/25)*FR158+(1-EXP(-LN(2)/25))/(LN(2)/25)*Calculateur!FM159*Calculateur!FO159*VLOOKUP('Données projet'!$B$16,Paramètres!$A$1:$I$89,3,0)*0.475*44/12</f>
        <v>0.25359952495021937</v>
      </c>
      <c r="FS159" s="23">
        <f>EXP(-LN(2)/2)*FS158+(1-EXP(-LN(2)/2))/(LN(2)/2)*FM159*FP159*VLOOKUP('Données projet'!$B$16,Paramètres!$A$1:$I$89,3,0)*0.475*44/12</f>
        <v>1.1984552286528445E-18</v>
      </c>
      <c r="FT159" s="24">
        <f t="shared" si="184"/>
        <v>0.25359952495021937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1.9895196601282805E-13</v>
      </c>
      <c r="O160" s="14">
        <f>N160*VLOOKUP('Données projet'!$B$9,Paramètres!$A$1:$I$89,3,0)*VLOOKUP('Données projet'!$B$9,Paramètres!$A$1:$I$89,5,0)</f>
        <v>1.738044375088066E-13</v>
      </c>
      <c r="P160" s="14">
        <f t="shared" si="141"/>
        <v>2.4483293633950478E-12</v>
      </c>
      <c r="Q160" s="22">
        <f t="shared" si="162"/>
        <v>4.566883036574213E-12</v>
      </c>
      <c r="R160" s="62">
        <f t="shared" si="109"/>
        <v>293.33333333333786</v>
      </c>
      <c r="S160" s="62">
        <f ca="1">AVERAGE(OFFSET($R$3,0,0,'Données projet'!$E$9+1,1))-AVERAGE(OFFSET($H$3,0,0,'Données projet'!$E$9+1,1))</f>
        <v>321.23599968992932</v>
      </c>
      <c r="T160" s="62">
        <f t="shared" si="142"/>
        <v>388.05195847800502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0.75630075013377085</v>
      </c>
      <c r="AB160" s="23">
        <f>EXP(-LN(2)/2)*AB159+(1-EXP(-LN(2)/2))/(LN(2)/2)*V160*Y160*VLOOKUP('Données projet'!$B$9,Paramètres!$A$1:$I$89,3,0)*0.475*44/12</f>
        <v>1.4003958294463619E-18</v>
      </c>
      <c r="AC160" s="24">
        <f t="shared" si="163"/>
        <v>0.75630075013377085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-5.6843418860808015E-14</v>
      </c>
      <c r="AJ160" s="14">
        <f>AI160*VLOOKUP('Données projet'!$B$10,Paramètres!$A$1:$I$89,3,0)*VLOOKUP('Données projet'!$B$10,Paramètres!$A$1:$I$89,5,0)</f>
        <v>-5.1431925385259088E-14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439.19854273764042</v>
      </c>
      <c r="AO160" s="62">
        <f t="shared" si="144"/>
        <v>278.21741231699929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0.26993509983105085</v>
      </c>
      <c r="AW160" s="23">
        <f>EXP(-LN(2)/2)*AW159+(1-EXP(-LN(2)/2))/(LN(2)/2)*AQ160*AT160*VLOOKUP('Données projet'!$B$10,Paramètres!$A$1:$I$89,3,0)*0.475*44/12</f>
        <v>1.1430529653366475E-18</v>
      </c>
      <c r="AX160" s="23">
        <f t="shared" si="166"/>
        <v>0.26993509983105085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-2.8421709430404007E-13</v>
      </c>
      <c r="BE160" s="14">
        <f>BD160*VLOOKUP('Données projet'!$B$11,Paramètres!$A$1:$I$89,3,0)*VLOOKUP('Données projet'!$B$11,Paramètres!$A$1:$I$89,5,0)</f>
        <v>-2.2612312022829427E-13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352.88510024787888</v>
      </c>
      <c r="BJ160" s="62">
        <f t="shared" si="146"/>
        <v>343.77208530767069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0.36336558955940951</v>
      </c>
      <c r="BR160" s="23">
        <f>EXP(-LN(2)/2)*BR159+(1-EXP(-LN(2)/2))/(LN(2)/2)*BL160*BO160*VLOOKUP('Données projet'!$B$11,Paramètres!$A$1:$I$89,3,0)*0.475*44/12</f>
        <v>3.0264805763829048E-20</v>
      </c>
      <c r="BS160" s="24">
        <f t="shared" si="169"/>
        <v>0.36336558955940951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-2.8421709430404007E-13</v>
      </c>
      <c r="BZ160" s="14">
        <f>BY160*VLOOKUP('Données projet'!$B$12,Paramètres!$A$1:$I$89,3,0)*VLOOKUP('Données projet'!$B$12,Paramètres!$A$1:$I$89,5,0)</f>
        <v>-2.0838797354372215E-13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328.10411227536315</v>
      </c>
      <c r="CE160" s="62">
        <f t="shared" si="148"/>
        <v>320.24200483294322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0.73403245833031672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0.73403245833031672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5.6843418860808015E-14</v>
      </c>
      <c r="CU160" s="18">
        <f>CT160*VLOOKUP('Données projet'!$B$13,Paramètres!$A$1:$I$89,3,0)*VLOOKUP('Données projet'!$B$13,Paramètres!$A$1:$I$89,5,0)</f>
        <v>4.4337866711430253E-14</v>
      </c>
      <c r="CV160" s="14">
        <f t="shared" si="173"/>
        <v>7.3222115536967035E-13</v>
      </c>
      <c r="CW160" s="22">
        <f t="shared" si="174"/>
        <v>1.3525069634579169E-12</v>
      </c>
      <c r="CX160" s="62">
        <f t="shared" si="122"/>
        <v>293.33333333333468</v>
      </c>
      <c r="CY160" s="62">
        <f ca="1">AVERAGE(OFFSET($CX$3,0,0,'Données projet'!$E$13+1,1))-AVERAGE(OFFSET($H$3,0,0,'Données projet'!$E$13+1,1))</f>
        <v>288.82868507674738</v>
      </c>
      <c r="CZ160" s="62">
        <f t="shared" si="150"/>
        <v>283.48738729114024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0.82536356989904069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0.82536356989904069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>
        <f>DO160*VLOOKUP('Données projet'!$B$14,Paramètres!$A$1:$I$89,3,0)*VLOOKUP('Données projet'!$B$14,Paramètres!$A$1:$I$89,5,0)</f>
        <v>0</v>
      </c>
      <c r="DQ160" s="14" t="e">
        <f t="shared" si="176"/>
        <v>#NUM!</v>
      </c>
      <c r="DR160" s="22" t="e">
        <f t="shared" si="177"/>
        <v>#NUM!</v>
      </c>
      <c r="DS160" s="62" t="e">
        <f t="shared" si="125"/>
        <v>#NUM!</v>
      </c>
      <c r="DT160" s="62">
        <f ca="1">AVERAGE(OFFSET($DS$3,0,0,'Données projet'!$E$14+1,1))-AVERAGE(OFFSET($H$3,0,0,'Données projet'!$E$14+1,1))</f>
        <v>487.04124684635974</v>
      </c>
      <c r="DU160" s="62">
        <f t="shared" si="152"/>
        <v>306.61893266146666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0.98998660947584116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0.98998660947584116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>
        <f>EJ160*VLOOKUP('Données projet'!$B$15,Paramètres!$A$1:$I$89,3,0)*VLOOKUP('Données projet'!$B$15,Paramètres!$A$1:$I$89,5,0)</f>
        <v>0</v>
      </c>
      <c r="EL160" s="14" t="e">
        <f t="shared" si="179"/>
        <v>#NUM!</v>
      </c>
      <c r="EM160" s="22" t="e">
        <f t="shared" si="180"/>
        <v>#NUM!</v>
      </c>
      <c r="EN160" s="62" t="e">
        <f t="shared" si="128"/>
        <v>#NUM!</v>
      </c>
      <c r="EO160" s="62">
        <f ca="1">AVERAGE(OFFSET($EN$3,0,0,'Données projet'!$E$15+1,1))-AVERAGE(OFFSET($H$3,0,0,'Données projet'!$E$15+1,1))</f>
        <v>459.64120566196812</v>
      </c>
      <c r="EP160" s="62">
        <f t="shared" si="154"/>
        <v>290.39826583283588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0.92906435658502029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0.92906435658502029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>
        <f>FE160*VLOOKUP('Données projet'!$B$16,Paramètres!$A$1:$I$89,3,0)*VLOOKUP('Données projet'!$B$16,Paramètres!$A$1:$I$89,5,0)</f>
        <v>0</v>
      </c>
      <c r="FG160" s="14" t="e">
        <f t="shared" si="182"/>
        <v>#NUM!</v>
      </c>
      <c r="FH160" s="22" t="e">
        <f t="shared" si="183"/>
        <v>#NUM!</v>
      </c>
      <c r="FI160" s="62" t="e">
        <f t="shared" si="131"/>
        <v>#NUM!</v>
      </c>
      <c r="FJ160" s="62">
        <f ca="1">AVERAGE(OFFSET($FI$3,0,0,'Données projet'!$E$16+1,1))-AVERAGE(OFFSET($H$3,0,0,'Données projet'!$E$16+1,1))</f>
        <v>335.83558218229564</v>
      </c>
      <c r="FK160" s="62">
        <f t="shared" si="156"/>
        <v>217.08423061559648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0</v>
      </c>
      <c r="FR160" s="23">
        <f>EXP(-LN(2)/25)*FR159+(1-EXP(-LN(2)/25))/(LN(2)/25)*Calculateur!FM160*Calculateur!FO160*VLOOKUP('Données projet'!$B$16,Paramètres!$A$1:$I$89,3,0)*0.475*44/12</f>
        <v>0.24666483260423622</v>
      </c>
      <c r="FS160" s="23">
        <f>EXP(-LN(2)/2)*FS159+(1-EXP(-LN(2)/2))/(LN(2)/2)*FM160*FP160*VLOOKUP('Données projet'!$B$16,Paramètres!$A$1:$I$89,3,0)*0.475*44/12</f>
        <v>8.474358191289007E-19</v>
      </c>
      <c r="FT160" s="24">
        <f t="shared" si="184"/>
        <v>0.24666483260423622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1.9895196601282805E-13</v>
      </c>
      <c r="O161" s="14">
        <f>N161*VLOOKUP('Données projet'!$B$9,Paramètres!$A$1:$I$89,3,0)*VLOOKUP('Données projet'!$B$9,Paramètres!$A$1:$I$89,5,0)</f>
        <v>1.738044375088066E-13</v>
      </c>
      <c r="P161" s="14">
        <f t="shared" si="141"/>
        <v>2.4483293633950478E-12</v>
      </c>
      <c r="Q161" s="22">
        <f t="shared" si="162"/>
        <v>4.566883036574213E-12</v>
      </c>
      <c r="R161" s="62">
        <f t="shared" si="109"/>
        <v>293.33333333333786</v>
      </c>
      <c r="S161" s="62">
        <f ca="1">AVERAGE(OFFSET($R$3,0,0,'Données projet'!$E$9+1,1))-AVERAGE(OFFSET($H$3,0,0,'Données projet'!$E$9+1,1))</f>
        <v>321.23599968992932</v>
      </c>
      <c r="T161" s="62">
        <f t="shared" si="142"/>
        <v>388.05195847800502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0.73561966634923504</v>
      </c>
      <c r="AB161" s="23">
        <f>EXP(-LN(2)/2)*AB160+(1-EXP(-LN(2)/2))/(LN(2)/2)*V161*Y161*VLOOKUP('Données projet'!$B$9,Paramètres!$A$1:$I$89,3,0)*0.475*44/12</f>
        <v>9.9022938734688231E-19</v>
      </c>
      <c r="AC161" s="24">
        <f t="shared" si="163"/>
        <v>0.73561966634923504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-5.6843418860808015E-14</v>
      </c>
      <c r="AJ161" s="14">
        <f>AI161*VLOOKUP('Données projet'!$B$10,Paramètres!$A$1:$I$89,3,0)*VLOOKUP('Données projet'!$B$10,Paramètres!$A$1:$I$89,5,0)</f>
        <v>-5.1431925385259088E-14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439.19854273764042</v>
      </c>
      <c r="AO161" s="62">
        <f t="shared" si="144"/>
        <v>278.21741231699929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0.2625537103309008</v>
      </c>
      <c r="AW161" s="23">
        <f>EXP(-LN(2)/2)*AW160+(1-EXP(-LN(2)/2))/(LN(2)/2)*AQ161*AT161*VLOOKUP('Données projet'!$B$10,Paramètres!$A$1:$I$89,3,0)*0.475*44/12</f>
        <v>8.082605030449351E-19</v>
      </c>
      <c r="AX161" s="23">
        <f t="shared" si="166"/>
        <v>0.2625537103309008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-2.8421709430404007E-13</v>
      </c>
      <c r="BE161" s="14">
        <f>BD161*VLOOKUP('Données projet'!$B$11,Paramètres!$A$1:$I$89,3,0)*VLOOKUP('Données projet'!$B$11,Paramètres!$A$1:$I$89,5,0)</f>
        <v>-2.2612312022829427E-13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352.88510024787888</v>
      </c>
      <c r="BJ161" s="62">
        <f t="shared" si="146"/>
        <v>343.77208530767069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0.3534293384043416</v>
      </c>
      <c r="BR161" s="23">
        <f>EXP(-LN(2)/2)*BR160+(1-EXP(-LN(2)/2))/(LN(2)/2)*BL161*BO161*VLOOKUP('Données projet'!$B$11,Paramètres!$A$1:$I$89,3,0)*0.475*44/12</f>
        <v>2.1400449386897229E-20</v>
      </c>
      <c r="BS161" s="24">
        <f t="shared" si="169"/>
        <v>0.3534293384043416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-2.8421709430404007E-13</v>
      </c>
      <c r="BZ161" s="14">
        <f>BY161*VLOOKUP('Données projet'!$B$12,Paramètres!$A$1:$I$89,3,0)*VLOOKUP('Données projet'!$B$12,Paramètres!$A$1:$I$89,5,0)</f>
        <v>-2.0838797354372215E-13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328.10411227536315</v>
      </c>
      <c r="CE161" s="62">
        <f t="shared" si="148"/>
        <v>320.24200483294322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0.71963852953805052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0.71963852953805052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5.6843418860808015E-14</v>
      </c>
      <c r="CU161" s="18">
        <f>CT161*VLOOKUP('Données projet'!$B$13,Paramètres!$A$1:$I$89,3,0)*VLOOKUP('Données projet'!$B$13,Paramètres!$A$1:$I$89,5,0)</f>
        <v>4.4337866711430253E-14</v>
      </c>
      <c r="CV161" s="14">
        <f t="shared" si="173"/>
        <v>7.3222115536967035E-13</v>
      </c>
      <c r="CW161" s="22">
        <f t="shared" si="174"/>
        <v>1.3525069634579169E-12</v>
      </c>
      <c r="CX161" s="62">
        <f t="shared" si="122"/>
        <v>293.33333333333468</v>
      </c>
      <c r="CY161" s="62">
        <f ca="1">AVERAGE(OFFSET($CX$3,0,0,'Données projet'!$E$13+1,1))-AVERAGE(OFFSET($H$3,0,0,'Données projet'!$E$13+1,1))</f>
        <v>288.82868507674738</v>
      </c>
      <c r="CZ161" s="62">
        <f t="shared" si="150"/>
        <v>283.48738729114024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0.80917869371538931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0.80917869371538931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>
        <f>DO161*VLOOKUP('Données projet'!$B$14,Paramètres!$A$1:$I$89,3,0)*VLOOKUP('Données projet'!$B$14,Paramètres!$A$1:$I$89,5,0)</f>
        <v>0</v>
      </c>
      <c r="DQ161" s="14" t="e">
        <f t="shared" si="176"/>
        <v>#NUM!</v>
      </c>
      <c r="DR161" s="22" t="e">
        <f t="shared" si="177"/>
        <v>#NUM!</v>
      </c>
      <c r="DS161" s="62" t="e">
        <f t="shared" si="125"/>
        <v>#NUM!</v>
      </c>
      <c r="DT161" s="62">
        <f ca="1">AVERAGE(OFFSET($DS$3,0,0,'Données projet'!$E$14+1,1))-AVERAGE(OFFSET($H$3,0,0,'Données projet'!$E$14+1,1))</f>
        <v>487.04124684635974</v>
      </c>
      <c r="DU161" s="62">
        <f t="shared" si="152"/>
        <v>306.61893266146666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0.97057357589622817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0.97057357589622817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>
        <f>EJ161*VLOOKUP('Données projet'!$B$15,Paramètres!$A$1:$I$89,3,0)*VLOOKUP('Données projet'!$B$15,Paramètres!$A$1:$I$89,5,0)</f>
        <v>0</v>
      </c>
      <c r="EL161" s="14" t="e">
        <f t="shared" si="179"/>
        <v>#NUM!</v>
      </c>
      <c r="EM161" s="22" t="e">
        <f t="shared" si="180"/>
        <v>#NUM!</v>
      </c>
      <c r="EN161" s="62" t="e">
        <f t="shared" si="128"/>
        <v>#NUM!</v>
      </c>
      <c r="EO161" s="62">
        <f ca="1">AVERAGE(OFFSET($EN$3,0,0,'Données projet'!$E$15+1,1))-AVERAGE(OFFSET($H$3,0,0,'Données projet'!$E$15+1,1))</f>
        <v>459.64120566196812</v>
      </c>
      <c r="EP161" s="62">
        <f t="shared" si="154"/>
        <v>290.39826583283588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0.91084597122569122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0.91084597122569122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>
        <f>FE161*VLOOKUP('Données projet'!$B$16,Paramètres!$A$1:$I$89,3,0)*VLOOKUP('Données projet'!$B$16,Paramètres!$A$1:$I$89,5,0)</f>
        <v>0</v>
      </c>
      <c r="FG161" s="14" t="e">
        <f t="shared" si="182"/>
        <v>#NUM!</v>
      </c>
      <c r="FH161" s="22" t="e">
        <f t="shared" si="183"/>
        <v>#NUM!</v>
      </c>
      <c r="FI161" s="62" t="e">
        <f t="shared" si="131"/>
        <v>#NUM!</v>
      </c>
      <c r="FJ161" s="62">
        <f ca="1">AVERAGE(OFFSET($FI$3,0,0,'Données projet'!$E$16+1,1))-AVERAGE(OFFSET($H$3,0,0,'Données projet'!$E$16+1,1))</f>
        <v>335.83558218229564</v>
      </c>
      <c r="FK161" s="62">
        <f t="shared" si="156"/>
        <v>217.08423061559648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0</v>
      </c>
      <c r="FR161" s="23">
        <f>EXP(-LN(2)/25)*FR160+(1-EXP(-LN(2)/25))/(LN(2)/25)*Calculateur!FM161*Calculateur!FO161*VLOOKUP('Données projet'!$B$16,Paramètres!$A$1:$I$89,3,0)*0.475*44/12</f>
        <v>0.2399197697851336</v>
      </c>
      <c r="FS161" s="23">
        <f>EXP(-LN(2)/2)*FS160+(1-EXP(-LN(2)/2))/(LN(2)/2)*FM161*FP161*VLOOKUP('Données projet'!$B$16,Paramètres!$A$1:$I$89,3,0)*0.475*44/12</f>
        <v>5.9922761432642225E-19</v>
      </c>
      <c r="FT161" s="24">
        <f t="shared" si="184"/>
        <v>0.2399197697851336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1.9895196601282805E-13</v>
      </c>
      <c r="O162" s="14">
        <f>N162*VLOOKUP('Données projet'!$B$9,Paramètres!$A$1:$I$89,3,0)*VLOOKUP('Données projet'!$B$9,Paramètres!$A$1:$I$89,5,0)</f>
        <v>1.738044375088066E-13</v>
      </c>
      <c r="P162" s="14">
        <f t="shared" si="141"/>
        <v>2.4483293633950478E-12</v>
      </c>
      <c r="Q162" s="22">
        <f t="shared" si="162"/>
        <v>4.566883036574213E-12</v>
      </c>
      <c r="R162" s="62">
        <f t="shared" si="109"/>
        <v>293.33333333333786</v>
      </c>
      <c r="S162" s="62">
        <f ca="1">AVERAGE(OFFSET($R$3,0,0,'Données projet'!$E$9+1,1))-AVERAGE(OFFSET($H$3,0,0,'Données projet'!$E$9+1,1))</f>
        <v>321.23599968992932</v>
      </c>
      <c r="T162" s="62">
        <f t="shared" si="142"/>
        <v>388.05195847800502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0.71550410788835828</v>
      </c>
      <c r="AB162" s="23">
        <f>EXP(-LN(2)/2)*AB161+(1-EXP(-LN(2)/2))/(LN(2)/2)*V162*Y162*VLOOKUP('Données projet'!$B$9,Paramètres!$A$1:$I$89,3,0)*0.475*44/12</f>
        <v>7.0019791472318094E-19</v>
      </c>
      <c r="AC162" s="24">
        <f t="shared" si="163"/>
        <v>0.71550410788835828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-5.6843418860808015E-14</v>
      </c>
      <c r="AJ162" s="14">
        <f>AI162*VLOOKUP('Données projet'!$B$10,Paramètres!$A$1:$I$89,3,0)*VLOOKUP('Données projet'!$B$10,Paramètres!$A$1:$I$89,5,0)</f>
        <v>-5.1431925385259088E-14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439.19854273764042</v>
      </c>
      <c r="AO162" s="62">
        <f t="shared" si="144"/>
        <v>278.21741231699929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0.25537416531480278</v>
      </c>
      <c r="AW162" s="23">
        <f>EXP(-LN(2)/2)*AW161+(1-EXP(-LN(2)/2))/(LN(2)/2)*AQ162*AT162*VLOOKUP('Données projet'!$B$10,Paramètres!$A$1:$I$89,3,0)*0.475*44/12</f>
        <v>5.7152648266832375E-19</v>
      </c>
      <c r="AX162" s="23">
        <f t="shared" si="166"/>
        <v>0.25537416531480278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-2.8421709430404007E-13</v>
      </c>
      <c r="BE162" s="14">
        <f>BD162*VLOOKUP('Données projet'!$B$11,Paramètres!$A$1:$I$89,3,0)*VLOOKUP('Données projet'!$B$11,Paramètres!$A$1:$I$89,5,0)</f>
        <v>-2.2612312022829427E-13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352.88510024787888</v>
      </c>
      <c r="BJ162" s="62">
        <f t="shared" si="146"/>
        <v>343.77208530767069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0.34376479455963377</v>
      </c>
      <c r="BR162" s="23">
        <f>EXP(-LN(2)/2)*BR161+(1-EXP(-LN(2)/2))/(LN(2)/2)*BL162*BO162*VLOOKUP('Données projet'!$B$11,Paramètres!$A$1:$I$89,3,0)*0.475*44/12</f>
        <v>1.5132402881914524E-20</v>
      </c>
      <c r="BS162" s="24">
        <f t="shared" si="169"/>
        <v>0.34376479455963377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-2.8421709430404007E-13</v>
      </c>
      <c r="BZ162" s="14">
        <f>BY162*VLOOKUP('Données projet'!$B$12,Paramètres!$A$1:$I$89,3,0)*VLOOKUP('Données projet'!$B$12,Paramètres!$A$1:$I$89,5,0)</f>
        <v>-2.0838797354372215E-13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328.10411227536315</v>
      </c>
      <c r="CE162" s="62">
        <f t="shared" si="148"/>
        <v>320.24200483294322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0.70552685690997097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0.70552685690997097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5.6843418860808015E-14</v>
      </c>
      <c r="CU162" s="18">
        <f>CT162*VLOOKUP('Données projet'!$B$13,Paramètres!$A$1:$I$89,3,0)*VLOOKUP('Données projet'!$B$13,Paramètres!$A$1:$I$89,5,0)</f>
        <v>4.4337866711430253E-14</v>
      </c>
      <c r="CV162" s="14">
        <f t="shared" si="173"/>
        <v>7.3222115536967035E-13</v>
      </c>
      <c r="CW162" s="22">
        <f t="shared" si="174"/>
        <v>1.3525069634579169E-12</v>
      </c>
      <c r="CX162" s="62">
        <f t="shared" si="122"/>
        <v>293.33333333333468</v>
      </c>
      <c r="CY162" s="62">
        <f ca="1">AVERAGE(OFFSET($CX$3,0,0,'Données projet'!$E$13+1,1))-AVERAGE(OFFSET($H$3,0,0,'Données projet'!$E$13+1,1))</f>
        <v>288.82868507674738</v>
      </c>
      <c r="CZ162" s="62">
        <f t="shared" si="150"/>
        <v>283.48738729114024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0.79331119308189968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0.79331119308189968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>
        <f>DO162*VLOOKUP('Données projet'!$B$14,Paramètres!$A$1:$I$89,3,0)*VLOOKUP('Données projet'!$B$14,Paramètres!$A$1:$I$89,5,0)</f>
        <v>0</v>
      </c>
      <c r="DQ162" s="14" t="e">
        <f t="shared" si="176"/>
        <v>#NUM!</v>
      </c>
      <c r="DR162" s="22" t="e">
        <f t="shared" si="177"/>
        <v>#NUM!</v>
      </c>
      <c r="DS162" s="62" t="e">
        <f t="shared" si="125"/>
        <v>#NUM!</v>
      </c>
      <c r="DT162" s="62">
        <f ca="1">AVERAGE(OFFSET($DS$3,0,0,'Données projet'!$E$14+1,1))-AVERAGE(OFFSET($H$3,0,0,'Données projet'!$E$14+1,1))</f>
        <v>487.04124684635974</v>
      </c>
      <c r="DU162" s="62">
        <f t="shared" si="152"/>
        <v>306.61893266146666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0.95154122006433017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0.95154122006433017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>
        <f>EJ162*VLOOKUP('Données projet'!$B$15,Paramètres!$A$1:$I$89,3,0)*VLOOKUP('Données projet'!$B$15,Paramètres!$A$1:$I$89,5,0)</f>
        <v>0</v>
      </c>
      <c r="EL162" s="14" t="e">
        <f t="shared" si="179"/>
        <v>#NUM!</v>
      </c>
      <c r="EM162" s="22" t="e">
        <f t="shared" si="180"/>
        <v>#NUM!</v>
      </c>
      <c r="EN162" s="62" t="e">
        <f t="shared" si="128"/>
        <v>#NUM!</v>
      </c>
      <c r="EO162" s="62">
        <f ca="1">AVERAGE(OFFSET($EN$3,0,0,'Données projet'!$E$15+1,1))-AVERAGE(OFFSET($H$3,0,0,'Données projet'!$E$15+1,1))</f>
        <v>459.64120566196812</v>
      </c>
      <c r="EP162" s="62">
        <f t="shared" si="154"/>
        <v>290.39826583283588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0.89298483729114075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0.89298483729114075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>
        <f>FE162*VLOOKUP('Données projet'!$B$16,Paramètres!$A$1:$I$89,3,0)*VLOOKUP('Données projet'!$B$16,Paramètres!$A$1:$I$89,5,0)</f>
        <v>0</v>
      </c>
      <c r="FG162" s="14" t="e">
        <f t="shared" si="182"/>
        <v>#NUM!</v>
      </c>
      <c r="FH162" s="22" t="e">
        <f t="shared" si="183"/>
        <v>#NUM!</v>
      </c>
      <c r="FI162" s="62" t="e">
        <f t="shared" si="131"/>
        <v>#NUM!</v>
      </c>
      <c r="FJ162" s="62">
        <f ca="1">AVERAGE(OFFSET($FI$3,0,0,'Données projet'!$E$16+1,1))-AVERAGE(OFFSET($H$3,0,0,'Données projet'!$E$16+1,1))</f>
        <v>335.83558218229564</v>
      </c>
      <c r="FK162" s="62">
        <f t="shared" si="156"/>
        <v>217.08423061559648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0</v>
      </c>
      <c r="FR162" s="23">
        <f>EXP(-LN(2)/25)*FR161+(1-EXP(-LN(2)/25))/(LN(2)/25)*Calculateur!FM162*Calculateur!FO162*VLOOKUP('Données projet'!$B$16,Paramètres!$A$1:$I$89,3,0)*0.475*44/12</f>
        <v>0.23335915106352678</v>
      </c>
      <c r="FS162" s="23">
        <f>EXP(-LN(2)/2)*FS161+(1-EXP(-LN(2)/2))/(LN(2)/2)*FM162*FP162*VLOOKUP('Données projet'!$B$16,Paramètres!$A$1:$I$89,3,0)*0.475*44/12</f>
        <v>4.2371790956445035E-19</v>
      </c>
      <c r="FT162" s="24">
        <f t="shared" si="184"/>
        <v>0.23335915106352678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1.9895196601282805E-13</v>
      </c>
      <c r="O163" s="14">
        <f>N163*VLOOKUP('Données projet'!$B$9,Paramètres!$A$1:$I$89,3,0)*VLOOKUP('Données projet'!$B$9,Paramètres!$A$1:$I$89,5,0)</f>
        <v>1.738044375088066E-13</v>
      </c>
      <c r="P163" s="14">
        <f t="shared" si="141"/>
        <v>2.4483293633950478E-12</v>
      </c>
      <c r="Q163" s="22">
        <f t="shared" si="162"/>
        <v>4.566883036574213E-12</v>
      </c>
      <c r="R163" s="62">
        <f t="shared" si="109"/>
        <v>293.33333333333786</v>
      </c>
      <c r="S163" s="62">
        <f ca="1">AVERAGE(OFFSET($R$3,0,0,'Données projet'!$E$9+1,1))-AVERAGE(OFFSET($H$3,0,0,'Données projet'!$E$9+1,1))</f>
        <v>321.23599968992932</v>
      </c>
      <c r="T163" s="62">
        <f t="shared" si="142"/>
        <v>388.05195847800502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0.69593861043142535</v>
      </c>
      <c r="AB163" s="23">
        <f>EXP(-LN(2)/2)*AB162+(1-EXP(-LN(2)/2))/(LN(2)/2)*V163*Y163*VLOOKUP('Données projet'!$B$9,Paramètres!$A$1:$I$89,3,0)*0.475*44/12</f>
        <v>4.9511469367344115E-19</v>
      </c>
      <c r="AC163" s="24">
        <f t="shared" si="163"/>
        <v>0.69593861043142535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-5.6843418860808015E-14</v>
      </c>
      <c r="AJ163" s="14">
        <f>AI163*VLOOKUP('Données projet'!$B$10,Paramètres!$A$1:$I$89,3,0)*VLOOKUP('Données projet'!$B$10,Paramètres!$A$1:$I$89,5,0)</f>
        <v>-5.1431925385259088E-14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439.19854273764042</v>
      </c>
      <c r="AO163" s="62">
        <f t="shared" si="144"/>
        <v>278.21741231699929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0.2483909453347258</v>
      </c>
      <c r="AW163" s="23">
        <f>EXP(-LN(2)/2)*AW162+(1-EXP(-LN(2)/2))/(LN(2)/2)*AQ163*AT163*VLOOKUP('Données projet'!$B$10,Paramètres!$A$1:$I$89,3,0)*0.475*44/12</f>
        <v>4.0413025152246755E-19</v>
      </c>
      <c r="AX163" s="23">
        <f t="shared" si="166"/>
        <v>0.2483909453347258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-2.8421709430404007E-13</v>
      </c>
      <c r="BE163" s="14">
        <f>BD163*VLOOKUP('Données projet'!$B$11,Paramètres!$A$1:$I$89,3,0)*VLOOKUP('Données projet'!$B$11,Paramètres!$A$1:$I$89,5,0)</f>
        <v>-2.2612312022829427E-13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352.88510024787888</v>
      </c>
      <c r="BJ163" s="62">
        <f t="shared" si="146"/>
        <v>343.77208530767069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0.33436452817459572</v>
      </c>
      <c r="BR163" s="23">
        <f>EXP(-LN(2)/2)*BR162+(1-EXP(-LN(2)/2))/(LN(2)/2)*BL163*BO163*VLOOKUP('Données projet'!$B$11,Paramètres!$A$1:$I$89,3,0)*0.475*44/12</f>
        <v>1.0700224693448615E-20</v>
      </c>
      <c r="BS163" s="24">
        <f t="shared" si="169"/>
        <v>0.33436452817459572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-2.8421709430404007E-13</v>
      </c>
      <c r="BZ163" s="14">
        <f>BY163*VLOOKUP('Données projet'!$B$12,Paramètres!$A$1:$I$89,3,0)*VLOOKUP('Données projet'!$B$12,Paramètres!$A$1:$I$89,5,0)</f>
        <v>-2.0838797354372215E-13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328.10411227536315</v>
      </c>
      <c r="CE163" s="62">
        <f t="shared" si="148"/>
        <v>320.24200483294322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0.69169190557485771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0.69169190557485771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5.6843418860808015E-14</v>
      </c>
      <c r="CU163" s="18">
        <f>CT163*VLOOKUP('Données projet'!$B$13,Paramètres!$A$1:$I$89,3,0)*VLOOKUP('Données projet'!$B$13,Paramètres!$A$1:$I$89,5,0)</f>
        <v>4.4337866711430253E-14</v>
      </c>
      <c r="CV163" s="14">
        <f t="shared" si="173"/>
        <v>7.3222115536967035E-13</v>
      </c>
      <c r="CW163" s="22">
        <f t="shared" si="174"/>
        <v>1.3525069634579169E-12</v>
      </c>
      <c r="CX163" s="62">
        <f t="shared" si="122"/>
        <v>293.33333333333468</v>
      </c>
      <c r="CY163" s="62">
        <f ca="1">AVERAGE(OFFSET($CX$3,0,0,'Données projet'!$E$13+1,1))-AVERAGE(OFFSET($H$3,0,0,'Données projet'!$E$13+1,1))</f>
        <v>288.82868507674738</v>
      </c>
      <c r="CZ163" s="62">
        <f t="shared" si="150"/>
        <v>283.48738729114024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0.777754844457613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0.777754844457613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>
        <f>DO163*VLOOKUP('Données projet'!$B$14,Paramètres!$A$1:$I$89,3,0)*VLOOKUP('Données projet'!$B$14,Paramètres!$A$1:$I$89,5,0)</f>
        <v>0</v>
      </c>
      <c r="DQ163" s="14" t="e">
        <f t="shared" si="176"/>
        <v>#NUM!</v>
      </c>
      <c r="DR163" s="22" t="e">
        <f t="shared" si="177"/>
        <v>#NUM!</v>
      </c>
      <c r="DS163" s="62" t="e">
        <f t="shared" si="125"/>
        <v>#NUM!</v>
      </c>
      <c r="DT163" s="62">
        <f ca="1">AVERAGE(OFFSET($DS$3,0,0,'Données projet'!$E$14+1,1))-AVERAGE(OFFSET($H$3,0,0,'Données projet'!$E$14+1,1))</f>
        <v>487.04124684635974</v>
      </c>
      <c r="DU163" s="62">
        <f t="shared" si="152"/>
        <v>306.61893266146666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0.9328820771217049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0.9328820771217049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>
        <f>EJ163*VLOOKUP('Données projet'!$B$15,Paramètres!$A$1:$I$89,3,0)*VLOOKUP('Données projet'!$B$15,Paramètres!$A$1:$I$89,5,0)</f>
        <v>0</v>
      </c>
      <c r="EL163" s="14" t="e">
        <f t="shared" si="179"/>
        <v>#NUM!</v>
      </c>
      <c r="EM163" s="22" t="e">
        <f t="shared" si="180"/>
        <v>#NUM!</v>
      </c>
      <c r="EN163" s="62" t="e">
        <f t="shared" si="128"/>
        <v>#NUM!</v>
      </c>
      <c r="EO163" s="62">
        <f ca="1">AVERAGE(OFFSET($EN$3,0,0,'Données projet'!$E$15+1,1))-AVERAGE(OFFSET($H$3,0,0,'Données projet'!$E$15+1,1))</f>
        <v>459.64120566196812</v>
      </c>
      <c r="EP163" s="62">
        <f t="shared" si="154"/>
        <v>290.39826583283588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0.87547394929883082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0.87547394929883082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>
        <f>FE163*VLOOKUP('Données projet'!$B$16,Paramètres!$A$1:$I$89,3,0)*VLOOKUP('Données projet'!$B$16,Paramètres!$A$1:$I$89,5,0)</f>
        <v>0</v>
      </c>
      <c r="FG163" s="14" t="e">
        <f t="shared" si="182"/>
        <v>#NUM!</v>
      </c>
      <c r="FH163" s="22" t="e">
        <f t="shared" si="183"/>
        <v>#NUM!</v>
      </c>
      <c r="FI163" s="62" t="e">
        <f t="shared" si="131"/>
        <v>#NUM!</v>
      </c>
      <c r="FJ163" s="62">
        <f ca="1">AVERAGE(OFFSET($FI$3,0,0,'Données projet'!$E$16+1,1))-AVERAGE(OFFSET($H$3,0,0,'Données projet'!$E$16+1,1))</f>
        <v>335.83558218229564</v>
      </c>
      <c r="FK163" s="62">
        <f t="shared" si="156"/>
        <v>217.08423061559648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0</v>
      </c>
      <c r="FR163" s="23">
        <f>EXP(-LN(2)/25)*FR162+(1-EXP(-LN(2)/25))/(LN(2)/25)*Calculateur!FM163*Calculateur!FO163*VLOOKUP('Données projet'!$B$16,Paramètres!$A$1:$I$89,3,0)*0.475*44/12</f>
        <v>0.22697793280587023</v>
      </c>
      <c r="FS163" s="23">
        <f>EXP(-LN(2)/2)*FS162+(1-EXP(-LN(2)/2))/(LN(2)/2)*FM163*FP163*VLOOKUP('Données projet'!$B$16,Paramètres!$A$1:$I$89,3,0)*0.475*44/12</f>
        <v>2.9961380716321112E-19</v>
      </c>
      <c r="FT163" s="24">
        <f t="shared" si="184"/>
        <v>0.22697793280587023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1.9895196601282805E-13</v>
      </c>
      <c r="O164" s="14">
        <f>N164*VLOOKUP('Données projet'!$B$9,Paramètres!$A$1:$I$89,3,0)*VLOOKUP('Données projet'!$B$9,Paramètres!$A$1:$I$89,5,0)</f>
        <v>1.738044375088066E-13</v>
      </c>
      <c r="P164" s="14">
        <f t="shared" si="141"/>
        <v>2.4483293633950478E-12</v>
      </c>
      <c r="Q164" s="22">
        <f t="shared" si="162"/>
        <v>4.566883036574213E-12</v>
      </c>
      <c r="R164" s="62">
        <f t="shared" si="109"/>
        <v>293.33333333333786</v>
      </c>
      <c r="S164" s="62">
        <f ca="1">AVERAGE(OFFSET($R$3,0,0,'Données projet'!$E$9+1,1))-AVERAGE(OFFSET($H$3,0,0,'Données projet'!$E$9+1,1))</f>
        <v>321.23599968992932</v>
      </c>
      <c r="T164" s="62">
        <f t="shared" si="142"/>
        <v>388.05195847800502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0.67690813253135707</v>
      </c>
      <c r="AB164" s="23">
        <f>EXP(-LN(2)/2)*AB163+(1-EXP(-LN(2)/2))/(LN(2)/2)*V164*Y164*VLOOKUP('Données projet'!$B$9,Paramètres!$A$1:$I$89,3,0)*0.475*44/12</f>
        <v>3.5009895736159047E-19</v>
      </c>
      <c r="AC164" s="24">
        <f t="shared" si="163"/>
        <v>0.67690813253135707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-5.6843418860808015E-14</v>
      </c>
      <c r="AJ164" s="14">
        <f>AI164*VLOOKUP('Données projet'!$B$10,Paramètres!$A$1:$I$89,3,0)*VLOOKUP('Données projet'!$B$10,Paramètres!$A$1:$I$89,5,0)</f>
        <v>-5.1431925385259088E-14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439.19854273764042</v>
      </c>
      <c r="AO164" s="62">
        <f t="shared" si="144"/>
        <v>278.21741231699929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0.24159868187223563</v>
      </c>
      <c r="AW164" s="23">
        <f>EXP(-LN(2)/2)*AW163+(1-EXP(-LN(2)/2))/(LN(2)/2)*AQ164*AT164*VLOOKUP('Données projet'!$B$10,Paramètres!$A$1:$I$89,3,0)*0.475*44/12</f>
        <v>2.8576324133416187E-19</v>
      </c>
      <c r="AX164" s="23">
        <f t="shared" si="166"/>
        <v>0.24159868187223563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-2.8421709430404007E-13</v>
      </c>
      <c r="BE164" s="14">
        <f>BD164*VLOOKUP('Données projet'!$B$11,Paramètres!$A$1:$I$89,3,0)*VLOOKUP('Données projet'!$B$11,Paramètres!$A$1:$I$89,5,0)</f>
        <v>-2.2612312022829427E-13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352.88510024787888</v>
      </c>
      <c r="BJ164" s="62">
        <f t="shared" si="146"/>
        <v>343.77208530767069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0.32522131256819509</v>
      </c>
      <c r="BR164" s="23">
        <f>EXP(-LN(2)/2)*BR163+(1-EXP(-LN(2)/2))/(LN(2)/2)*BL164*BO164*VLOOKUP('Données projet'!$B$11,Paramètres!$A$1:$I$89,3,0)*0.475*44/12</f>
        <v>7.5662014409572621E-21</v>
      </c>
      <c r="BS164" s="24">
        <f t="shared" si="169"/>
        <v>0.32522131256819509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-2.8421709430404007E-13</v>
      </c>
      <c r="BZ164" s="14">
        <f>BY164*VLOOKUP('Données projet'!$B$12,Paramètres!$A$1:$I$89,3,0)*VLOOKUP('Données projet'!$B$12,Paramètres!$A$1:$I$89,5,0)</f>
        <v>-2.0838797354372215E-13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328.10411227536315</v>
      </c>
      <c r="CE164" s="62">
        <f t="shared" si="148"/>
        <v>320.24200483294322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0.67812824919693893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0.67812824919693893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5.6843418860808015E-14</v>
      </c>
      <c r="CU164" s="18">
        <f>CT164*VLOOKUP('Données projet'!$B$13,Paramètres!$A$1:$I$89,3,0)*VLOOKUP('Données projet'!$B$13,Paramètres!$A$1:$I$89,5,0)</f>
        <v>4.4337866711430253E-14</v>
      </c>
      <c r="CV164" s="14">
        <f t="shared" si="173"/>
        <v>7.3222115536967035E-13</v>
      </c>
      <c r="CW164" s="22">
        <f t="shared" si="174"/>
        <v>1.3525069634579169E-12</v>
      </c>
      <c r="CX164" s="62">
        <f t="shared" si="122"/>
        <v>293.33333333333468</v>
      </c>
      <c r="CY164" s="62">
        <f ca="1">AVERAGE(OFFSET($CX$3,0,0,'Données projet'!$E$13+1,1))-AVERAGE(OFFSET($H$3,0,0,'Données projet'!$E$13+1,1))</f>
        <v>288.82868507674738</v>
      </c>
      <c r="CZ164" s="62">
        <f t="shared" si="150"/>
        <v>283.48738729114024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0.76250354634141282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0.76250354634141282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>
        <f>DO164*VLOOKUP('Données projet'!$B$14,Paramètres!$A$1:$I$89,3,0)*VLOOKUP('Données projet'!$B$14,Paramètres!$A$1:$I$89,5,0)</f>
        <v>0</v>
      </c>
      <c r="DQ164" s="14" t="e">
        <f t="shared" si="176"/>
        <v>#NUM!</v>
      </c>
      <c r="DR164" s="22" t="e">
        <f t="shared" si="177"/>
        <v>#NUM!</v>
      </c>
      <c r="DS164" s="62" t="e">
        <f t="shared" si="125"/>
        <v>#NUM!</v>
      </c>
      <c r="DT164" s="62">
        <f ca="1">AVERAGE(OFFSET($DS$3,0,0,'Données projet'!$E$14+1,1))-AVERAGE(OFFSET($H$3,0,0,'Données projet'!$E$14+1,1))</f>
        <v>487.04124684635974</v>
      </c>
      <c r="DU164" s="62">
        <f t="shared" si="152"/>
        <v>306.61893266146666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0.91458882859123103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0.91458882859123103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>
        <f>EJ164*VLOOKUP('Données projet'!$B$15,Paramètres!$A$1:$I$89,3,0)*VLOOKUP('Données projet'!$B$15,Paramètres!$A$1:$I$89,5,0)</f>
        <v>0</v>
      </c>
      <c r="EL164" s="14" t="e">
        <f t="shared" si="179"/>
        <v>#NUM!</v>
      </c>
      <c r="EM164" s="22" t="e">
        <f t="shared" si="180"/>
        <v>#NUM!</v>
      </c>
      <c r="EN164" s="62" t="e">
        <f t="shared" si="128"/>
        <v>#NUM!</v>
      </c>
      <c r="EO164" s="62">
        <f ca="1">AVERAGE(OFFSET($EN$3,0,0,'Données projet'!$E$15+1,1))-AVERAGE(OFFSET($H$3,0,0,'Données projet'!$E$15+1,1))</f>
        <v>459.64120566196812</v>
      </c>
      <c r="EP164" s="62">
        <f t="shared" si="154"/>
        <v>290.39826583283588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0.85830643913946303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0.85830643913946303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>
        <f>FE164*VLOOKUP('Données projet'!$B$16,Paramètres!$A$1:$I$89,3,0)*VLOOKUP('Données projet'!$B$16,Paramètres!$A$1:$I$89,5,0)</f>
        <v>0</v>
      </c>
      <c r="FG164" s="14" t="e">
        <f t="shared" si="182"/>
        <v>#NUM!</v>
      </c>
      <c r="FH164" s="22" t="e">
        <f t="shared" si="183"/>
        <v>#NUM!</v>
      </c>
      <c r="FI164" s="62" t="e">
        <f t="shared" si="131"/>
        <v>#NUM!</v>
      </c>
      <c r="FJ164" s="62">
        <f ca="1">AVERAGE(OFFSET($FI$3,0,0,'Données projet'!$E$16+1,1))-AVERAGE(OFFSET($H$3,0,0,'Données projet'!$E$16+1,1))</f>
        <v>335.83558218229564</v>
      </c>
      <c r="FK164" s="62">
        <f t="shared" si="156"/>
        <v>217.08423061559648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0</v>
      </c>
      <c r="FR164" s="23">
        <f>EXP(-LN(2)/25)*FR163+(1-EXP(-LN(2)/25))/(LN(2)/25)*Calculateur!FM164*Calculateur!FO164*VLOOKUP('Données projet'!$B$16,Paramètres!$A$1:$I$89,3,0)*0.475*44/12</f>
        <v>0.22077120929704297</v>
      </c>
      <c r="FS164" s="23">
        <f>EXP(-LN(2)/2)*FS163+(1-EXP(-LN(2)/2))/(LN(2)/2)*FM164*FP164*VLOOKUP('Données projet'!$B$16,Paramètres!$A$1:$I$89,3,0)*0.475*44/12</f>
        <v>2.1185895478222518E-19</v>
      </c>
      <c r="FT164" s="24">
        <f t="shared" si="184"/>
        <v>0.22077120929704297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1.9895196601282805E-13</v>
      </c>
      <c r="O165" s="14">
        <f>N165*VLOOKUP('Données projet'!$B$9,Paramètres!$A$1:$I$89,3,0)*VLOOKUP('Données projet'!$B$9,Paramètres!$A$1:$I$89,5,0)</f>
        <v>1.738044375088066E-13</v>
      </c>
      <c r="P165" s="14">
        <f t="shared" si="141"/>
        <v>2.4483293633950478E-12</v>
      </c>
      <c r="Q165" s="22">
        <f t="shared" si="162"/>
        <v>4.566883036574213E-12</v>
      </c>
      <c r="R165" s="62">
        <f t="shared" si="109"/>
        <v>293.33333333333786</v>
      </c>
      <c r="S165" s="62">
        <f ca="1">AVERAGE(OFFSET($R$3,0,0,'Données projet'!$E$9+1,1))-AVERAGE(OFFSET($H$3,0,0,'Données projet'!$E$9+1,1))</f>
        <v>321.23599968992932</v>
      </c>
      <c r="T165" s="62">
        <f t="shared" si="142"/>
        <v>388.05195847800502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0.6583980440502355</v>
      </c>
      <c r="AB165" s="23">
        <f>EXP(-LN(2)/2)*AB164+(1-EXP(-LN(2)/2))/(LN(2)/2)*V165*Y165*VLOOKUP('Données projet'!$B$9,Paramètres!$A$1:$I$89,3,0)*0.475*44/12</f>
        <v>2.4755734683672058E-19</v>
      </c>
      <c r="AC165" s="24">
        <f t="shared" si="163"/>
        <v>0.6583980440502355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-5.6843418860808015E-14</v>
      </c>
      <c r="AJ165" s="14">
        <f>AI165*VLOOKUP('Données projet'!$B$10,Paramètres!$A$1:$I$89,3,0)*VLOOKUP('Données projet'!$B$10,Paramètres!$A$1:$I$89,5,0)</f>
        <v>-5.1431925385259088E-14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439.19854273764042</v>
      </c>
      <c r="AO165" s="62">
        <f t="shared" si="144"/>
        <v>278.21741231699929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0.23499215321131683</v>
      </c>
      <c r="AW165" s="23">
        <f>EXP(-LN(2)/2)*AW164+(1-EXP(-LN(2)/2))/(LN(2)/2)*AQ165*AT165*VLOOKUP('Données projet'!$B$10,Paramètres!$A$1:$I$89,3,0)*0.475*44/12</f>
        <v>2.0206512576123377E-19</v>
      </c>
      <c r="AX165" s="23">
        <f t="shared" si="166"/>
        <v>0.23499215321131683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-2.8421709430404007E-13</v>
      </c>
      <c r="BE165" s="14">
        <f>BD165*VLOOKUP('Données projet'!$B$11,Paramètres!$A$1:$I$89,3,0)*VLOOKUP('Données projet'!$B$11,Paramètres!$A$1:$I$89,5,0)</f>
        <v>-2.2612312022829427E-13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352.88510024787888</v>
      </c>
      <c r="BJ165" s="62">
        <f t="shared" si="146"/>
        <v>343.77208530767069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0.31632811867337229</v>
      </c>
      <c r="BR165" s="23">
        <f>EXP(-LN(2)/2)*BR164+(1-EXP(-LN(2)/2))/(LN(2)/2)*BL165*BO165*VLOOKUP('Données projet'!$B$11,Paramètres!$A$1:$I$89,3,0)*0.475*44/12</f>
        <v>5.3501123467243074E-21</v>
      </c>
      <c r="BS165" s="24">
        <f t="shared" si="169"/>
        <v>0.31632811867337229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-2.8421709430404007E-13</v>
      </c>
      <c r="BZ165" s="14">
        <f>BY165*VLOOKUP('Données projet'!$B$12,Paramètres!$A$1:$I$89,3,0)*VLOOKUP('Données projet'!$B$12,Paramètres!$A$1:$I$89,5,0)</f>
        <v>-2.0838797354372215E-13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328.10411227536315</v>
      </c>
      <c r="CE165" s="62">
        <f t="shared" si="148"/>
        <v>320.24200483294322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0.66483056784757766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0.66483056784757766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5.6843418860808015E-14</v>
      </c>
      <c r="CU165" s="18">
        <f>CT165*VLOOKUP('Données projet'!$B$13,Paramètres!$A$1:$I$89,3,0)*VLOOKUP('Données projet'!$B$13,Paramètres!$A$1:$I$89,5,0)</f>
        <v>4.4337866711430253E-14</v>
      </c>
      <c r="CV165" s="14">
        <f t="shared" si="173"/>
        <v>7.3222115536967035E-13</v>
      </c>
      <c r="CW165" s="22">
        <f t="shared" si="174"/>
        <v>1.3525069634579169E-12</v>
      </c>
      <c r="CX165" s="62">
        <f t="shared" si="122"/>
        <v>293.33333333333468</v>
      </c>
      <c r="CY165" s="62">
        <f ca="1">AVERAGE(OFFSET($CX$3,0,0,'Données projet'!$E$13+1,1))-AVERAGE(OFFSET($H$3,0,0,'Données projet'!$E$13+1,1))</f>
        <v>288.82868507674738</v>
      </c>
      <c r="CZ165" s="62">
        <f t="shared" si="150"/>
        <v>283.48738729114024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0.74755131687889798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0.74755131687889798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>
        <f>DO165*VLOOKUP('Données projet'!$B$14,Paramètres!$A$1:$I$89,3,0)*VLOOKUP('Données projet'!$B$14,Paramètres!$A$1:$I$89,5,0)</f>
        <v>0</v>
      </c>
      <c r="DQ165" s="14" t="e">
        <f t="shared" si="176"/>
        <v>#NUM!</v>
      </c>
      <c r="DR165" s="22" t="e">
        <f t="shared" si="177"/>
        <v>#NUM!</v>
      </c>
      <c r="DS165" s="62" t="e">
        <f t="shared" si="125"/>
        <v>#NUM!</v>
      </c>
      <c r="DT165" s="62">
        <f ca="1">AVERAGE(OFFSET($DS$3,0,0,'Données projet'!$E$14+1,1))-AVERAGE(OFFSET($H$3,0,0,'Données projet'!$E$14+1,1))</f>
        <v>487.04124684635974</v>
      </c>
      <c r="DU165" s="62">
        <f t="shared" si="152"/>
        <v>306.61893266146666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0.89665429950665987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0.89665429950665987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>
        <f>EJ165*VLOOKUP('Données projet'!$B$15,Paramètres!$A$1:$I$89,3,0)*VLOOKUP('Données projet'!$B$15,Paramètres!$A$1:$I$89,5,0)</f>
        <v>0</v>
      </c>
      <c r="EL165" s="14" t="e">
        <f t="shared" si="179"/>
        <v>#NUM!</v>
      </c>
      <c r="EM165" s="22" t="e">
        <f t="shared" si="180"/>
        <v>#NUM!</v>
      </c>
      <c r="EN165" s="62" t="e">
        <f t="shared" si="128"/>
        <v>#NUM!</v>
      </c>
      <c r="EO165" s="62">
        <f ca="1">AVERAGE(OFFSET($EN$3,0,0,'Données projet'!$E$15+1,1))-AVERAGE(OFFSET($H$3,0,0,'Données projet'!$E$15+1,1))</f>
        <v>459.64120566196812</v>
      </c>
      <c r="EP165" s="62">
        <f t="shared" si="154"/>
        <v>290.39826583283588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0.84147557338317325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0.84147557338317325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>
        <f>FE165*VLOOKUP('Données projet'!$B$16,Paramètres!$A$1:$I$89,3,0)*VLOOKUP('Données projet'!$B$16,Paramètres!$A$1:$I$89,5,0)</f>
        <v>0</v>
      </c>
      <c r="FG165" s="14" t="e">
        <f t="shared" si="182"/>
        <v>#NUM!</v>
      </c>
      <c r="FH165" s="22" t="e">
        <f t="shared" si="183"/>
        <v>#NUM!</v>
      </c>
      <c r="FI165" s="62" t="e">
        <f t="shared" si="131"/>
        <v>#NUM!</v>
      </c>
      <c r="FJ165" s="62">
        <f ca="1">AVERAGE(OFFSET($FI$3,0,0,'Données projet'!$E$16+1,1))-AVERAGE(OFFSET($H$3,0,0,'Données projet'!$E$16+1,1))</f>
        <v>335.83558218229564</v>
      </c>
      <c r="FK165" s="62">
        <f t="shared" si="156"/>
        <v>217.08423061559648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0</v>
      </c>
      <c r="FR165" s="23">
        <f>EXP(-LN(2)/25)*FR164+(1-EXP(-LN(2)/25))/(LN(2)/25)*Calculateur!FM165*Calculateur!FO165*VLOOKUP('Données projet'!$B$16,Paramètres!$A$1:$I$89,3,0)*0.475*44/12</f>
        <v>0.214734208968962</v>
      </c>
      <c r="FS165" s="23">
        <f>EXP(-LN(2)/2)*FS164+(1-EXP(-LN(2)/2))/(LN(2)/2)*FM165*FP165*VLOOKUP('Données projet'!$B$16,Paramètres!$A$1:$I$89,3,0)*0.475*44/12</f>
        <v>1.4980690358160556E-19</v>
      </c>
      <c r="FT165" s="24">
        <f t="shared" si="184"/>
        <v>0.214734208968962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1.9895196601282805E-13</v>
      </c>
      <c r="O166" s="14">
        <f>N166*VLOOKUP('Données projet'!$B$9,Paramètres!$A$1:$I$89,3,0)*VLOOKUP('Données projet'!$B$9,Paramètres!$A$1:$I$89,5,0)</f>
        <v>1.738044375088066E-13</v>
      </c>
      <c r="P166" s="14">
        <f t="shared" si="141"/>
        <v>2.4483293633950478E-12</v>
      </c>
      <c r="Q166" s="22">
        <f t="shared" si="162"/>
        <v>4.566883036574213E-12</v>
      </c>
      <c r="R166" s="62">
        <f t="shared" si="109"/>
        <v>293.33333333333786</v>
      </c>
      <c r="S166" s="62">
        <f ca="1">AVERAGE(OFFSET($R$3,0,0,'Données projet'!$E$9+1,1))-AVERAGE(OFFSET($H$3,0,0,'Données projet'!$E$9+1,1))</f>
        <v>321.23599968992932</v>
      </c>
      <c r="T166" s="62">
        <f t="shared" si="142"/>
        <v>388.05195847800502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0.64039411491203346</v>
      </c>
      <c r="AB166" s="23">
        <f>EXP(-LN(2)/2)*AB165+(1-EXP(-LN(2)/2))/(LN(2)/2)*V166*Y166*VLOOKUP('Données projet'!$B$9,Paramètres!$A$1:$I$89,3,0)*0.475*44/12</f>
        <v>1.7504947868079523E-19</v>
      </c>
      <c r="AC166" s="24">
        <f t="shared" si="163"/>
        <v>0.64039411491203346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-5.6843418860808015E-14</v>
      </c>
      <c r="AJ166" s="14">
        <f>AI166*VLOOKUP('Données projet'!$B$10,Paramètres!$A$1:$I$89,3,0)*VLOOKUP('Données projet'!$B$10,Paramètres!$A$1:$I$89,5,0)</f>
        <v>-5.1431925385259088E-14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439.19854273764042</v>
      </c>
      <c r="AO166" s="62">
        <f t="shared" si="144"/>
        <v>278.21741231699929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0.22856628042405311</v>
      </c>
      <c r="AW166" s="23">
        <f>EXP(-LN(2)/2)*AW165+(1-EXP(-LN(2)/2))/(LN(2)/2)*AQ166*AT166*VLOOKUP('Données projet'!$B$10,Paramètres!$A$1:$I$89,3,0)*0.475*44/12</f>
        <v>1.4288162066708094E-19</v>
      </c>
      <c r="AX166" s="23">
        <f t="shared" si="166"/>
        <v>0.22856628042405311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-2.8421709430404007E-13</v>
      </c>
      <c r="BE166" s="14">
        <f>BD166*VLOOKUP('Données projet'!$B$11,Paramètres!$A$1:$I$89,3,0)*VLOOKUP('Données projet'!$B$11,Paramètres!$A$1:$I$89,5,0)</f>
        <v>-2.2612312022829427E-13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352.88510024787888</v>
      </c>
      <c r="BJ166" s="62">
        <f t="shared" si="146"/>
        <v>343.77208530767069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0.30767810963327613</v>
      </c>
      <c r="BR166" s="23">
        <f>EXP(-LN(2)/2)*BR165+(1-EXP(-LN(2)/2))/(LN(2)/2)*BL166*BO166*VLOOKUP('Données projet'!$B$11,Paramètres!$A$1:$I$89,3,0)*0.475*44/12</f>
        <v>3.7831007204786311E-21</v>
      </c>
      <c r="BS166" s="24">
        <f t="shared" si="169"/>
        <v>0.30767810963327613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-2.8421709430404007E-13</v>
      </c>
      <c r="BZ166" s="14">
        <f>BY166*VLOOKUP('Données projet'!$B$12,Paramètres!$A$1:$I$89,3,0)*VLOOKUP('Données projet'!$B$12,Paramètres!$A$1:$I$89,5,0)</f>
        <v>-2.0838797354372215E-13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328.10411227536315</v>
      </c>
      <c r="CE166" s="62">
        <f t="shared" si="148"/>
        <v>320.24200483294322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0.6517936459186926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0.6517936459186926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5.6843418860808015E-14</v>
      </c>
      <c r="CU166" s="18">
        <f>CT166*VLOOKUP('Données projet'!$B$13,Paramètres!$A$1:$I$89,3,0)*VLOOKUP('Données projet'!$B$13,Paramètres!$A$1:$I$89,5,0)</f>
        <v>4.4337866711430253E-14</v>
      </c>
      <c r="CV166" s="14">
        <f t="shared" si="173"/>
        <v>7.3222115536967035E-13</v>
      </c>
      <c r="CW166" s="22">
        <f t="shared" si="174"/>
        <v>1.3525069634579169E-12</v>
      </c>
      <c r="CX166" s="62">
        <f t="shared" si="122"/>
        <v>293.33333333333468</v>
      </c>
      <c r="CY166" s="62">
        <f ca="1">AVERAGE(OFFSET($CX$3,0,0,'Données projet'!$E$13+1,1))-AVERAGE(OFFSET($H$3,0,0,'Données projet'!$E$13+1,1))</f>
        <v>288.82868507674738</v>
      </c>
      <c r="CZ166" s="62">
        <f t="shared" si="150"/>
        <v>283.48738729114024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0.73289229151618362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0.73289229151618362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>
        <f>DO166*VLOOKUP('Données projet'!$B$14,Paramètres!$A$1:$I$89,3,0)*VLOOKUP('Données projet'!$B$14,Paramètres!$A$1:$I$89,5,0)</f>
        <v>0</v>
      </c>
      <c r="DQ166" s="14" t="e">
        <f t="shared" si="176"/>
        <v>#NUM!</v>
      </c>
      <c r="DR166" s="22" t="e">
        <f t="shared" si="177"/>
        <v>#NUM!</v>
      </c>
      <c r="DS166" s="62" t="e">
        <f t="shared" si="125"/>
        <v>#NUM!</v>
      </c>
      <c r="DT166" s="62">
        <f ca="1">AVERAGE(OFFSET($DS$3,0,0,'Données projet'!$E$14+1,1))-AVERAGE(OFFSET($H$3,0,0,'Données projet'!$E$14+1,1))</f>
        <v>487.04124684635974</v>
      </c>
      <c r="DU166" s="62">
        <f t="shared" si="152"/>
        <v>306.61893266146666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0.87907145559845457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0.87907145559845457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>
        <f>EJ166*VLOOKUP('Données projet'!$B$15,Paramètres!$A$1:$I$89,3,0)*VLOOKUP('Données projet'!$B$15,Paramètres!$A$1:$I$89,5,0)</f>
        <v>0</v>
      </c>
      <c r="EL166" s="14" t="e">
        <f t="shared" si="179"/>
        <v>#NUM!</v>
      </c>
      <c r="EM166" s="22" t="e">
        <f t="shared" si="180"/>
        <v>#NUM!</v>
      </c>
      <c r="EN166" s="62" t="e">
        <f t="shared" si="128"/>
        <v>#NUM!</v>
      </c>
      <c r="EO166" s="62">
        <f ca="1">AVERAGE(OFFSET($EN$3,0,0,'Données projet'!$E$15+1,1))-AVERAGE(OFFSET($H$3,0,0,'Données projet'!$E$15+1,1))</f>
        <v>459.64120566196812</v>
      </c>
      <c r="EP166" s="62">
        <f t="shared" si="154"/>
        <v>290.39826583283588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0.82497475063854986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0.82497475063854986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>
        <f>FE166*VLOOKUP('Données projet'!$B$16,Paramètres!$A$1:$I$89,3,0)*VLOOKUP('Données projet'!$B$16,Paramètres!$A$1:$I$89,5,0)</f>
        <v>0</v>
      </c>
      <c r="FG166" s="14" t="e">
        <f t="shared" si="182"/>
        <v>#NUM!</v>
      </c>
      <c r="FH166" s="22" t="e">
        <f t="shared" si="183"/>
        <v>#NUM!</v>
      </c>
      <c r="FI166" s="62" t="e">
        <f t="shared" si="131"/>
        <v>#NUM!</v>
      </c>
      <c r="FJ166" s="62">
        <f ca="1">AVERAGE(OFFSET($FI$3,0,0,'Données projet'!$E$16+1,1))-AVERAGE(OFFSET($H$3,0,0,'Données projet'!$E$16+1,1))</f>
        <v>335.83558218229564</v>
      </c>
      <c r="FK166" s="62">
        <f t="shared" si="156"/>
        <v>217.08423061559648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0</v>
      </c>
      <c r="FR166" s="23">
        <f>EXP(-LN(2)/25)*FR165+(1-EXP(-LN(2)/25))/(LN(2)/25)*Calculateur!FM166*Calculateur!FO166*VLOOKUP('Données projet'!$B$16,Paramètres!$A$1:$I$89,3,0)*0.475*44/12</f>
        <v>0.20886229073232446</v>
      </c>
      <c r="FS166" s="23">
        <f>EXP(-LN(2)/2)*FS165+(1-EXP(-LN(2)/2))/(LN(2)/2)*FM166*FP166*VLOOKUP('Données projet'!$B$16,Paramètres!$A$1:$I$89,3,0)*0.475*44/12</f>
        <v>1.0592947739111259E-19</v>
      </c>
      <c r="FT166" s="24">
        <f t="shared" si="184"/>
        <v>0.20886229073232446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1.9895196601282805E-13</v>
      </c>
      <c r="O167" s="14">
        <f>N167*VLOOKUP('Données projet'!$B$9,Paramètres!$A$1:$I$89,3,0)*VLOOKUP('Données projet'!$B$9,Paramètres!$A$1:$I$89,5,0)</f>
        <v>1.738044375088066E-13</v>
      </c>
      <c r="P167" s="14">
        <f t="shared" si="141"/>
        <v>2.4483293633950478E-12</v>
      </c>
      <c r="Q167" s="22">
        <f t="shared" si="162"/>
        <v>4.566883036574213E-12</v>
      </c>
      <c r="R167" s="62">
        <f t="shared" si="109"/>
        <v>293.33333333333786</v>
      </c>
      <c r="S167" s="62">
        <f ca="1">AVERAGE(OFFSET($R$3,0,0,'Données projet'!$E$9+1,1))-AVERAGE(OFFSET($H$3,0,0,'Données projet'!$E$9+1,1))</f>
        <v>321.23599968992932</v>
      </c>
      <c r="T167" s="62">
        <f t="shared" si="142"/>
        <v>388.05195847800502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0.62288250416290103</v>
      </c>
      <c r="AB167" s="23">
        <f>EXP(-LN(2)/2)*AB166+(1-EXP(-LN(2)/2))/(LN(2)/2)*V167*Y167*VLOOKUP('Données projet'!$B$9,Paramètres!$A$1:$I$89,3,0)*0.475*44/12</f>
        <v>1.2377867341836029E-19</v>
      </c>
      <c r="AC167" s="24">
        <f t="shared" si="163"/>
        <v>0.62288250416290103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-5.6843418860808015E-14</v>
      </c>
      <c r="AJ167" s="14">
        <f>AI167*VLOOKUP('Données projet'!$B$10,Paramètres!$A$1:$I$89,3,0)*VLOOKUP('Données projet'!$B$10,Paramètres!$A$1:$I$89,5,0)</f>
        <v>-5.1431925385259088E-14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439.19854273764042</v>
      </c>
      <c r="AO167" s="62">
        <f t="shared" si="144"/>
        <v>278.21741231699929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0.2223161234660791</v>
      </c>
      <c r="AW167" s="23">
        <f>EXP(-LN(2)/2)*AW166+(1-EXP(-LN(2)/2))/(LN(2)/2)*AQ167*AT167*VLOOKUP('Données projet'!$B$10,Paramètres!$A$1:$I$89,3,0)*0.475*44/12</f>
        <v>1.0103256288061689E-19</v>
      </c>
      <c r="AX167" s="23">
        <f t="shared" si="166"/>
        <v>0.2223161234660791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-2.8421709430404007E-13</v>
      </c>
      <c r="BE167" s="14">
        <f>BD167*VLOOKUP('Données projet'!$B$11,Paramètres!$A$1:$I$89,3,0)*VLOOKUP('Données projet'!$B$11,Paramètres!$A$1:$I$89,5,0)</f>
        <v>-2.2612312022829427E-13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352.88510024787888</v>
      </c>
      <c r="BJ167" s="62">
        <f t="shared" si="146"/>
        <v>343.77208530767069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0.29926463554526561</v>
      </c>
      <c r="BR167" s="23">
        <f>EXP(-LN(2)/2)*BR166+(1-EXP(-LN(2)/2))/(LN(2)/2)*BL167*BO167*VLOOKUP('Données projet'!$B$11,Paramètres!$A$1:$I$89,3,0)*0.475*44/12</f>
        <v>2.6750561733621537E-21</v>
      </c>
      <c r="BS167" s="24">
        <f t="shared" si="169"/>
        <v>0.29926463554526561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-2.8421709430404007E-13</v>
      </c>
      <c r="BZ167" s="14">
        <f>BY167*VLOOKUP('Données projet'!$B$12,Paramètres!$A$1:$I$89,3,0)*VLOOKUP('Données projet'!$B$12,Paramètres!$A$1:$I$89,5,0)</f>
        <v>-2.0838797354372215E-13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328.10411227536315</v>
      </c>
      <c r="CE167" s="62">
        <f t="shared" si="148"/>
        <v>320.24200483294322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0.63901237007709577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0.63901237007709577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5.6843418860808015E-14</v>
      </c>
      <c r="CU167" s="18">
        <f>CT167*VLOOKUP('Données projet'!$B$13,Paramètres!$A$1:$I$89,3,0)*VLOOKUP('Données projet'!$B$13,Paramètres!$A$1:$I$89,5,0)</f>
        <v>4.4337866711430253E-14</v>
      </c>
      <c r="CV167" s="14">
        <f t="shared" si="173"/>
        <v>7.3222115536967035E-13</v>
      </c>
      <c r="CW167" s="22">
        <f t="shared" si="174"/>
        <v>1.3525069634579169E-12</v>
      </c>
      <c r="CX167" s="62">
        <f t="shared" si="122"/>
        <v>293.33333333333468</v>
      </c>
      <c r="CY167" s="62">
        <f ca="1">AVERAGE(OFFSET($CX$3,0,0,'Données projet'!$E$13+1,1))-AVERAGE(OFFSET($H$3,0,0,'Données projet'!$E$13+1,1))</f>
        <v>288.82868507674738</v>
      </c>
      <c r="CZ167" s="62">
        <f t="shared" si="150"/>
        <v>283.48738729114024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0.71852072069970951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0.71852072069970951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>
        <f>DO167*VLOOKUP('Données projet'!$B$14,Paramètres!$A$1:$I$89,3,0)*VLOOKUP('Données projet'!$B$14,Paramètres!$A$1:$I$89,5,0)</f>
        <v>0</v>
      </c>
      <c r="DQ167" s="14" t="e">
        <f t="shared" si="176"/>
        <v>#NUM!</v>
      </c>
      <c r="DR167" s="22" t="e">
        <f t="shared" si="177"/>
        <v>#NUM!</v>
      </c>
      <c r="DS167" s="62" t="e">
        <f t="shared" si="125"/>
        <v>#NUM!</v>
      </c>
      <c r="DT167" s="62">
        <f ca="1">AVERAGE(OFFSET($DS$3,0,0,'Données projet'!$E$14+1,1))-AVERAGE(OFFSET($H$3,0,0,'Données projet'!$E$14+1,1))</f>
        <v>487.04124684635974</v>
      </c>
      <c r="DU167" s="62">
        <f t="shared" si="152"/>
        <v>306.61893266146666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0.86183340053481339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0.86183340053481339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>
        <f>EJ167*VLOOKUP('Données projet'!$B$15,Paramètres!$A$1:$I$89,3,0)*VLOOKUP('Données projet'!$B$15,Paramètres!$A$1:$I$89,5,0)</f>
        <v>0</v>
      </c>
      <c r="EL167" s="14" t="e">
        <f t="shared" si="179"/>
        <v>#NUM!</v>
      </c>
      <c r="EM167" s="22" t="e">
        <f t="shared" si="180"/>
        <v>#NUM!</v>
      </c>
      <c r="EN167" s="62" t="e">
        <f t="shared" si="128"/>
        <v>#NUM!</v>
      </c>
      <c r="EO167" s="62">
        <f ca="1">AVERAGE(OFFSET($EN$3,0,0,'Données projet'!$E$15+1,1))-AVERAGE(OFFSET($H$3,0,0,'Données projet'!$E$15+1,1))</f>
        <v>459.64120566196812</v>
      </c>
      <c r="EP167" s="62">
        <f t="shared" si="154"/>
        <v>290.39826583283588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0.80879749896344044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0.80879749896344044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>
        <f>FE167*VLOOKUP('Données projet'!$B$16,Paramètres!$A$1:$I$89,3,0)*VLOOKUP('Données projet'!$B$16,Paramètres!$A$1:$I$89,5,0)</f>
        <v>0</v>
      </c>
      <c r="FG167" s="14" t="e">
        <f t="shared" si="182"/>
        <v>#NUM!</v>
      </c>
      <c r="FH167" s="22" t="e">
        <f t="shared" si="183"/>
        <v>#NUM!</v>
      </c>
      <c r="FI167" s="62" t="e">
        <f t="shared" si="131"/>
        <v>#NUM!</v>
      </c>
      <c r="FJ167" s="62">
        <f ca="1">AVERAGE(OFFSET($FI$3,0,0,'Données projet'!$E$16+1,1))-AVERAGE(OFFSET($H$3,0,0,'Données projet'!$E$16+1,1))</f>
        <v>335.83558218229564</v>
      </c>
      <c r="FK167" s="62">
        <f t="shared" si="156"/>
        <v>217.08423061559648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0</v>
      </c>
      <c r="FR167" s="23">
        <f>EXP(-LN(2)/25)*FR166+(1-EXP(-LN(2)/25))/(LN(2)/25)*Calculateur!FM167*Calculateur!FO167*VLOOKUP('Données projet'!$B$16,Paramètres!$A$1:$I$89,3,0)*0.475*44/12</f>
        <v>0.20315094040865853</v>
      </c>
      <c r="FS167" s="23">
        <f>EXP(-LN(2)/2)*FS166+(1-EXP(-LN(2)/2))/(LN(2)/2)*FM167*FP167*VLOOKUP('Données projet'!$B$16,Paramètres!$A$1:$I$89,3,0)*0.475*44/12</f>
        <v>7.4903451790802781E-20</v>
      </c>
      <c r="FT167" s="24">
        <f t="shared" si="184"/>
        <v>0.20315094040865853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1.9895196601282805E-13</v>
      </c>
      <c r="O168" s="14">
        <f>N168*VLOOKUP('Données projet'!$B$9,Paramètres!$A$1:$I$89,3,0)*VLOOKUP('Données projet'!$B$9,Paramètres!$A$1:$I$89,5,0)</f>
        <v>1.738044375088066E-13</v>
      </c>
      <c r="P168" s="14">
        <f t="shared" si="141"/>
        <v>2.4483293633950478E-12</v>
      </c>
      <c r="Q168" s="22">
        <f t="shared" si="162"/>
        <v>4.566883036574213E-12</v>
      </c>
      <c r="R168" s="62">
        <f t="shared" si="109"/>
        <v>293.33333333333786</v>
      </c>
      <c r="S168" s="62">
        <f ca="1">AVERAGE(OFFSET($R$3,0,0,'Données projet'!$E$9+1,1))-AVERAGE(OFFSET($H$3,0,0,'Données projet'!$E$9+1,1))</f>
        <v>321.23599968992932</v>
      </c>
      <c r="T168" s="62">
        <f t="shared" si="142"/>
        <v>388.05195847800502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0.60584974933059921</v>
      </c>
      <c r="AB168" s="23">
        <f>EXP(-LN(2)/2)*AB167+(1-EXP(-LN(2)/2))/(LN(2)/2)*V168*Y168*VLOOKUP('Données projet'!$B$9,Paramètres!$A$1:$I$89,3,0)*0.475*44/12</f>
        <v>8.7524739340397617E-20</v>
      </c>
      <c r="AC168" s="24">
        <f t="shared" si="163"/>
        <v>0.60584974933059921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-5.6843418860808015E-14</v>
      </c>
      <c r="AJ168" s="14">
        <f>AI168*VLOOKUP('Données projet'!$B$10,Paramètres!$A$1:$I$89,3,0)*VLOOKUP('Données projet'!$B$10,Paramètres!$A$1:$I$89,5,0)</f>
        <v>-5.1431925385259088E-14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439.19854273764042</v>
      </c>
      <c r="AO168" s="62">
        <f t="shared" si="144"/>
        <v>278.21741231699929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0.21623687737880234</v>
      </c>
      <c r="AW168" s="23">
        <f>EXP(-LN(2)/2)*AW167+(1-EXP(-LN(2)/2))/(LN(2)/2)*AQ168*AT168*VLOOKUP('Données projet'!$B$10,Paramètres!$A$1:$I$89,3,0)*0.475*44/12</f>
        <v>7.1440810333540468E-20</v>
      </c>
      <c r="AX168" s="23">
        <f t="shared" si="166"/>
        <v>0.21623687737880234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-2.8421709430404007E-13</v>
      </c>
      <c r="BE168" s="14">
        <f>BD168*VLOOKUP('Données projet'!$B$11,Paramètres!$A$1:$I$89,3,0)*VLOOKUP('Données projet'!$B$11,Paramètres!$A$1:$I$89,5,0)</f>
        <v>-2.2612312022829427E-13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352.88510024787888</v>
      </c>
      <c r="BJ168" s="62">
        <f t="shared" si="146"/>
        <v>343.77208530767069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0.29108122834863714</v>
      </c>
      <c r="BR168" s="23">
        <f>EXP(-LN(2)/2)*BR167+(1-EXP(-LN(2)/2))/(LN(2)/2)*BL168*BO168*VLOOKUP('Données projet'!$B$11,Paramètres!$A$1:$I$89,3,0)*0.475*44/12</f>
        <v>1.8915503602393155E-21</v>
      </c>
      <c r="BS168" s="24">
        <f t="shared" si="169"/>
        <v>0.29108122834863714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-2.8421709430404007E-13</v>
      </c>
      <c r="BZ168" s="14">
        <f>BY168*VLOOKUP('Données projet'!$B$12,Paramètres!$A$1:$I$89,3,0)*VLOOKUP('Données projet'!$B$12,Paramètres!$A$1:$I$89,5,0)</f>
        <v>-2.0838797354372215E-13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328.10411227536315</v>
      </c>
      <c r="CE168" s="62">
        <f t="shared" si="148"/>
        <v>320.24200483294322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0.62648172725894413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0.62648172725894413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5.6843418860808015E-14</v>
      </c>
      <c r="CU168" s="18">
        <f>CT168*VLOOKUP('Données projet'!$B$13,Paramètres!$A$1:$I$89,3,0)*VLOOKUP('Données projet'!$B$13,Paramètres!$A$1:$I$89,5,0)</f>
        <v>4.4337866711430253E-14</v>
      </c>
      <c r="CV168" s="14">
        <f t="shared" si="173"/>
        <v>7.3222115536967035E-13</v>
      </c>
      <c r="CW168" s="22">
        <f t="shared" si="174"/>
        <v>1.3525069634579169E-12</v>
      </c>
      <c r="CX168" s="62">
        <f t="shared" si="122"/>
        <v>293.33333333333468</v>
      </c>
      <c r="CY168" s="62">
        <f ca="1">AVERAGE(OFFSET($CX$3,0,0,'Données projet'!$E$13+1,1))-AVERAGE(OFFSET($H$3,0,0,'Données projet'!$E$13+1,1))</f>
        <v>288.82868507674738</v>
      </c>
      <c r="CZ168" s="62">
        <f t="shared" si="150"/>
        <v>283.48738729114024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0.70443096762115376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0.70443096762115376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>
        <f>DO168*VLOOKUP('Données projet'!$B$14,Paramètres!$A$1:$I$89,3,0)*VLOOKUP('Données projet'!$B$14,Paramètres!$A$1:$I$89,5,0)</f>
        <v>0</v>
      </c>
      <c r="DQ168" s="14" t="e">
        <f t="shared" si="176"/>
        <v>#NUM!</v>
      </c>
      <c r="DR168" s="22" t="e">
        <f t="shared" si="177"/>
        <v>#NUM!</v>
      </c>
      <c r="DS168" s="62" t="e">
        <f t="shared" si="125"/>
        <v>#NUM!</v>
      </c>
      <c r="DT168" s="62">
        <f ca="1">AVERAGE(OFFSET($DS$3,0,0,'Données projet'!$E$14+1,1))-AVERAGE(OFFSET($H$3,0,0,'Données projet'!$E$14+1,1))</f>
        <v>487.04124684635974</v>
      </c>
      <c r="DU168" s="62">
        <f t="shared" si="152"/>
        <v>306.61893266146666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0.84493337321679474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0.84493337321679474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>
        <f>EJ168*VLOOKUP('Données projet'!$B$15,Paramètres!$A$1:$I$89,3,0)*VLOOKUP('Données projet'!$B$15,Paramètres!$A$1:$I$89,5,0)</f>
        <v>0</v>
      </c>
      <c r="EL168" s="14" t="e">
        <f t="shared" si="179"/>
        <v>#NUM!</v>
      </c>
      <c r="EM168" s="22" t="e">
        <f t="shared" si="180"/>
        <v>#NUM!</v>
      </c>
      <c r="EN168" s="62" t="e">
        <f t="shared" si="128"/>
        <v>#NUM!</v>
      </c>
      <c r="EO168" s="62">
        <f ca="1">AVERAGE(OFFSET($EN$3,0,0,'Données projet'!$E$15+1,1))-AVERAGE(OFFSET($H$3,0,0,'Données projet'!$E$15+1,1))</f>
        <v>459.64120566196812</v>
      </c>
      <c r="EP168" s="62">
        <f t="shared" si="154"/>
        <v>290.39826583283588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0.79293747332653064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0.79293747332653064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>
        <f>FE168*VLOOKUP('Données projet'!$B$16,Paramètres!$A$1:$I$89,3,0)*VLOOKUP('Données projet'!$B$16,Paramètres!$A$1:$I$89,5,0)</f>
        <v>0</v>
      </c>
      <c r="FG168" s="14" t="e">
        <f t="shared" si="182"/>
        <v>#NUM!</v>
      </c>
      <c r="FH168" s="22" t="e">
        <f t="shared" si="183"/>
        <v>#NUM!</v>
      </c>
      <c r="FI168" s="62" t="e">
        <f t="shared" si="131"/>
        <v>#NUM!</v>
      </c>
      <c r="FJ168" s="62">
        <f ca="1">AVERAGE(OFFSET($FI$3,0,0,'Données projet'!$E$16+1,1))-AVERAGE(OFFSET($H$3,0,0,'Données projet'!$E$16+1,1))</f>
        <v>335.83558218229564</v>
      </c>
      <c r="FK168" s="62">
        <f t="shared" si="156"/>
        <v>217.08423061559648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0</v>
      </c>
      <c r="FR168" s="23">
        <f>EXP(-LN(2)/25)*FR167+(1-EXP(-LN(2)/25))/(LN(2)/25)*Calculateur!FM168*Calculateur!FO168*VLOOKUP('Données projet'!$B$16,Paramètres!$A$1:$I$89,3,0)*0.475*44/12</f>
        <v>0.1975957672599401</v>
      </c>
      <c r="FS168" s="23">
        <f>EXP(-LN(2)/2)*FS167+(1-EXP(-LN(2)/2))/(LN(2)/2)*FM168*FP168*VLOOKUP('Données projet'!$B$16,Paramètres!$A$1:$I$89,3,0)*0.475*44/12</f>
        <v>5.2964738695556294E-20</v>
      </c>
      <c r="FT168" s="24">
        <f t="shared" si="184"/>
        <v>0.1975957672599401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1.9895196601282805E-13</v>
      </c>
      <c r="O169" s="14">
        <f>N169*VLOOKUP('Données projet'!$B$9,Paramètres!$A$1:$I$89,3,0)*VLOOKUP('Données projet'!$B$9,Paramètres!$A$1:$I$89,5,0)</f>
        <v>1.738044375088066E-13</v>
      </c>
      <c r="P169" s="14">
        <f t="shared" si="141"/>
        <v>2.4483293633950478E-12</v>
      </c>
      <c r="Q169" s="22">
        <f t="shared" si="162"/>
        <v>4.566883036574213E-12</v>
      </c>
      <c r="R169" s="62">
        <f t="shared" si="109"/>
        <v>293.33333333333786</v>
      </c>
      <c r="S169" s="62">
        <f ca="1">AVERAGE(OFFSET($R$3,0,0,'Données projet'!$E$9+1,1))-AVERAGE(OFFSET($H$3,0,0,'Données projet'!$E$9+1,1))</f>
        <v>321.23599968992932</v>
      </c>
      <c r="T169" s="62">
        <f t="shared" si="142"/>
        <v>388.05195847800502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0.58928275607490033</v>
      </c>
      <c r="AB169" s="23">
        <f>EXP(-LN(2)/2)*AB168+(1-EXP(-LN(2)/2))/(LN(2)/2)*V169*Y169*VLOOKUP('Données projet'!$B$9,Paramètres!$A$1:$I$89,3,0)*0.475*44/12</f>
        <v>6.1889336709180144E-20</v>
      </c>
      <c r="AC169" s="24">
        <f t="shared" si="163"/>
        <v>0.58928275607490033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-5.6843418860808015E-14</v>
      </c>
      <c r="AJ169" s="14">
        <f>AI169*VLOOKUP('Données projet'!$B$10,Paramètres!$A$1:$I$89,3,0)*VLOOKUP('Données projet'!$B$10,Paramètres!$A$1:$I$89,5,0)</f>
        <v>-5.1431925385259088E-14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439.19854273764042</v>
      </c>
      <c r="AO169" s="62">
        <f t="shared" si="144"/>
        <v>278.21741231699929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0.21032386859547583</v>
      </c>
      <c r="AW169" s="23">
        <f>EXP(-LN(2)/2)*AW168+(1-EXP(-LN(2)/2))/(LN(2)/2)*AQ169*AT169*VLOOKUP('Données projet'!$B$10,Paramètres!$A$1:$I$89,3,0)*0.475*44/12</f>
        <v>5.0516281440308444E-20</v>
      </c>
      <c r="AX169" s="23">
        <f t="shared" si="166"/>
        <v>0.21032386859547583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-2.8421709430404007E-13</v>
      </c>
      <c r="BE169" s="14">
        <f>BD169*VLOOKUP('Données projet'!$B$11,Paramètres!$A$1:$I$89,3,0)*VLOOKUP('Données projet'!$B$11,Paramètres!$A$1:$I$89,5,0)</f>
        <v>-2.2612312022829427E-13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352.88510024787888</v>
      </c>
      <c r="BJ169" s="62">
        <f t="shared" si="146"/>
        <v>343.77208530767069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0.28312159685214716</v>
      </c>
      <c r="BR169" s="23">
        <f>EXP(-LN(2)/2)*BR168+(1-EXP(-LN(2)/2))/(LN(2)/2)*BL169*BO169*VLOOKUP('Données projet'!$B$11,Paramètres!$A$1:$I$89,3,0)*0.475*44/12</f>
        <v>1.3375280866810768E-21</v>
      </c>
      <c r="BS169" s="24">
        <f t="shared" si="169"/>
        <v>0.28312159685214716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-2.8421709430404007E-13</v>
      </c>
      <c r="BZ169" s="14">
        <f>BY169*VLOOKUP('Données projet'!$B$12,Paramètres!$A$1:$I$89,3,0)*VLOOKUP('Données projet'!$B$12,Paramètres!$A$1:$I$89,5,0)</f>
        <v>-2.0838797354372215E-13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328.10411227536315</v>
      </c>
      <c r="CE169" s="62">
        <f t="shared" si="148"/>
        <v>320.24200483294322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0.61419680270351906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0.61419680270351906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5.6843418860808015E-14</v>
      </c>
      <c r="CU169" s="18">
        <f>CT169*VLOOKUP('Données projet'!$B$13,Paramètres!$A$1:$I$89,3,0)*VLOOKUP('Données projet'!$B$13,Paramètres!$A$1:$I$89,5,0)</f>
        <v>4.4337866711430253E-14</v>
      </c>
      <c r="CV169" s="14">
        <f t="shared" si="173"/>
        <v>7.3222115536967035E-13</v>
      </c>
      <c r="CW169" s="22">
        <f t="shared" si="174"/>
        <v>1.3525069634579169E-12</v>
      </c>
      <c r="CX169" s="62">
        <f t="shared" si="122"/>
        <v>293.33333333333468</v>
      </c>
      <c r="CY169" s="62">
        <f ca="1">AVERAGE(OFFSET($CX$3,0,0,'Données projet'!$E$13+1,1))-AVERAGE(OFFSET($H$3,0,0,'Données projet'!$E$13+1,1))</f>
        <v>288.82868507674738</v>
      </c>
      <c r="CZ169" s="62">
        <f t="shared" si="150"/>
        <v>283.48738729114024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0.69061750600656768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0.69061750600656768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>
        <f>DO169*VLOOKUP('Données projet'!$B$14,Paramètres!$A$1:$I$89,3,0)*VLOOKUP('Données projet'!$B$14,Paramètres!$A$1:$I$89,5,0)</f>
        <v>0</v>
      </c>
      <c r="DQ169" s="14" t="e">
        <f t="shared" si="176"/>
        <v>#NUM!</v>
      </c>
      <c r="DR169" s="22" t="e">
        <f t="shared" si="177"/>
        <v>#NUM!</v>
      </c>
      <c r="DS169" s="62" t="e">
        <f t="shared" si="125"/>
        <v>#NUM!</v>
      </c>
      <c r="DT169" s="62">
        <f ca="1">AVERAGE(OFFSET($DS$3,0,0,'Données projet'!$E$14+1,1))-AVERAGE(OFFSET($H$3,0,0,'Données projet'!$E$14+1,1))</f>
        <v>487.04124684635974</v>
      </c>
      <c r="DU169" s="62">
        <f t="shared" si="152"/>
        <v>306.61893266146666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0.82836474512648361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0.82836474512648361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>
        <f>EJ169*VLOOKUP('Données projet'!$B$15,Paramètres!$A$1:$I$89,3,0)*VLOOKUP('Données projet'!$B$15,Paramètres!$A$1:$I$89,5,0)</f>
        <v>0</v>
      </c>
      <c r="EL169" s="14" t="e">
        <f t="shared" si="179"/>
        <v>#NUM!</v>
      </c>
      <c r="EM169" s="22" t="e">
        <f t="shared" si="180"/>
        <v>#NUM!</v>
      </c>
      <c r="EN169" s="62" t="e">
        <f t="shared" si="128"/>
        <v>#NUM!</v>
      </c>
      <c r="EO169" s="62">
        <f ca="1">AVERAGE(OFFSET($EN$3,0,0,'Données projet'!$E$15+1,1))-AVERAGE(OFFSET($H$3,0,0,'Données projet'!$E$15+1,1))</f>
        <v>459.64120566196812</v>
      </c>
      <c r="EP169" s="62">
        <f t="shared" si="154"/>
        <v>290.39826583283588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0.7773884531187002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0.7773884531187002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>
        <f>FE169*VLOOKUP('Données projet'!$B$16,Paramètres!$A$1:$I$89,3,0)*VLOOKUP('Données projet'!$B$16,Paramètres!$A$1:$I$89,5,0)</f>
        <v>0</v>
      </c>
      <c r="FG169" s="14" t="e">
        <f t="shared" si="182"/>
        <v>#NUM!</v>
      </c>
      <c r="FH169" s="22" t="e">
        <f t="shared" si="183"/>
        <v>#NUM!</v>
      </c>
      <c r="FI169" s="62" t="e">
        <f t="shared" si="131"/>
        <v>#NUM!</v>
      </c>
      <c r="FJ169" s="62">
        <f ca="1">AVERAGE(OFFSET($FI$3,0,0,'Données projet'!$E$16+1,1))-AVERAGE(OFFSET($H$3,0,0,'Données projet'!$E$16+1,1))</f>
        <v>335.83558218229564</v>
      </c>
      <c r="FK169" s="62">
        <f t="shared" si="156"/>
        <v>217.08423061559648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0</v>
      </c>
      <c r="FR169" s="23">
        <f>EXP(-LN(2)/25)*FR168+(1-EXP(-LN(2)/25))/(LN(2)/25)*Calculateur!FM169*Calculateur!FO169*VLOOKUP('Données projet'!$B$16,Paramètres!$A$1:$I$89,3,0)*0.475*44/12</f>
        <v>0.19219250061310725</v>
      </c>
      <c r="FS169" s="23">
        <f>EXP(-LN(2)/2)*FS168+(1-EXP(-LN(2)/2))/(LN(2)/2)*FM169*FP169*VLOOKUP('Données projet'!$B$16,Paramètres!$A$1:$I$89,3,0)*0.475*44/12</f>
        <v>3.745172589540139E-20</v>
      </c>
      <c r="FT169" s="24">
        <f t="shared" si="184"/>
        <v>0.19219250061310725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1.9895196601282805E-13</v>
      </c>
      <c r="O170" s="14">
        <f>N170*VLOOKUP('Données projet'!$B$9,Paramètres!$A$1:$I$89,3,0)*VLOOKUP('Données projet'!$B$9,Paramètres!$A$1:$I$89,5,0)</f>
        <v>1.738044375088066E-13</v>
      </c>
      <c r="P170" s="14">
        <f t="shared" si="141"/>
        <v>2.4483293633950478E-12</v>
      </c>
      <c r="Q170" s="22">
        <f t="shared" si="162"/>
        <v>4.566883036574213E-12</v>
      </c>
      <c r="R170" s="62">
        <f t="shared" si="109"/>
        <v>293.33333333333786</v>
      </c>
      <c r="S170" s="62">
        <f ca="1">AVERAGE(OFFSET($R$3,0,0,'Données projet'!$E$9+1,1))-AVERAGE(OFFSET($H$3,0,0,'Données projet'!$E$9+1,1))</f>
        <v>321.23599968992932</v>
      </c>
      <c r="T170" s="62">
        <f t="shared" si="142"/>
        <v>388.05195847800502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0.57316878812099881</v>
      </c>
      <c r="AB170" s="23">
        <f>EXP(-LN(2)/2)*AB169+(1-EXP(-LN(2)/2))/(LN(2)/2)*V170*Y170*VLOOKUP('Données projet'!$B$9,Paramètres!$A$1:$I$89,3,0)*0.475*44/12</f>
        <v>4.3762369670198808E-20</v>
      </c>
      <c r="AC170" s="24">
        <f t="shared" si="163"/>
        <v>0.57316878812099881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-5.6843418860808015E-14</v>
      </c>
      <c r="AJ170" s="14">
        <f>AI170*VLOOKUP('Données projet'!$B$10,Paramètres!$A$1:$I$89,3,0)*VLOOKUP('Données projet'!$B$10,Paramètres!$A$1:$I$89,5,0)</f>
        <v>-5.1431925385259088E-14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439.19854273764042</v>
      </c>
      <c r="AO170" s="62">
        <f t="shared" si="144"/>
        <v>278.21741231699929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0.20457255134828101</v>
      </c>
      <c r="AW170" s="23">
        <f>EXP(-LN(2)/2)*AW169+(1-EXP(-LN(2)/2))/(LN(2)/2)*AQ170*AT170*VLOOKUP('Données projet'!$B$10,Paramètres!$A$1:$I$89,3,0)*0.475*44/12</f>
        <v>3.5720405166770234E-20</v>
      </c>
      <c r="AX170" s="23">
        <f t="shared" si="166"/>
        <v>0.20457255134828101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-2.8421709430404007E-13</v>
      </c>
      <c r="BE170" s="14">
        <f>BD170*VLOOKUP('Données projet'!$B$11,Paramètres!$A$1:$I$89,3,0)*VLOOKUP('Données projet'!$B$11,Paramètres!$A$1:$I$89,5,0)</f>
        <v>-2.2612312022829427E-13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352.88510024787888</v>
      </c>
      <c r="BJ170" s="62">
        <f t="shared" si="146"/>
        <v>343.77208530767069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0.27537962189750748</v>
      </c>
      <c r="BR170" s="23">
        <f>EXP(-LN(2)/2)*BR169+(1-EXP(-LN(2)/2))/(LN(2)/2)*BL170*BO170*VLOOKUP('Données projet'!$B$11,Paramètres!$A$1:$I$89,3,0)*0.475*44/12</f>
        <v>9.4577518011965776E-22</v>
      </c>
      <c r="BS170" s="24">
        <f t="shared" si="169"/>
        <v>0.27537962189750748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-2.8421709430404007E-13</v>
      </c>
      <c r="BZ170" s="14">
        <f>BY170*VLOOKUP('Données projet'!$B$12,Paramètres!$A$1:$I$89,3,0)*VLOOKUP('Données projet'!$B$12,Paramètres!$A$1:$I$89,5,0)</f>
        <v>-2.0838797354372215E-13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328.10411227536315</v>
      </c>
      <c r="CE170" s="62">
        <f t="shared" si="148"/>
        <v>320.24200483294322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0.60215277802556177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0.60215277802556177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5.6843418860808015E-14</v>
      </c>
      <c r="CU170" s="18">
        <f>CT170*VLOOKUP('Données projet'!$B$13,Paramètres!$A$1:$I$89,3,0)*VLOOKUP('Données projet'!$B$13,Paramètres!$A$1:$I$89,5,0)</f>
        <v>4.4337866711430253E-14</v>
      </c>
      <c r="CV170" s="14">
        <f t="shared" si="173"/>
        <v>7.3222115536967035E-13</v>
      </c>
      <c r="CW170" s="22">
        <f t="shared" si="174"/>
        <v>1.3525069634579169E-12</v>
      </c>
      <c r="CX170" s="62">
        <f t="shared" si="122"/>
        <v>293.33333333333468</v>
      </c>
      <c r="CY170" s="62">
        <f ca="1">AVERAGE(OFFSET($CX$3,0,0,'Données projet'!$E$13+1,1))-AVERAGE(OFFSET($H$3,0,0,'Données projet'!$E$13+1,1))</f>
        <v>288.82868507674738</v>
      </c>
      <c r="CZ170" s="62">
        <f t="shared" si="150"/>
        <v>283.48738729114024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0.6770749179488641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0.6770749179488641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>
        <f>DO170*VLOOKUP('Données projet'!$B$14,Paramètres!$A$1:$I$89,3,0)*VLOOKUP('Données projet'!$B$14,Paramètres!$A$1:$I$89,5,0)</f>
        <v>0</v>
      </c>
      <c r="DQ170" s="14" t="e">
        <f t="shared" si="176"/>
        <v>#NUM!</v>
      </c>
      <c r="DR170" s="22" t="e">
        <f t="shared" si="177"/>
        <v>#NUM!</v>
      </c>
      <c r="DS170" s="62" t="e">
        <f t="shared" si="125"/>
        <v>#NUM!</v>
      </c>
      <c r="DT170" s="62">
        <f ca="1">AVERAGE(OFFSET($DS$3,0,0,'Données projet'!$E$14+1,1))-AVERAGE(OFFSET($H$3,0,0,'Données projet'!$E$14+1,1))</f>
        <v>487.04124684635974</v>
      </c>
      <c r="DU170" s="62">
        <f t="shared" si="152"/>
        <v>306.61893266146666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0.81212101772715828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0.81212101772715828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>
        <f>EJ170*VLOOKUP('Données projet'!$B$15,Paramètres!$A$1:$I$89,3,0)*VLOOKUP('Données projet'!$B$15,Paramètres!$A$1:$I$89,5,0)</f>
        <v>0</v>
      </c>
      <c r="EL170" s="14" t="e">
        <f t="shared" si="179"/>
        <v>#NUM!</v>
      </c>
      <c r="EM170" s="22" t="e">
        <f t="shared" si="180"/>
        <v>#NUM!</v>
      </c>
      <c r="EN170" s="62" t="e">
        <f t="shared" si="128"/>
        <v>#NUM!</v>
      </c>
      <c r="EO170" s="62">
        <f ca="1">AVERAGE(OFFSET($EN$3,0,0,'Données projet'!$E$15+1,1))-AVERAGE(OFFSET($H$3,0,0,'Données projet'!$E$15+1,1))</f>
        <v>459.64120566196812</v>
      </c>
      <c r="EP170" s="62">
        <f t="shared" si="154"/>
        <v>290.39826583283588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0.76214433971317941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0.76214433971317941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>
        <f>FE170*VLOOKUP('Données projet'!$B$16,Paramètres!$A$1:$I$89,3,0)*VLOOKUP('Données projet'!$B$16,Paramètres!$A$1:$I$89,5,0)</f>
        <v>0</v>
      </c>
      <c r="FG170" s="14" t="e">
        <f t="shared" si="182"/>
        <v>#NUM!</v>
      </c>
      <c r="FH170" s="22" t="e">
        <f t="shared" si="183"/>
        <v>#NUM!</v>
      </c>
      <c r="FI170" s="62" t="e">
        <f t="shared" si="131"/>
        <v>#NUM!</v>
      </c>
      <c r="FJ170" s="62">
        <f ca="1">AVERAGE(OFFSET($FI$3,0,0,'Données projet'!$E$16+1,1))-AVERAGE(OFFSET($H$3,0,0,'Données projet'!$E$16+1,1))</f>
        <v>335.83558218229564</v>
      </c>
      <c r="FK170" s="62">
        <f t="shared" si="156"/>
        <v>217.08423061559648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0</v>
      </c>
      <c r="FR170" s="23">
        <f>EXP(-LN(2)/25)*FR169+(1-EXP(-LN(2)/25))/(LN(2)/25)*Calculateur!FM170*Calculateur!FO170*VLOOKUP('Données projet'!$B$16,Paramètres!$A$1:$I$89,3,0)*0.475*44/12</f>
        <v>0.18693698657687749</v>
      </c>
      <c r="FS170" s="23">
        <f>EXP(-LN(2)/2)*FS169+(1-EXP(-LN(2)/2))/(LN(2)/2)*FM170*FP170*VLOOKUP('Données projet'!$B$16,Paramètres!$A$1:$I$89,3,0)*0.475*44/12</f>
        <v>2.6482369347778147E-20</v>
      </c>
      <c r="FT170" s="24">
        <f t="shared" si="184"/>
        <v>0.18693698657687749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1.9895196601282805E-13</v>
      </c>
      <c r="O171" s="14">
        <f>N171*VLOOKUP('Données projet'!$B$9,Paramètres!$A$1:$I$89,3,0)*VLOOKUP('Données projet'!$B$9,Paramètres!$A$1:$I$89,5,0)</f>
        <v>1.738044375088066E-13</v>
      </c>
      <c r="P171" s="14">
        <f t="shared" si="141"/>
        <v>2.4483293633950478E-12</v>
      </c>
      <c r="Q171" s="22">
        <f t="shared" si="162"/>
        <v>4.566883036574213E-12</v>
      </c>
      <c r="R171" s="62">
        <f t="shared" si="109"/>
        <v>293.33333333333786</v>
      </c>
      <c r="S171" s="62">
        <f ca="1">AVERAGE(OFFSET($R$3,0,0,'Données projet'!$E$9+1,1))-AVERAGE(OFFSET($H$3,0,0,'Données projet'!$E$9+1,1))</f>
        <v>321.23599968992932</v>
      </c>
      <c r="T171" s="62">
        <f t="shared" si="142"/>
        <v>388.05195847800502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0.55749545746819351</v>
      </c>
      <c r="AB171" s="23">
        <f>EXP(-LN(2)/2)*AB170+(1-EXP(-LN(2)/2))/(LN(2)/2)*V171*Y171*VLOOKUP('Données projet'!$B$9,Paramètres!$A$1:$I$89,3,0)*0.475*44/12</f>
        <v>3.0944668354590072E-20</v>
      </c>
      <c r="AC171" s="24">
        <f t="shared" si="163"/>
        <v>0.55749545746819351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-5.6843418860808015E-14</v>
      </c>
      <c r="AJ171" s="14">
        <f>AI171*VLOOKUP('Données projet'!$B$10,Paramètres!$A$1:$I$89,3,0)*VLOOKUP('Données projet'!$B$10,Paramètres!$A$1:$I$89,5,0)</f>
        <v>-5.1431925385259088E-14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439.19854273764042</v>
      </c>
      <c r="AO171" s="62">
        <f t="shared" si="144"/>
        <v>278.21741231699929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0.19897850417365934</v>
      </c>
      <c r="AW171" s="23">
        <f>EXP(-LN(2)/2)*AW170+(1-EXP(-LN(2)/2))/(LN(2)/2)*AQ171*AT171*VLOOKUP('Données projet'!$B$10,Paramètres!$A$1:$I$89,3,0)*0.475*44/12</f>
        <v>2.5258140720154222E-20</v>
      </c>
      <c r="AX171" s="23">
        <f t="shared" si="166"/>
        <v>0.19897850417365934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-2.8421709430404007E-13</v>
      </c>
      <c r="BE171" s="14">
        <f>BD171*VLOOKUP('Données projet'!$B$11,Paramètres!$A$1:$I$89,3,0)*VLOOKUP('Données projet'!$B$11,Paramètres!$A$1:$I$89,5,0)</f>
        <v>-2.2612312022829427E-13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352.88510024787888</v>
      </c>
      <c r="BJ171" s="62">
        <f t="shared" si="146"/>
        <v>343.77208530767069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0.26784935165513518</v>
      </c>
      <c r="BR171" s="23">
        <f>EXP(-LN(2)/2)*BR170+(1-EXP(-LN(2)/2))/(LN(2)/2)*BL171*BO171*VLOOKUP('Données projet'!$B$11,Paramètres!$A$1:$I$89,3,0)*0.475*44/12</f>
        <v>6.6876404334053842E-22</v>
      </c>
      <c r="BS171" s="24">
        <f t="shared" si="169"/>
        <v>0.26784935165513518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-2.8421709430404007E-13</v>
      </c>
      <c r="BZ171" s="14">
        <f>BY171*VLOOKUP('Données projet'!$B$12,Paramètres!$A$1:$I$89,3,0)*VLOOKUP('Données projet'!$B$12,Paramètres!$A$1:$I$89,5,0)</f>
        <v>-2.0838797354372215E-13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328.10411227536315</v>
      </c>
      <c r="CE171" s="62">
        <f t="shared" si="148"/>
        <v>320.24200483294322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0.5903449293254095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0.5903449293254095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5.6843418860808015E-14</v>
      </c>
      <c r="CU171" s="18">
        <f>CT171*VLOOKUP('Données projet'!$B$13,Paramètres!$A$1:$I$89,3,0)*VLOOKUP('Données projet'!$B$13,Paramètres!$A$1:$I$89,5,0)</f>
        <v>4.4337866711430253E-14</v>
      </c>
      <c r="CV171" s="14">
        <f t="shared" si="173"/>
        <v>7.3222115536967035E-13</v>
      </c>
      <c r="CW171" s="22">
        <f t="shared" si="174"/>
        <v>1.3525069634579169E-12</v>
      </c>
      <c r="CX171" s="62">
        <f t="shared" si="122"/>
        <v>293.33333333333468</v>
      </c>
      <c r="CY171" s="62">
        <f ca="1">AVERAGE(OFFSET($CX$3,0,0,'Données projet'!$E$13+1,1))-AVERAGE(OFFSET($H$3,0,0,'Données projet'!$E$13+1,1))</f>
        <v>288.82868507674738</v>
      </c>
      <c r="CZ171" s="62">
        <f t="shared" si="150"/>
        <v>283.48738729114024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0.6637978917828089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0.6637978917828089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>
        <f>DO171*VLOOKUP('Données projet'!$B$14,Paramètres!$A$1:$I$89,3,0)*VLOOKUP('Données projet'!$B$14,Paramètres!$A$1:$I$89,5,0)</f>
        <v>0</v>
      </c>
      <c r="DQ171" s="14" t="e">
        <f t="shared" si="176"/>
        <v>#NUM!</v>
      </c>
      <c r="DR171" s="22" t="e">
        <f t="shared" si="177"/>
        <v>#NUM!</v>
      </c>
      <c r="DS171" s="62" t="e">
        <f t="shared" si="125"/>
        <v>#NUM!</v>
      </c>
      <c r="DT171" s="62">
        <f ca="1">AVERAGE(OFFSET($DS$3,0,0,'Données projet'!$E$14+1,1))-AVERAGE(OFFSET($H$3,0,0,'Données projet'!$E$14+1,1))</f>
        <v>487.04124684635974</v>
      </c>
      <c r="DU171" s="62">
        <f t="shared" si="152"/>
        <v>306.61893266146666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0.79619581991443822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0.79619581991443822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>
        <f>EJ171*VLOOKUP('Données projet'!$B$15,Paramètres!$A$1:$I$89,3,0)*VLOOKUP('Données projet'!$B$15,Paramètres!$A$1:$I$89,5,0)</f>
        <v>0</v>
      </c>
      <c r="EL171" s="14" t="e">
        <f t="shared" si="179"/>
        <v>#NUM!</v>
      </c>
      <c r="EM171" s="22" t="e">
        <f t="shared" si="180"/>
        <v>#NUM!</v>
      </c>
      <c r="EN171" s="62" t="e">
        <f t="shared" si="128"/>
        <v>#NUM!</v>
      </c>
      <c r="EO171" s="62">
        <f ca="1">AVERAGE(OFFSET($EN$3,0,0,'Données projet'!$E$15+1,1))-AVERAGE(OFFSET($H$3,0,0,'Données projet'!$E$15+1,1))</f>
        <v>459.64120566196812</v>
      </c>
      <c r="EP171" s="62">
        <f t="shared" si="154"/>
        <v>290.39826583283588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0.74719915407354986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0.74719915407354986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>
        <f>FE171*VLOOKUP('Données projet'!$B$16,Paramètres!$A$1:$I$89,3,0)*VLOOKUP('Données projet'!$B$16,Paramètres!$A$1:$I$89,5,0)</f>
        <v>0</v>
      </c>
      <c r="FG171" s="14" t="e">
        <f t="shared" si="182"/>
        <v>#NUM!</v>
      </c>
      <c r="FH171" s="22" t="e">
        <f t="shared" si="183"/>
        <v>#NUM!</v>
      </c>
      <c r="FI171" s="62" t="e">
        <f t="shared" si="131"/>
        <v>#NUM!</v>
      </c>
      <c r="FJ171" s="62">
        <f ca="1">AVERAGE(OFFSET($FI$3,0,0,'Données projet'!$E$16+1,1))-AVERAGE(OFFSET($H$3,0,0,'Données projet'!$E$16+1,1))</f>
        <v>335.83558218229564</v>
      </c>
      <c r="FK171" s="62">
        <f t="shared" si="156"/>
        <v>217.08423061559648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0</v>
      </c>
      <c r="FR171" s="23">
        <f>EXP(-LN(2)/25)*FR170+(1-EXP(-LN(2)/25))/(LN(2)/25)*Calculateur!FM171*Calculateur!FO171*VLOOKUP('Données projet'!$B$16,Paramètres!$A$1:$I$89,3,0)*0.475*44/12</f>
        <v>0.1818251848483439</v>
      </c>
      <c r="FS171" s="23">
        <f>EXP(-LN(2)/2)*FS170+(1-EXP(-LN(2)/2))/(LN(2)/2)*FM171*FP171*VLOOKUP('Données projet'!$B$16,Paramètres!$A$1:$I$89,3,0)*0.475*44/12</f>
        <v>1.8725862947700695E-20</v>
      </c>
      <c r="FT171" s="24">
        <f t="shared" si="184"/>
        <v>0.1818251848483439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1.9895196601282805E-13</v>
      </c>
      <c r="O172" s="14">
        <f>N172*VLOOKUP('Données projet'!$B$9,Paramètres!$A$1:$I$89,3,0)*VLOOKUP('Données projet'!$B$9,Paramètres!$A$1:$I$89,5,0)</f>
        <v>1.738044375088066E-13</v>
      </c>
      <c r="P172" s="14">
        <f t="shared" si="141"/>
        <v>2.4483293633950478E-12</v>
      </c>
      <c r="Q172" s="22">
        <f t="shared" si="162"/>
        <v>4.566883036574213E-12</v>
      </c>
      <c r="R172" s="62">
        <f t="shared" si="109"/>
        <v>293.33333333333786</v>
      </c>
      <c r="S172" s="62">
        <f ca="1">AVERAGE(OFFSET($R$3,0,0,'Données projet'!$E$9+1,1))-AVERAGE(OFFSET($H$3,0,0,'Données projet'!$E$9+1,1))</f>
        <v>321.23599968992932</v>
      </c>
      <c r="T172" s="62">
        <f t="shared" si="142"/>
        <v>388.05195847800502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0.54225071486631382</v>
      </c>
      <c r="AB172" s="23">
        <f>EXP(-LN(2)/2)*AB171+(1-EXP(-LN(2)/2))/(LN(2)/2)*V172*Y172*VLOOKUP('Données projet'!$B$9,Paramètres!$A$1:$I$89,3,0)*0.475*44/12</f>
        <v>2.1881184835099404E-20</v>
      </c>
      <c r="AC172" s="24">
        <f t="shared" si="163"/>
        <v>0.54225071486631382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-5.6843418860808015E-14</v>
      </c>
      <c r="AJ172" s="14">
        <f>AI172*VLOOKUP('Données projet'!$B$10,Paramètres!$A$1:$I$89,3,0)*VLOOKUP('Données projet'!$B$10,Paramètres!$A$1:$I$89,5,0)</f>
        <v>-5.1431925385259088E-14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439.19854273764042</v>
      </c>
      <c r="AO172" s="62">
        <f t="shared" si="144"/>
        <v>278.21741231699929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0.19353742651320585</v>
      </c>
      <c r="AW172" s="23">
        <f>EXP(-LN(2)/2)*AW171+(1-EXP(-LN(2)/2))/(LN(2)/2)*AQ172*AT172*VLOOKUP('Données projet'!$B$10,Paramètres!$A$1:$I$89,3,0)*0.475*44/12</f>
        <v>1.7860202583385117E-20</v>
      </c>
      <c r="AX172" s="23">
        <f t="shared" si="166"/>
        <v>0.19353742651320585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-2.8421709430404007E-13</v>
      </c>
      <c r="BE172" s="14">
        <f>BD172*VLOOKUP('Données projet'!$B$11,Paramètres!$A$1:$I$89,3,0)*VLOOKUP('Données projet'!$B$11,Paramètres!$A$1:$I$89,5,0)</f>
        <v>-2.2612312022829427E-13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352.88510024787888</v>
      </c>
      <c r="BJ172" s="62">
        <f t="shared" si="146"/>
        <v>343.77208530767069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0.26052499704854026</v>
      </c>
      <c r="BR172" s="23">
        <f>EXP(-LN(2)/2)*BR171+(1-EXP(-LN(2)/2))/(LN(2)/2)*BL172*BO172*VLOOKUP('Données projet'!$B$11,Paramètres!$A$1:$I$89,3,0)*0.475*44/12</f>
        <v>4.7288759005982888E-22</v>
      </c>
      <c r="BS172" s="24">
        <f t="shared" si="169"/>
        <v>0.26052499704854026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-2.8421709430404007E-13</v>
      </c>
      <c r="BZ172" s="14">
        <f>BY172*VLOOKUP('Données projet'!$B$12,Paramètres!$A$1:$I$89,3,0)*VLOOKUP('Données projet'!$B$12,Paramètres!$A$1:$I$89,5,0)</f>
        <v>-2.0838797354372215E-13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328.10411227536315</v>
      </c>
      <c r="CE172" s="62">
        <f t="shared" si="148"/>
        <v>320.24200483294322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0.57876862533619067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0.57876862533619067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5.6843418860808015E-14</v>
      </c>
      <c r="CU172" s="18">
        <f>CT172*VLOOKUP('Données projet'!$B$13,Paramètres!$A$1:$I$89,3,0)*VLOOKUP('Données projet'!$B$13,Paramètres!$A$1:$I$89,5,0)</f>
        <v>4.4337866711430253E-14</v>
      </c>
      <c r="CV172" s="14">
        <f t="shared" si="173"/>
        <v>7.3222115536967035E-13</v>
      </c>
      <c r="CW172" s="22">
        <f t="shared" si="174"/>
        <v>1.3525069634579169E-12</v>
      </c>
      <c r="CX172" s="62">
        <f t="shared" si="122"/>
        <v>293.33333333333468</v>
      </c>
      <c r="CY172" s="62">
        <f ca="1">AVERAGE(OFFSET($CX$3,0,0,'Données projet'!$E$13+1,1))-AVERAGE(OFFSET($H$3,0,0,'Données projet'!$E$13+1,1))</f>
        <v>288.82868507674738</v>
      </c>
      <c r="CZ172" s="62">
        <f t="shared" si="150"/>
        <v>283.48738729114024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0.6507812200016837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0.6507812200016837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>
        <f>DO172*VLOOKUP('Données projet'!$B$14,Paramètres!$A$1:$I$89,3,0)*VLOOKUP('Données projet'!$B$14,Paramètres!$A$1:$I$89,5,0)</f>
        <v>0</v>
      </c>
      <c r="DQ172" s="14" t="e">
        <f t="shared" si="176"/>
        <v>#NUM!</v>
      </c>
      <c r="DR172" s="22" t="e">
        <f t="shared" si="177"/>
        <v>#NUM!</v>
      </c>
      <c r="DS172" s="62" t="e">
        <f t="shared" si="125"/>
        <v>#NUM!</v>
      </c>
      <c r="DT172" s="62">
        <f ca="1">AVERAGE(OFFSET($DS$3,0,0,'Données projet'!$E$14+1,1))-AVERAGE(OFFSET($H$3,0,0,'Données projet'!$E$14+1,1))</f>
        <v>487.04124684635974</v>
      </c>
      <c r="DU172" s="62">
        <f t="shared" si="152"/>
        <v>306.61893266146666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0.78058290551741416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0.78058290551741416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>
        <f>EJ172*VLOOKUP('Données projet'!$B$15,Paramètres!$A$1:$I$89,3,0)*VLOOKUP('Données projet'!$B$15,Paramètres!$A$1:$I$89,5,0)</f>
        <v>0</v>
      </c>
      <c r="EL172" s="14" t="e">
        <f t="shared" si="179"/>
        <v>#NUM!</v>
      </c>
      <c r="EM172" s="22" t="e">
        <f t="shared" si="180"/>
        <v>#NUM!</v>
      </c>
      <c r="EN172" s="62" t="e">
        <f t="shared" si="128"/>
        <v>#NUM!</v>
      </c>
      <c r="EO172" s="62">
        <f ca="1">AVERAGE(OFFSET($EN$3,0,0,'Données projet'!$E$15+1,1))-AVERAGE(OFFSET($H$3,0,0,'Données projet'!$E$15+1,1))</f>
        <v>459.64120566196812</v>
      </c>
      <c r="EP172" s="62">
        <f t="shared" si="154"/>
        <v>290.39826583283588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0.73254703440865032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0.73254703440865032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>
        <f>FE172*VLOOKUP('Données projet'!$B$16,Paramètres!$A$1:$I$89,3,0)*VLOOKUP('Données projet'!$B$16,Paramètres!$A$1:$I$89,5,0)</f>
        <v>0</v>
      </c>
      <c r="FG172" s="14" t="e">
        <f t="shared" si="182"/>
        <v>#NUM!</v>
      </c>
      <c r="FH172" s="22" t="e">
        <f t="shared" si="183"/>
        <v>#NUM!</v>
      </c>
      <c r="FI172" s="62" t="e">
        <f t="shared" si="131"/>
        <v>#NUM!</v>
      </c>
      <c r="FJ172" s="62">
        <f ca="1">AVERAGE(OFFSET($FI$3,0,0,'Données projet'!$E$16+1,1))-AVERAGE(OFFSET($H$3,0,0,'Données projet'!$E$16+1,1))</f>
        <v>335.83558218229564</v>
      </c>
      <c r="FK172" s="62">
        <f t="shared" si="156"/>
        <v>217.08423061559648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0</v>
      </c>
      <c r="FR172" s="23">
        <f>EXP(-LN(2)/25)*FR171+(1-EXP(-LN(2)/25))/(LN(2)/25)*Calculateur!FM172*Calculateur!FO172*VLOOKUP('Données projet'!$B$16,Paramètres!$A$1:$I$89,3,0)*0.475*44/12</f>
        <v>0.17685316560689504</v>
      </c>
      <c r="FS172" s="23">
        <f>EXP(-LN(2)/2)*FS171+(1-EXP(-LN(2)/2))/(LN(2)/2)*FM172*FP172*VLOOKUP('Données projet'!$B$16,Paramètres!$A$1:$I$89,3,0)*0.475*44/12</f>
        <v>1.3241184673889073E-20</v>
      </c>
      <c r="FT172" s="24">
        <f t="shared" si="184"/>
        <v>0.17685316560689504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1.9895196601282805E-13</v>
      </c>
      <c r="O173" s="14">
        <f>N173*VLOOKUP('Données projet'!$B$9,Paramètres!$A$1:$I$89,3,0)*VLOOKUP('Données projet'!$B$9,Paramètres!$A$1:$I$89,5,0)</f>
        <v>1.738044375088066E-13</v>
      </c>
      <c r="P173" s="14">
        <f t="shared" si="141"/>
        <v>2.4483293633950478E-12</v>
      </c>
      <c r="Q173" s="22">
        <f t="shared" si="162"/>
        <v>4.566883036574213E-12</v>
      </c>
      <c r="R173" s="62">
        <f t="shared" si="109"/>
        <v>293.33333333333786</v>
      </c>
      <c r="S173" s="62">
        <f ca="1">AVERAGE(OFFSET($R$3,0,0,'Données projet'!$E$9+1,1))-AVERAGE(OFFSET($H$3,0,0,'Données projet'!$E$9+1,1))</f>
        <v>321.23599968992932</v>
      </c>
      <c r="T173" s="62">
        <f t="shared" si="142"/>
        <v>388.05195847800502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0.52742284055256872</v>
      </c>
      <c r="AB173" s="23">
        <f>EXP(-LN(2)/2)*AB172+(1-EXP(-LN(2)/2))/(LN(2)/2)*V173*Y173*VLOOKUP('Données projet'!$B$9,Paramètres!$A$1:$I$89,3,0)*0.475*44/12</f>
        <v>1.5472334177295036E-20</v>
      </c>
      <c r="AC173" s="24">
        <f t="shared" si="163"/>
        <v>0.52742284055256872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-5.6843418860808015E-14</v>
      </c>
      <c r="AJ173" s="14">
        <f>AI173*VLOOKUP('Données projet'!$B$10,Paramètres!$A$1:$I$89,3,0)*VLOOKUP('Données projet'!$B$10,Paramètres!$A$1:$I$89,5,0)</f>
        <v>-5.1431925385259088E-14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439.19854273764042</v>
      </c>
      <c r="AO173" s="62">
        <f t="shared" si="144"/>
        <v>278.21741231699929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0.18824513540751131</v>
      </c>
      <c r="AW173" s="23">
        <f>EXP(-LN(2)/2)*AW172+(1-EXP(-LN(2)/2))/(LN(2)/2)*AQ173*AT173*VLOOKUP('Données projet'!$B$10,Paramètres!$A$1:$I$89,3,0)*0.475*44/12</f>
        <v>1.2629070360077111E-20</v>
      </c>
      <c r="AX173" s="23">
        <f t="shared" si="166"/>
        <v>0.18824513540751131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-2.8421709430404007E-13</v>
      </c>
      <c r="BE173" s="14">
        <f>BD173*VLOOKUP('Données projet'!$B$11,Paramètres!$A$1:$I$89,3,0)*VLOOKUP('Données projet'!$B$11,Paramètres!$A$1:$I$89,5,0)</f>
        <v>-2.2612312022829427E-13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352.88510024787888</v>
      </c>
      <c r="BJ173" s="62">
        <f t="shared" si="146"/>
        <v>343.77208530767069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0.25340092730383379</v>
      </c>
      <c r="BR173" s="23">
        <f>EXP(-LN(2)/2)*BR172+(1-EXP(-LN(2)/2))/(LN(2)/2)*BL173*BO173*VLOOKUP('Données projet'!$B$11,Paramètres!$A$1:$I$89,3,0)*0.475*44/12</f>
        <v>3.3438202167026921E-22</v>
      </c>
      <c r="BS173" s="24">
        <f t="shared" si="169"/>
        <v>0.25340092730383379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-2.8421709430404007E-13</v>
      </c>
      <c r="BZ173" s="14">
        <f>BY173*VLOOKUP('Données projet'!$B$12,Paramètres!$A$1:$I$89,3,0)*VLOOKUP('Données projet'!$B$12,Paramètres!$A$1:$I$89,5,0)</f>
        <v>-2.0838797354372215E-13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328.10411227536315</v>
      </c>
      <c r="CE173" s="62">
        <f t="shared" si="148"/>
        <v>320.24200483294322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0.5674193256073522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0.5674193256073522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5.6843418860808015E-14</v>
      </c>
      <c r="CU173" s="18">
        <f>CT173*VLOOKUP('Données projet'!$B$13,Paramètres!$A$1:$I$89,3,0)*VLOOKUP('Données projet'!$B$13,Paramètres!$A$1:$I$89,5,0)</f>
        <v>4.4337866711430253E-14</v>
      </c>
      <c r="CV173" s="14">
        <f t="shared" si="173"/>
        <v>7.3222115536967035E-13</v>
      </c>
      <c r="CW173" s="22">
        <f t="shared" si="174"/>
        <v>1.3525069634579169E-12</v>
      </c>
      <c r="CX173" s="62">
        <f t="shared" si="122"/>
        <v>293.33333333333468</v>
      </c>
      <c r="CY173" s="62">
        <f ca="1">AVERAGE(OFFSET($CX$3,0,0,'Données projet'!$E$13+1,1))-AVERAGE(OFFSET($H$3,0,0,'Données projet'!$E$13+1,1))</f>
        <v>288.82868507674738</v>
      </c>
      <c r="CZ173" s="62">
        <f t="shared" si="150"/>
        <v>283.48738729114024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0.63801979721480062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0.63801979721480062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>
        <f>DO173*VLOOKUP('Données projet'!$B$14,Paramètres!$A$1:$I$89,3,0)*VLOOKUP('Données projet'!$B$14,Paramètres!$A$1:$I$89,5,0)</f>
        <v>0</v>
      </c>
      <c r="DQ173" s="14" t="e">
        <f t="shared" si="176"/>
        <v>#NUM!</v>
      </c>
      <c r="DR173" s="22" t="e">
        <f t="shared" si="177"/>
        <v>#NUM!</v>
      </c>
      <c r="DS173" s="62" t="e">
        <f t="shared" si="125"/>
        <v>#NUM!</v>
      </c>
      <c r="DT173" s="62">
        <f ca="1">AVERAGE(OFFSET($DS$3,0,0,'Données projet'!$E$14+1,1))-AVERAGE(OFFSET($H$3,0,0,'Données projet'!$E$14+1,1))</f>
        <v>487.04124684635974</v>
      </c>
      <c r="DU173" s="62">
        <f t="shared" si="152"/>
        <v>306.61893266146666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0.7652761508487782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0.7652761508487782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>
        <f>EJ173*VLOOKUP('Données projet'!$B$15,Paramètres!$A$1:$I$89,3,0)*VLOOKUP('Données projet'!$B$15,Paramètres!$A$1:$I$89,5,0)</f>
        <v>0</v>
      </c>
      <c r="EL173" s="14" t="e">
        <f t="shared" si="179"/>
        <v>#NUM!</v>
      </c>
      <c r="EM173" s="22" t="e">
        <f t="shared" si="180"/>
        <v>#NUM!</v>
      </c>
      <c r="EN173" s="62" t="e">
        <f t="shared" si="128"/>
        <v>#NUM!</v>
      </c>
      <c r="EO173" s="62">
        <f ca="1">AVERAGE(OFFSET($EN$3,0,0,'Données projet'!$E$15+1,1))-AVERAGE(OFFSET($H$3,0,0,'Données projet'!$E$15+1,1))</f>
        <v>459.64120566196812</v>
      </c>
      <c r="EP173" s="62">
        <f t="shared" si="154"/>
        <v>290.39826583283588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0.71818223387346891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0.71818223387346891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>
        <f>FE173*VLOOKUP('Données projet'!$B$16,Paramètres!$A$1:$I$89,3,0)*VLOOKUP('Données projet'!$B$16,Paramètres!$A$1:$I$89,5,0)</f>
        <v>0</v>
      </c>
      <c r="FG173" s="14" t="e">
        <f t="shared" si="182"/>
        <v>#NUM!</v>
      </c>
      <c r="FH173" s="22" t="e">
        <f t="shared" si="183"/>
        <v>#NUM!</v>
      </c>
      <c r="FI173" s="62" t="e">
        <f t="shared" si="131"/>
        <v>#NUM!</v>
      </c>
      <c r="FJ173" s="62">
        <f ca="1">AVERAGE(OFFSET($FI$3,0,0,'Données projet'!$E$16+1,1))-AVERAGE(OFFSET($H$3,0,0,'Données projet'!$E$16+1,1))</f>
        <v>335.83558218229564</v>
      </c>
      <c r="FK173" s="62">
        <f t="shared" si="156"/>
        <v>217.08423061559648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0</v>
      </c>
      <c r="FR173" s="23">
        <f>EXP(-LN(2)/25)*FR172+(1-EXP(-LN(2)/25))/(LN(2)/25)*Calculateur!FM173*Calculateur!FO173*VLOOKUP('Données projet'!$B$16,Paramètres!$A$1:$I$89,3,0)*0.475*44/12</f>
        <v>0.17201710649307073</v>
      </c>
      <c r="FS173" s="23">
        <f>EXP(-LN(2)/2)*FS172+(1-EXP(-LN(2)/2))/(LN(2)/2)*FM173*FP173*VLOOKUP('Données projet'!$B$16,Paramètres!$A$1:$I$89,3,0)*0.475*44/12</f>
        <v>9.3629314738503476E-21</v>
      </c>
      <c r="FT173" s="24">
        <f t="shared" si="184"/>
        <v>0.17201710649307073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1.9895196601282805E-13</v>
      </c>
      <c r="O174" s="14">
        <f>N174*VLOOKUP('Données projet'!$B$9,Paramètres!$A$1:$I$89,3,0)*VLOOKUP('Données projet'!$B$9,Paramètres!$A$1:$I$89,5,0)</f>
        <v>1.738044375088066E-13</v>
      </c>
      <c r="P174" s="14">
        <f t="shared" si="141"/>
        <v>2.4483293633950478E-12</v>
      </c>
      <c r="Q174" s="22">
        <f t="shared" si="162"/>
        <v>4.566883036574213E-12</v>
      </c>
      <c r="R174" s="62">
        <f t="shared" si="109"/>
        <v>293.33333333333786</v>
      </c>
      <c r="S174" s="62">
        <f ca="1">AVERAGE(OFFSET($R$3,0,0,'Données projet'!$E$9+1,1))-AVERAGE(OFFSET($H$3,0,0,'Données projet'!$E$9+1,1))</f>
        <v>321.23599968992932</v>
      </c>
      <c r="T174" s="62">
        <f t="shared" si="142"/>
        <v>388.05195847800502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0.51300043524169703</v>
      </c>
      <c r="AB174" s="23">
        <f>EXP(-LN(2)/2)*AB173+(1-EXP(-LN(2)/2))/(LN(2)/2)*V174*Y174*VLOOKUP('Données projet'!$B$9,Paramètres!$A$1:$I$89,3,0)*0.475*44/12</f>
        <v>1.0940592417549702E-20</v>
      </c>
      <c r="AC174" s="24">
        <f t="shared" si="163"/>
        <v>0.51300043524169703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-5.6843418860808015E-14</v>
      </c>
      <c r="AJ174" s="14">
        <f>AI174*VLOOKUP('Données projet'!$B$10,Paramètres!$A$1:$I$89,3,0)*VLOOKUP('Données projet'!$B$10,Paramètres!$A$1:$I$89,5,0)</f>
        <v>-5.1431925385259088E-14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439.19854273764042</v>
      </c>
      <c r="AO174" s="62">
        <f t="shared" si="144"/>
        <v>278.21741231699929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0.18309756228041149</v>
      </c>
      <c r="AW174" s="23">
        <f>EXP(-LN(2)/2)*AW173+(1-EXP(-LN(2)/2))/(LN(2)/2)*AQ174*AT174*VLOOKUP('Données projet'!$B$10,Paramètres!$A$1:$I$89,3,0)*0.475*44/12</f>
        <v>8.9301012916925585E-21</v>
      </c>
      <c r="AX174" s="23">
        <f t="shared" si="166"/>
        <v>0.18309756228041149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-2.8421709430404007E-13</v>
      </c>
      <c r="BE174" s="14">
        <f>BD174*VLOOKUP('Données projet'!$B$11,Paramètres!$A$1:$I$89,3,0)*VLOOKUP('Données projet'!$B$11,Paramètres!$A$1:$I$89,5,0)</f>
        <v>-2.2612312022829427E-13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352.88510024787888</v>
      </c>
      <c r="BJ174" s="62">
        <f t="shared" si="146"/>
        <v>343.77208530767069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0.24647166562093484</v>
      </c>
      <c r="BR174" s="23">
        <f>EXP(-LN(2)/2)*BR173+(1-EXP(-LN(2)/2))/(LN(2)/2)*BL174*BO174*VLOOKUP('Données projet'!$B$11,Paramètres!$A$1:$I$89,3,0)*0.475*44/12</f>
        <v>2.3644379502991444E-22</v>
      </c>
      <c r="BS174" s="24">
        <f t="shared" si="169"/>
        <v>0.24647166562093484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-2.8421709430404007E-13</v>
      </c>
      <c r="BZ174" s="14">
        <f>BY174*VLOOKUP('Données projet'!$B$12,Paramètres!$A$1:$I$89,3,0)*VLOOKUP('Données projet'!$B$12,Paramètres!$A$1:$I$89,5,0)</f>
        <v>-2.0838797354372215E-13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328.10411227536315</v>
      </c>
      <c r="CE174" s="62">
        <f t="shared" si="148"/>
        <v>320.24200483294322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0.55629257872380689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0.55629257872380689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5.6843418860808015E-14</v>
      </c>
      <c r="CU174" s="18">
        <f>CT174*VLOOKUP('Données projet'!$B$13,Paramètres!$A$1:$I$89,3,0)*VLOOKUP('Données projet'!$B$13,Paramètres!$A$1:$I$89,5,0)</f>
        <v>4.4337866711430253E-14</v>
      </c>
      <c r="CV174" s="14">
        <f t="shared" si="173"/>
        <v>7.3222115536967035E-13</v>
      </c>
      <c r="CW174" s="22">
        <f t="shared" si="174"/>
        <v>1.3525069634579169E-12</v>
      </c>
      <c r="CX174" s="62">
        <f t="shared" si="122"/>
        <v>293.33333333333468</v>
      </c>
      <c r="CY174" s="62">
        <f ca="1">AVERAGE(OFFSET($CX$3,0,0,'Données projet'!$E$13+1,1))-AVERAGE(OFFSET($H$3,0,0,'Données projet'!$E$13+1,1))</f>
        <v>288.82868507674738</v>
      </c>
      <c r="CZ174" s="62">
        <f t="shared" si="150"/>
        <v>283.48738729114024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0.62550861814506897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0.62550861814506897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>
        <f>DO174*VLOOKUP('Données projet'!$B$14,Paramètres!$A$1:$I$89,3,0)*VLOOKUP('Données projet'!$B$14,Paramètres!$A$1:$I$89,5,0)</f>
        <v>0</v>
      </c>
      <c r="DQ174" s="14" t="e">
        <f t="shared" si="176"/>
        <v>#NUM!</v>
      </c>
      <c r="DR174" s="22" t="e">
        <f t="shared" si="177"/>
        <v>#NUM!</v>
      </c>
      <c r="DS174" s="62" t="e">
        <f t="shared" si="125"/>
        <v>#NUM!</v>
      </c>
      <c r="DT174" s="62">
        <f ca="1">AVERAGE(OFFSET($DS$3,0,0,'Données projet'!$E$14+1,1))-AVERAGE(OFFSET($H$3,0,0,'Données projet'!$E$14+1,1))</f>
        <v>487.04124684635974</v>
      </c>
      <c r="DU174" s="62">
        <f t="shared" si="152"/>
        <v>306.61893266146666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0.75026955230299575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0.75026955230299575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>
        <f>EJ174*VLOOKUP('Données projet'!$B$15,Paramètres!$A$1:$I$89,3,0)*VLOOKUP('Données projet'!$B$15,Paramètres!$A$1:$I$89,5,0)</f>
        <v>0</v>
      </c>
      <c r="EL174" s="14" t="e">
        <f t="shared" si="179"/>
        <v>#NUM!</v>
      </c>
      <c r="EM174" s="22" t="e">
        <f t="shared" si="180"/>
        <v>#NUM!</v>
      </c>
      <c r="EN174" s="62" t="e">
        <f t="shared" si="128"/>
        <v>#NUM!</v>
      </c>
      <c r="EO174" s="62">
        <f ca="1">AVERAGE(OFFSET($EN$3,0,0,'Données projet'!$E$15+1,1))-AVERAGE(OFFSET($H$3,0,0,'Données projet'!$E$15+1,1))</f>
        <v>459.64120566196812</v>
      </c>
      <c r="EP174" s="62">
        <f t="shared" si="154"/>
        <v>290.39826583283588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0.70409911831511918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0.70409911831511918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>
        <f>FE174*VLOOKUP('Données projet'!$B$16,Paramètres!$A$1:$I$89,3,0)*VLOOKUP('Données projet'!$B$16,Paramètres!$A$1:$I$89,5,0)</f>
        <v>0</v>
      </c>
      <c r="FG174" s="14" t="e">
        <f t="shared" si="182"/>
        <v>#NUM!</v>
      </c>
      <c r="FH174" s="22" t="e">
        <f t="shared" si="183"/>
        <v>#NUM!</v>
      </c>
      <c r="FI174" s="62" t="e">
        <f t="shared" si="131"/>
        <v>#NUM!</v>
      </c>
      <c r="FJ174" s="62">
        <f ca="1">AVERAGE(OFFSET($FI$3,0,0,'Données projet'!$E$16+1,1))-AVERAGE(OFFSET($H$3,0,0,'Données projet'!$E$16+1,1))</f>
        <v>335.83558218229564</v>
      </c>
      <c r="FK174" s="62">
        <f t="shared" si="156"/>
        <v>217.08423061559648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0</v>
      </c>
      <c r="FR174" s="23">
        <f>EXP(-LN(2)/25)*FR173+(1-EXP(-LN(2)/25))/(LN(2)/25)*Calculateur!FM174*Calculateur!FO174*VLOOKUP('Données projet'!$B$16,Paramètres!$A$1:$I$89,3,0)*0.475*44/12</f>
        <v>0.16731328967003123</v>
      </c>
      <c r="FS174" s="23">
        <f>EXP(-LN(2)/2)*FS173+(1-EXP(-LN(2)/2))/(LN(2)/2)*FM174*FP174*VLOOKUP('Données projet'!$B$16,Paramètres!$A$1:$I$89,3,0)*0.475*44/12</f>
        <v>6.6205923369445367E-21</v>
      </c>
      <c r="FT174" s="24">
        <f t="shared" si="184"/>
        <v>0.16731328967003123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1.9895196601282805E-13</v>
      </c>
      <c r="O175" s="14">
        <f>N175*VLOOKUP('Données projet'!$B$9,Paramètres!$A$1:$I$89,3,0)*VLOOKUP('Données projet'!$B$9,Paramètres!$A$1:$I$89,5,0)</f>
        <v>1.738044375088066E-13</v>
      </c>
      <c r="P175" s="14">
        <f t="shared" si="141"/>
        <v>2.4483293633950478E-12</v>
      </c>
      <c r="Q175" s="22">
        <f t="shared" si="162"/>
        <v>4.566883036574213E-12</v>
      </c>
      <c r="R175" s="62">
        <f t="shared" si="109"/>
        <v>293.33333333333786</v>
      </c>
      <c r="S175" s="62">
        <f ca="1">AVERAGE(OFFSET($R$3,0,0,'Données projet'!$E$9+1,1))-AVERAGE(OFFSET($H$3,0,0,'Données projet'!$E$9+1,1))</f>
        <v>321.23599968992932</v>
      </c>
      <c r="T175" s="62">
        <f t="shared" si="142"/>
        <v>388.05195847800502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0.49897241136249243</v>
      </c>
      <c r="AB175" s="23">
        <f>EXP(-LN(2)/2)*AB174+(1-EXP(-LN(2)/2))/(LN(2)/2)*V175*Y175*VLOOKUP('Données projet'!$B$9,Paramètres!$A$1:$I$89,3,0)*0.475*44/12</f>
        <v>7.736167088647518E-21</v>
      </c>
      <c r="AC175" s="24">
        <f t="shared" si="163"/>
        <v>0.49897241136249243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-5.6843418860808015E-14</v>
      </c>
      <c r="AJ175" s="14">
        <f>AI175*VLOOKUP('Données projet'!$B$10,Paramètres!$A$1:$I$89,3,0)*VLOOKUP('Données projet'!$B$10,Paramètres!$A$1:$I$89,5,0)</f>
        <v>-5.1431925385259088E-14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439.19854273764042</v>
      </c>
      <c r="AO175" s="62">
        <f t="shared" si="144"/>
        <v>278.21741231699929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0.17809074981117132</v>
      </c>
      <c r="AW175" s="23">
        <f>EXP(-LN(2)/2)*AW174+(1-EXP(-LN(2)/2))/(LN(2)/2)*AQ175*AT175*VLOOKUP('Données projet'!$B$10,Paramètres!$A$1:$I$89,3,0)*0.475*44/12</f>
        <v>6.3145351800385555E-21</v>
      </c>
      <c r="AX175" s="23">
        <f t="shared" si="166"/>
        <v>0.17809074981117132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-2.8421709430404007E-13</v>
      </c>
      <c r="BE175" s="14">
        <f>BD175*VLOOKUP('Données projet'!$B$11,Paramètres!$A$1:$I$89,3,0)*VLOOKUP('Données projet'!$B$11,Paramètres!$A$1:$I$89,5,0)</f>
        <v>-2.2612312022829427E-13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352.88510024787888</v>
      </c>
      <c r="BJ175" s="62">
        <f t="shared" si="146"/>
        <v>343.77208530767069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0.23973188496314879</v>
      </c>
      <c r="BR175" s="23">
        <f>EXP(-LN(2)/2)*BR174+(1-EXP(-LN(2)/2))/(LN(2)/2)*BL175*BO175*VLOOKUP('Données projet'!$B$11,Paramètres!$A$1:$I$89,3,0)*0.475*44/12</f>
        <v>1.6719101083513461E-22</v>
      </c>
      <c r="BS175" s="24">
        <f t="shared" si="169"/>
        <v>0.23973188496314879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-2.8421709430404007E-13</v>
      </c>
      <c r="BZ175" s="14">
        <f>BY175*VLOOKUP('Données projet'!$B$12,Paramètres!$A$1:$I$89,3,0)*VLOOKUP('Données projet'!$B$12,Paramètres!$A$1:$I$89,5,0)</f>
        <v>-2.0838797354372215E-13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328.10411227536315</v>
      </c>
      <c r="CE175" s="62">
        <f t="shared" si="148"/>
        <v>320.24200483294322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0.54538402056000246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0.54538402056000246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5.6843418860808015E-14</v>
      </c>
      <c r="CU175" s="18">
        <f>CT175*VLOOKUP('Données projet'!$B$13,Paramètres!$A$1:$I$89,3,0)*VLOOKUP('Données projet'!$B$13,Paramètres!$A$1:$I$89,5,0)</f>
        <v>4.4337866711430253E-14</v>
      </c>
      <c r="CV175" s="14">
        <f t="shared" si="173"/>
        <v>7.3222115536967035E-13</v>
      </c>
      <c r="CW175" s="22">
        <f t="shared" si="174"/>
        <v>1.3525069634579169E-12</v>
      </c>
      <c r="CX175" s="62">
        <f t="shared" si="122"/>
        <v>293.33333333333468</v>
      </c>
      <c r="CY175" s="62">
        <f ca="1">AVERAGE(OFFSET($CX$3,0,0,'Données projet'!$E$13+1,1))-AVERAGE(OFFSET($H$3,0,0,'Données projet'!$E$13+1,1))</f>
        <v>288.82868507674738</v>
      </c>
      <c r="CZ175" s="62">
        <f t="shared" si="150"/>
        <v>283.48738729114024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0.61324277566582897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0.61324277566582897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>
        <f>DO175*VLOOKUP('Données projet'!$B$14,Paramètres!$A$1:$I$89,3,0)*VLOOKUP('Données projet'!$B$14,Paramètres!$A$1:$I$89,5,0)</f>
        <v>0</v>
      </c>
      <c r="DQ175" s="14" t="e">
        <f t="shared" si="176"/>
        <v>#NUM!</v>
      </c>
      <c r="DR175" s="22" t="e">
        <f t="shared" si="177"/>
        <v>#NUM!</v>
      </c>
      <c r="DS175" s="62" t="e">
        <f t="shared" si="125"/>
        <v>#NUM!</v>
      </c>
      <c r="DT175" s="62">
        <f ca="1">AVERAGE(OFFSET($DS$3,0,0,'Données projet'!$E$14+1,1))-AVERAGE(OFFSET($H$3,0,0,'Données projet'!$E$14+1,1))</f>
        <v>487.04124684635974</v>
      </c>
      <c r="DU175" s="62">
        <f t="shared" si="152"/>
        <v>306.61893266146666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0.73555722400157475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0.73555722400157475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>
        <f>EJ175*VLOOKUP('Données projet'!$B$15,Paramètres!$A$1:$I$89,3,0)*VLOOKUP('Données projet'!$B$15,Paramètres!$A$1:$I$89,5,0)</f>
        <v>0</v>
      </c>
      <c r="EL175" s="14" t="e">
        <f t="shared" si="179"/>
        <v>#NUM!</v>
      </c>
      <c r="EM175" s="22" t="e">
        <f t="shared" si="180"/>
        <v>#NUM!</v>
      </c>
      <c r="EN175" s="62" t="e">
        <f t="shared" si="128"/>
        <v>#NUM!</v>
      </c>
      <c r="EO175" s="62">
        <f ca="1">AVERAGE(OFFSET($EN$3,0,0,'Données projet'!$E$15+1,1))-AVERAGE(OFFSET($H$3,0,0,'Données projet'!$E$15+1,1))</f>
        <v>459.64120566196812</v>
      </c>
      <c r="EP175" s="62">
        <f t="shared" si="154"/>
        <v>290.39826583283588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0.69029216406301641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0.69029216406301641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>
        <f>FE175*VLOOKUP('Données projet'!$B$16,Paramètres!$A$1:$I$89,3,0)*VLOOKUP('Données projet'!$B$16,Paramètres!$A$1:$I$89,5,0)</f>
        <v>0</v>
      </c>
      <c r="FG175" s="14" t="e">
        <f t="shared" si="182"/>
        <v>#NUM!</v>
      </c>
      <c r="FH175" s="22" t="e">
        <f t="shared" si="183"/>
        <v>#NUM!</v>
      </c>
      <c r="FI175" s="62" t="e">
        <f t="shared" si="131"/>
        <v>#NUM!</v>
      </c>
      <c r="FJ175" s="62">
        <f ca="1">AVERAGE(OFFSET($FI$3,0,0,'Données projet'!$E$16+1,1))-AVERAGE(OFFSET($H$3,0,0,'Données projet'!$E$16+1,1))</f>
        <v>335.83558218229564</v>
      </c>
      <c r="FK175" s="62">
        <f t="shared" si="156"/>
        <v>217.08423061559648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0</v>
      </c>
      <c r="FR175" s="23">
        <f>EXP(-LN(2)/25)*FR174+(1-EXP(-LN(2)/25))/(LN(2)/25)*Calculateur!FM175*Calculateur!FO175*VLOOKUP('Données projet'!$B$16,Paramètres!$A$1:$I$89,3,0)*0.475*44/12</f>
        <v>0.16273809896538072</v>
      </c>
      <c r="FS175" s="23">
        <f>EXP(-LN(2)/2)*FS174+(1-EXP(-LN(2)/2))/(LN(2)/2)*FM175*FP175*VLOOKUP('Données projet'!$B$16,Paramètres!$A$1:$I$89,3,0)*0.475*44/12</f>
        <v>4.6814657369251738E-21</v>
      </c>
      <c r="FT175" s="24">
        <f t="shared" si="184"/>
        <v>0.16273809896538072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1.9895196601282805E-13</v>
      </c>
      <c r="O176" s="14">
        <f>N176*VLOOKUP('Données projet'!$B$9,Paramètres!$A$1:$I$89,3,0)*VLOOKUP('Données projet'!$B$9,Paramètres!$A$1:$I$89,5,0)</f>
        <v>1.738044375088066E-13</v>
      </c>
      <c r="P176" s="14">
        <f t="shared" si="141"/>
        <v>2.4483293633950478E-12</v>
      </c>
      <c r="Q176" s="22">
        <f t="shared" si="162"/>
        <v>4.566883036574213E-12</v>
      </c>
      <c r="R176" s="62">
        <f t="shared" si="109"/>
        <v>293.33333333333786</v>
      </c>
      <c r="S176" s="62">
        <f ca="1">AVERAGE(OFFSET($R$3,0,0,'Données projet'!$E$9+1,1))-AVERAGE(OFFSET($H$3,0,0,'Données projet'!$E$9+1,1))</f>
        <v>321.23599968992932</v>
      </c>
      <c r="T176" s="62">
        <f t="shared" si="142"/>
        <v>388.05195847800502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0.48532798453396636</v>
      </c>
      <c r="AB176" s="23">
        <f>EXP(-LN(2)/2)*AB175+(1-EXP(-LN(2)/2))/(LN(2)/2)*V176*Y176*VLOOKUP('Données projet'!$B$9,Paramètres!$A$1:$I$89,3,0)*0.475*44/12</f>
        <v>5.4702962087748511E-21</v>
      </c>
      <c r="AC176" s="24">
        <f t="shared" si="163"/>
        <v>0.48532798453396636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-5.6843418860808015E-14</v>
      </c>
      <c r="AJ176" s="14">
        <f>AI176*VLOOKUP('Données projet'!$B$10,Paramètres!$A$1:$I$89,3,0)*VLOOKUP('Données projet'!$B$10,Paramètres!$A$1:$I$89,5,0)</f>
        <v>-5.1431925385259088E-14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439.19854273764042</v>
      </c>
      <c r="AO176" s="62">
        <f t="shared" si="144"/>
        <v>278.21741231699929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0.17322084889219933</v>
      </c>
      <c r="AW176" s="23">
        <f>EXP(-LN(2)/2)*AW175+(1-EXP(-LN(2)/2))/(LN(2)/2)*AQ176*AT176*VLOOKUP('Données projet'!$B$10,Paramètres!$A$1:$I$89,3,0)*0.475*44/12</f>
        <v>4.4650506458462793E-21</v>
      </c>
      <c r="AX176" s="23">
        <f t="shared" si="166"/>
        <v>0.17322084889219933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-2.8421709430404007E-13</v>
      </c>
      <c r="BE176" s="14">
        <f>BD176*VLOOKUP('Données projet'!$B$11,Paramètres!$A$1:$I$89,3,0)*VLOOKUP('Données projet'!$B$11,Paramètres!$A$1:$I$89,5,0)</f>
        <v>-2.2612312022829427E-13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352.88510024787888</v>
      </c>
      <c r="BJ176" s="62">
        <f t="shared" si="146"/>
        <v>343.77208530767069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0.23317640396187958</v>
      </c>
      <c r="BR176" s="23">
        <f>EXP(-LN(2)/2)*BR175+(1-EXP(-LN(2)/2))/(LN(2)/2)*BL176*BO176*VLOOKUP('Données projet'!$B$11,Paramètres!$A$1:$I$89,3,0)*0.475*44/12</f>
        <v>1.1822189751495722E-22</v>
      </c>
      <c r="BS176" s="24">
        <f t="shared" si="169"/>
        <v>0.23317640396187958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-2.8421709430404007E-13</v>
      </c>
      <c r="BZ176" s="14">
        <f>BY176*VLOOKUP('Données projet'!$B$12,Paramètres!$A$1:$I$89,3,0)*VLOOKUP('Données projet'!$B$12,Paramètres!$A$1:$I$89,5,0)</f>
        <v>-2.0838797354372215E-13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328.10411227536315</v>
      </c>
      <c r="CE176" s="62">
        <f t="shared" si="148"/>
        <v>320.24200483294322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0.5346893725682268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0.5346893725682268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5.6843418860808015E-14</v>
      </c>
      <c r="CU176" s="18">
        <f>CT176*VLOOKUP('Données projet'!$B$13,Paramètres!$A$1:$I$89,3,0)*VLOOKUP('Données projet'!$B$13,Paramètres!$A$1:$I$89,5,0)</f>
        <v>4.4337866711430253E-14</v>
      </c>
      <c r="CV176" s="14">
        <f t="shared" si="173"/>
        <v>7.3222115536967035E-13</v>
      </c>
      <c r="CW176" s="22">
        <f t="shared" si="174"/>
        <v>1.3525069634579169E-12</v>
      </c>
      <c r="CX176" s="62">
        <f t="shared" si="122"/>
        <v>293.33333333333468</v>
      </c>
      <c r="CY176" s="62">
        <f ca="1">AVERAGE(OFFSET($CX$3,0,0,'Données projet'!$E$13+1,1))-AVERAGE(OFFSET($H$3,0,0,'Données projet'!$E$13+1,1))</f>
        <v>288.82868507674738</v>
      </c>
      <c r="CZ176" s="62">
        <f t="shared" si="150"/>
        <v>283.48738729114024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0.60121745887618172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0.60121745887618172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>
        <f>DO176*VLOOKUP('Données projet'!$B$14,Paramètres!$A$1:$I$89,3,0)*VLOOKUP('Données projet'!$B$14,Paramètres!$A$1:$I$89,5,0)</f>
        <v>0</v>
      </c>
      <c r="DQ176" s="14" t="e">
        <f t="shared" si="176"/>
        <v>#NUM!</v>
      </c>
      <c r="DR176" s="22" t="e">
        <f t="shared" si="177"/>
        <v>#NUM!</v>
      </c>
      <c r="DS176" s="62" t="e">
        <f t="shared" si="125"/>
        <v>#NUM!</v>
      </c>
      <c r="DT176" s="62">
        <f ca="1">AVERAGE(OFFSET($DS$3,0,0,'Données projet'!$E$14+1,1))-AVERAGE(OFFSET($H$3,0,0,'Données projet'!$E$14+1,1))</f>
        <v>487.04124684635974</v>
      </c>
      <c r="DU176" s="62">
        <f t="shared" si="152"/>
        <v>306.61893266146666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0.72113339548451039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0.72113339548451039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>
        <f>EJ176*VLOOKUP('Données projet'!$B$15,Paramètres!$A$1:$I$89,3,0)*VLOOKUP('Données projet'!$B$15,Paramètres!$A$1:$I$89,5,0)</f>
        <v>0</v>
      </c>
      <c r="EL176" s="14" t="e">
        <f t="shared" si="179"/>
        <v>#NUM!</v>
      </c>
      <c r="EM176" s="22" t="e">
        <f t="shared" si="180"/>
        <v>#NUM!</v>
      </c>
      <c r="EN176" s="62" t="e">
        <f t="shared" si="128"/>
        <v>#NUM!</v>
      </c>
      <c r="EO176" s="62">
        <f ca="1">AVERAGE(OFFSET($EN$3,0,0,'Données projet'!$E$15+1,1))-AVERAGE(OFFSET($H$3,0,0,'Données projet'!$E$15+1,1))</f>
        <v>459.64120566196812</v>
      </c>
      <c r="EP176" s="62">
        <f t="shared" si="154"/>
        <v>290.39826583283588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0.67675595576238678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0.67675595576238678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>
        <f>FE176*VLOOKUP('Données projet'!$B$16,Paramètres!$A$1:$I$89,3,0)*VLOOKUP('Données projet'!$B$16,Paramètres!$A$1:$I$89,5,0)</f>
        <v>0</v>
      </c>
      <c r="FG176" s="14" t="e">
        <f t="shared" si="182"/>
        <v>#NUM!</v>
      </c>
      <c r="FH176" s="22" t="e">
        <f t="shared" si="183"/>
        <v>#NUM!</v>
      </c>
      <c r="FI176" s="62" t="e">
        <f t="shared" si="131"/>
        <v>#NUM!</v>
      </c>
      <c r="FJ176" s="62">
        <f ca="1">AVERAGE(OFFSET($FI$3,0,0,'Données projet'!$E$16+1,1))-AVERAGE(OFFSET($H$3,0,0,'Données projet'!$E$16+1,1))</f>
        <v>335.83558218229564</v>
      </c>
      <c r="FK176" s="62">
        <f t="shared" si="156"/>
        <v>217.08423061559648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0</v>
      </c>
      <c r="FR176" s="23">
        <f>EXP(-LN(2)/25)*FR175+(1-EXP(-LN(2)/25))/(LN(2)/25)*Calculateur!FM176*Calculateur!FO176*VLOOKUP('Données projet'!$B$16,Paramètres!$A$1:$I$89,3,0)*0.475*44/12</f>
        <v>0.1582880170911477</v>
      </c>
      <c r="FS176" s="23">
        <f>EXP(-LN(2)/2)*FS175+(1-EXP(-LN(2)/2))/(LN(2)/2)*FM176*FP176*VLOOKUP('Données projet'!$B$16,Paramètres!$A$1:$I$89,3,0)*0.475*44/12</f>
        <v>3.3102961684722684E-21</v>
      </c>
      <c r="FT176" s="24">
        <f t="shared" si="184"/>
        <v>0.1582880170911477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1.9895196601282805E-13</v>
      </c>
      <c r="O177" s="14">
        <f>N177*VLOOKUP('Données projet'!$B$9,Paramètres!$A$1:$I$89,3,0)*VLOOKUP('Données projet'!$B$9,Paramètres!$A$1:$I$89,5,0)</f>
        <v>1.738044375088066E-13</v>
      </c>
      <c r="P177" s="14">
        <f t="shared" si="141"/>
        <v>2.4483293633950478E-12</v>
      </c>
      <c r="Q177" s="22">
        <f t="shared" si="162"/>
        <v>4.566883036574213E-12</v>
      </c>
      <c r="R177" s="62">
        <f t="shared" si="109"/>
        <v>293.33333333333786</v>
      </c>
      <c r="S177" s="62">
        <f ca="1">AVERAGE(OFFSET($R$3,0,0,'Données projet'!$E$9+1,1))-AVERAGE(OFFSET($H$3,0,0,'Données projet'!$E$9+1,1))</f>
        <v>321.23599968992932</v>
      </c>
      <c r="T177" s="62">
        <f t="shared" si="142"/>
        <v>388.05195847800502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0.47205666527459555</v>
      </c>
      <c r="AB177" s="23">
        <f>EXP(-LN(2)/2)*AB176+(1-EXP(-LN(2)/2))/(LN(2)/2)*V177*Y177*VLOOKUP('Données projet'!$B$9,Paramètres!$A$1:$I$89,3,0)*0.475*44/12</f>
        <v>3.868083544323759E-21</v>
      </c>
      <c r="AC177" s="24">
        <f t="shared" si="163"/>
        <v>0.47205666527459555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-5.6843418860808015E-14</v>
      </c>
      <c r="AJ177" s="14">
        <f>AI177*VLOOKUP('Données projet'!$B$10,Paramètres!$A$1:$I$89,3,0)*VLOOKUP('Données projet'!$B$10,Paramètres!$A$1:$I$89,5,0)</f>
        <v>-5.1431925385259088E-14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439.19854273764042</v>
      </c>
      <c r="AO177" s="62">
        <f t="shared" si="144"/>
        <v>278.21741231699929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0.16848411566995358</v>
      </c>
      <c r="AW177" s="23">
        <f>EXP(-LN(2)/2)*AW176+(1-EXP(-LN(2)/2))/(LN(2)/2)*AQ177*AT177*VLOOKUP('Données projet'!$B$10,Paramètres!$A$1:$I$89,3,0)*0.475*44/12</f>
        <v>3.1572675900192777E-21</v>
      </c>
      <c r="AX177" s="23">
        <f t="shared" si="166"/>
        <v>0.16848411566995358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-2.8421709430404007E-13</v>
      </c>
      <c r="BE177" s="14">
        <f>BD177*VLOOKUP('Données projet'!$B$11,Paramètres!$A$1:$I$89,3,0)*VLOOKUP('Données projet'!$B$11,Paramètres!$A$1:$I$89,5,0)</f>
        <v>-2.2612312022829427E-13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352.88510024787888</v>
      </c>
      <c r="BJ177" s="62">
        <f t="shared" si="146"/>
        <v>343.77208530767069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0.22680018293332782</v>
      </c>
      <c r="BR177" s="23">
        <f>EXP(-LN(2)/2)*BR176+(1-EXP(-LN(2)/2))/(LN(2)/2)*BL177*BO177*VLOOKUP('Données projet'!$B$11,Paramètres!$A$1:$I$89,3,0)*0.475*44/12</f>
        <v>8.3595505417567303E-23</v>
      </c>
      <c r="BS177" s="24">
        <f t="shared" si="169"/>
        <v>0.22680018293332782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-2.8421709430404007E-13</v>
      </c>
      <c r="BZ177" s="14">
        <f>BY177*VLOOKUP('Données projet'!$B$12,Paramètres!$A$1:$I$89,3,0)*VLOOKUP('Données projet'!$B$12,Paramètres!$A$1:$I$89,5,0)</f>
        <v>-2.0838797354372215E-13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328.10411227536315</v>
      </c>
      <c r="CE177" s="62">
        <f t="shared" si="148"/>
        <v>320.24200483294322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0.52420444010047862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0.52420444010047862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5.6843418860808015E-14</v>
      </c>
      <c r="CU177" s="18">
        <f>CT177*VLOOKUP('Données projet'!$B$13,Paramètres!$A$1:$I$89,3,0)*VLOOKUP('Données projet'!$B$13,Paramètres!$A$1:$I$89,5,0)</f>
        <v>4.4337866711430253E-14</v>
      </c>
      <c r="CV177" s="14">
        <f t="shared" si="173"/>
        <v>7.3222115536967035E-13</v>
      </c>
      <c r="CW177" s="22">
        <f t="shared" si="174"/>
        <v>1.3525069634579169E-12</v>
      </c>
      <c r="CX177" s="62">
        <f t="shared" si="122"/>
        <v>293.33333333333468</v>
      </c>
      <c r="CY177" s="62">
        <f ca="1">AVERAGE(OFFSET($CX$3,0,0,'Données projet'!$E$13+1,1))-AVERAGE(OFFSET($H$3,0,0,'Données projet'!$E$13+1,1))</f>
        <v>288.82868507674738</v>
      </c>
      <c r="CZ177" s="62">
        <f t="shared" si="150"/>
        <v>283.48738729114024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0.58942795121406044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0.58942795121406044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>
        <f>DO177*VLOOKUP('Données projet'!$B$14,Paramètres!$A$1:$I$89,3,0)*VLOOKUP('Données projet'!$B$14,Paramètres!$A$1:$I$89,5,0)</f>
        <v>0</v>
      </c>
      <c r="DQ177" s="14" t="e">
        <f t="shared" si="176"/>
        <v>#NUM!</v>
      </c>
      <c r="DR177" s="22" t="e">
        <f t="shared" si="177"/>
        <v>#NUM!</v>
      </c>
      <c r="DS177" s="62" t="e">
        <f t="shared" si="125"/>
        <v>#NUM!</v>
      </c>
      <c r="DT177" s="62">
        <f ca="1">AVERAGE(OFFSET($DS$3,0,0,'Données projet'!$E$14+1,1))-AVERAGE(OFFSET($H$3,0,0,'Données projet'!$E$14+1,1))</f>
        <v>487.04124684635974</v>
      </c>
      <c r="DU177" s="62">
        <f t="shared" si="152"/>
        <v>306.61893266146666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0.70699240944699904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0.70699240944699904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>
        <f>EJ177*VLOOKUP('Données projet'!$B$15,Paramètres!$A$1:$I$89,3,0)*VLOOKUP('Données projet'!$B$15,Paramètres!$A$1:$I$89,5,0)</f>
        <v>0</v>
      </c>
      <c r="EL177" s="14" t="e">
        <f t="shared" si="179"/>
        <v>#NUM!</v>
      </c>
      <c r="EM177" s="22" t="e">
        <f t="shared" si="180"/>
        <v>#NUM!</v>
      </c>
      <c r="EN177" s="62" t="e">
        <f t="shared" si="128"/>
        <v>#NUM!</v>
      </c>
      <c r="EO177" s="62">
        <f ca="1">AVERAGE(OFFSET($EN$3,0,0,'Données projet'!$E$15+1,1))-AVERAGE(OFFSET($H$3,0,0,'Données projet'!$E$15+1,1))</f>
        <v>459.64120566196812</v>
      </c>
      <c r="EP177" s="62">
        <f t="shared" si="154"/>
        <v>290.39826583283588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0.66348518425026071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0.66348518425026071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>
        <f>FE177*VLOOKUP('Données projet'!$B$16,Paramètres!$A$1:$I$89,3,0)*VLOOKUP('Données projet'!$B$16,Paramètres!$A$1:$I$89,5,0)</f>
        <v>0</v>
      </c>
      <c r="FG177" s="14" t="e">
        <f t="shared" si="182"/>
        <v>#NUM!</v>
      </c>
      <c r="FH177" s="22" t="e">
        <f t="shared" si="183"/>
        <v>#NUM!</v>
      </c>
      <c r="FI177" s="62" t="e">
        <f t="shared" si="131"/>
        <v>#NUM!</v>
      </c>
      <c r="FJ177" s="62">
        <f ca="1">AVERAGE(OFFSET($FI$3,0,0,'Données projet'!$E$16+1,1))-AVERAGE(OFFSET($H$3,0,0,'Données projet'!$E$16+1,1))</f>
        <v>335.83558218229564</v>
      </c>
      <c r="FK177" s="62">
        <f t="shared" si="156"/>
        <v>217.08423061559648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0</v>
      </c>
      <c r="FR177" s="23">
        <f>EXP(-LN(2)/25)*FR176+(1-EXP(-LN(2)/25))/(LN(2)/25)*Calculateur!FM177*Calculateur!FO177*VLOOKUP('Données projet'!$B$16,Paramètres!$A$1:$I$89,3,0)*0.475*44/12</f>
        <v>0.15395962293978521</v>
      </c>
      <c r="FS177" s="23">
        <f>EXP(-LN(2)/2)*FS176+(1-EXP(-LN(2)/2))/(LN(2)/2)*FM177*FP177*VLOOKUP('Données projet'!$B$16,Paramètres!$A$1:$I$89,3,0)*0.475*44/12</f>
        <v>2.3407328684625869E-21</v>
      </c>
      <c r="FT177" s="24">
        <f t="shared" si="184"/>
        <v>0.15395962293978521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1.9895196601282805E-13</v>
      </c>
      <c r="O178" s="14">
        <f>N178*VLOOKUP('Données projet'!$B$9,Paramètres!$A$1:$I$89,3,0)*VLOOKUP('Données projet'!$B$9,Paramètres!$A$1:$I$89,5,0)</f>
        <v>1.738044375088066E-13</v>
      </c>
      <c r="P178" s="14">
        <f t="shared" si="141"/>
        <v>2.4483293633950478E-12</v>
      </c>
      <c r="Q178" s="22">
        <f t="shared" si="162"/>
        <v>4.566883036574213E-12</v>
      </c>
      <c r="R178" s="62">
        <f t="shared" si="109"/>
        <v>293.33333333333786</v>
      </c>
      <c r="S178" s="62">
        <f ca="1">AVERAGE(OFFSET($R$3,0,0,'Données projet'!$E$9+1,1))-AVERAGE(OFFSET($H$3,0,0,'Données projet'!$E$9+1,1))</f>
        <v>321.23599968992932</v>
      </c>
      <c r="T178" s="62">
        <f t="shared" si="142"/>
        <v>388.05195847800502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0.4591482509382806</v>
      </c>
      <c r="AB178" s="23">
        <f>EXP(-LN(2)/2)*AB177+(1-EXP(-LN(2)/2))/(LN(2)/2)*V178*Y178*VLOOKUP('Données projet'!$B$9,Paramètres!$A$1:$I$89,3,0)*0.475*44/12</f>
        <v>2.7351481043874255E-21</v>
      </c>
      <c r="AC178" s="24">
        <f t="shared" si="163"/>
        <v>0.4591482509382806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-5.6843418860808015E-14</v>
      </c>
      <c r="AJ178" s="14">
        <f>AI178*VLOOKUP('Données projet'!$B$10,Paramètres!$A$1:$I$89,3,0)*VLOOKUP('Données projet'!$B$10,Paramètres!$A$1:$I$89,5,0)</f>
        <v>-5.1431925385259088E-14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439.19854273764042</v>
      </c>
      <c r="AO178" s="62">
        <f t="shared" si="144"/>
        <v>278.21741231699929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0.16387690866676413</v>
      </c>
      <c r="AW178" s="23">
        <f>EXP(-LN(2)/2)*AW177+(1-EXP(-LN(2)/2))/(LN(2)/2)*AQ178*AT178*VLOOKUP('Données projet'!$B$10,Paramètres!$A$1:$I$89,3,0)*0.475*44/12</f>
        <v>2.2325253229231396E-21</v>
      </c>
      <c r="AX178" s="23">
        <f t="shared" si="166"/>
        <v>0.16387690866676413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-2.8421709430404007E-13</v>
      </c>
      <c r="BE178" s="14">
        <f>BD178*VLOOKUP('Données projet'!$B$11,Paramètres!$A$1:$I$89,3,0)*VLOOKUP('Données projet'!$B$11,Paramètres!$A$1:$I$89,5,0)</f>
        <v>-2.2612312022829427E-13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352.88510024787888</v>
      </c>
      <c r="BJ178" s="62">
        <f t="shared" si="146"/>
        <v>343.77208530767069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0.2205983200041127</v>
      </c>
      <c r="BR178" s="23">
        <f>EXP(-LN(2)/2)*BR177+(1-EXP(-LN(2)/2))/(LN(2)/2)*BL178*BO178*VLOOKUP('Données projet'!$B$11,Paramètres!$A$1:$I$89,3,0)*0.475*44/12</f>
        <v>5.911094875747861E-23</v>
      </c>
      <c r="BS178" s="24">
        <f t="shared" si="169"/>
        <v>0.2205983200041127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-2.8421709430404007E-13</v>
      </c>
      <c r="BZ178" s="14">
        <f>BY178*VLOOKUP('Données projet'!$B$12,Paramètres!$A$1:$I$89,3,0)*VLOOKUP('Données projet'!$B$12,Paramètres!$A$1:$I$89,5,0)</f>
        <v>-2.0838797354372215E-13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328.10411227536315</v>
      </c>
      <c r="CE178" s="62">
        <f t="shared" si="148"/>
        <v>320.24200483294322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0.51392511076324565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0.51392511076324565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5.6843418860808015E-14</v>
      </c>
      <c r="CU178" s="18">
        <f>CT178*VLOOKUP('Données projet'!$B$13,Paramètres!$A$1:$I$89,3,0)*VLOOKUP('Données projet'!$B$13,Paramètres!$A$1:$I$89,5,0)</f>
        <v>4.4337866711430253E-14</v>
      </c>
      <c r="CV178" s="14">
        <f t="shared" si="173"/>
        <v>7.3222115536967035E-13</v>
      </c>
      <c r="CW178" s="22">
        <f t="shared" si="174"/>
        <v>1.3525069634579169E-12</v>
      </c>
      <c r="CX178" s="62">
        <f t="shared" si="122"/>
        <v>293.33333333333468</v>
      </c>
      <c r="CY178" s="62">
        <f ca="1">AVERAGE(OFFSET($CX$3,0,0,'Données projet'!$E$13+1,1))-AVERAGE(OFFSET($H$3,0,0,'Données projet'!$E$13+1,1))</f>
        <v>288.82868507674738</v>
      </c>
      <c r="CZ178" s="62">
        <f t="shared" si="150"/>
        <v>283.48738729114024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0.57786962860630375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0.57786962860630375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>
        <f>DO178*VLOOKUP('Données projet'!$B$14,Paramètres!$A$1:$I$89,3,0)*VLOOKUP('Données projet'!$B$14,Paramètres!$A$1:$I$89,5,0)</f>
        <v>0</v>
      </c>
      <c r="DQ178" s="14" t="e">
        <f t="shared" si="176"/>
        <v>#NUM!</v>
      </c>
      <c r="DR178" s="22" t="e">
        <f t="shared" si="177"/>
        <v>#NUM!</v>
      </c>
      <c r="DS178" s="62" t="e">
        <f t="shared" si="125"/>
        <v>#NUM!</v>
      </c>
      <c r="DT178" s="62">
        <f ca="1">AVERAGE(OFFSET($DS$3,0,0,'Données projet'!$E$14+1,1))-AVERAGE(OFFSET($H$3,0,0,'Données projet'!$E$14+1,1))</f>
        <v>487.04124684635974</v>
      </c>
      <c r="DU178" s="62">
        <f t="shared" si="152"/>
        <v>306.61893266146666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0.69312871952053345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0.69312871952053345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>
        <f>EJ178*VLOOKUP('Données projet'!$B$15,Paramètres!$A$1:$I$89,3,0)*VLOOKUP('Données projet'!$B$15,Paramètres!$A$1:$I$89,5,0)</f>
        <v>0</v>
      </c>
      <c r="EL178" s="14" t="e">
        <f t="shared" si="179"/>
        <v>#NUM!</v>
      </c>
      <c r="EM178" s="22" t="e">
        <f t="shared" si="180"/>
        <v>#NUM!</v>
      </c>
      <c r="EN178" s="62" t="e">
        <f t="shared" si="128"/>
        <v>#NUM!</v>
      </c>
      <c r="EO178" s="62">
        <f ca="1">AVERAGE(OFFSET($EN$3,0,0,'Données projet'!$E$15+1,1))-AVERAGE(OFFSET($H$3,0,0,'Données projet'!$E$15+1,1))</f>
        <v>459.64120566196812</v>
      </c>
      <c r="EP178" s="62">
        <f t="shared" si="154"/>
        <v>290.39826583283588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0.65047464447311609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0.65047464447311609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>
        <f>FE178*VLOOKUP('Données projet'!$B$16,Paramètres!$A$1:$I$89,3,0)*VLOOKUP('Données projet'!$B$16,Paramètres!$A$1:$I$89,5,0)</f>
        <v>0</v>
      </c>
      <c r="FG178" s="14" t="e">
        <f t="shared" si="182"/>
        <v>#NUM!</v>
      </c>
      <c r="FH178" s="22" t="e">
        <f t="shared" si="183"/>
        <v>#NUM!</v>
      </c>
      <c r="FI178" s="62" t="e">
        <f t="shared" si="131"/>
        <v>#NUM!</v>
      </c>
      <c r="FJ178" s="62">
        <f ca="1">AVERAGE(OFFSET($FI$3,0,0,'Données projet'!$E$16+1,1))-AVERAGE(OFFSET($H$3,0,0,'Données projet'!$E$16+1,1))</f>
        <v>335.83558218229564</v>
      </c>
      <c r="FK178" s="62">
        <f t="shared" si="156"/>
        <v>217.08423061559648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0</v>
      </c>
      <c r="FR178" s="23">
        <f>EXP(-LN(2)/25)*FR177+(1-EXP(-LN(2)/25))/(LN(2)/25)*Calculateur!FM178*Calculateur!FO178*VLOOKUP('Données projet'!$B$16,Paramètres!$A$1:$I$89,3,0)*0.475*44/12</f>
        <v>0.14974958895411208</v>
      </c>
      <c r="FS178" s="23">
        <f>EXP(-LN(2)/2)*FS177+(1-EXP(-LN(2)/2))/(LN(2)/2)*FM178*FP178*VLOOKUP('Données projet'!$B$16,Paramètres!$A$1:$I$89,3,0)*0.475*44/12</f>
        <v>1.6551480842361342E-21</v>
      </c>
      <c r="FT178" s="24">
        <f t="shared" si="184"/>
        <v>0.14974958895411208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1.9895196601282805E-13</v>
      </c>
      <c r="O179" s="14">
        <f>N179*VLOOKUP('Données projet'!$B$9,Paramètres!$A$1:$I$89,3,0)*VLOOKUP('Données projet'!$B$9,Paramètres!$A$1:$I$89,5,0)</f>
        <v>1.738044375088066E-13</v>
      </c>
      <c r="P179" s="14">
        <f t="shared" si="141"/>
        <v>2.4483293633950478E-12</v>
      </c>
      <c r="Q179" s="22">
        <f t="shared" si="162"/>
        <v>4.566883036574213E-12</v>
      </c>
      <c r="R179" s="62">
        <f t="shared" si="109"/>
        <v>293.33333333333786</v>
      </c>
      <c r="S179" s="62">
        <f ca="1">AVERAGE(OFFSET($R$3,0,0,'Données projet'!$E$9+1,1))-AVERAGE(OFFSET($H$3,0,0,'Données projet'!$E$9+1,1))</f>
        <v>321.23599968992932</v>
      </c>
      <c r="T179" s="62">
        <f t="shared" si="142"/>
        <v>388.05195847800502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0.44659281787081617</v>
      </c>
      <c r="AB179" s="23">
        <f>EXP(-LN(2)/2)*AB178+(1-EXP(-LN(2)/2))/(LN(2)/2)*V179*Y179*VLOOKUP('Données projet'!$B$9,Paramètres!$A$1:$I$89,3,0)*0.475*44/12</f>
        <v>1.9340417721618795E-21</v>
      </c>
      <c r="AC179" s="24">
        <f t="shared" si="163"/>
        <v>0.44659281787081617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-5.6843418860808015E-14</v>
      </c>
      <c r="AJ179" s="14">
        <f>AI179*VLOOKUP('Données projet'!$B$10,Paramètres!$A$1:$I$89,3,0)*VLOOKUP('Données projet'!$B$10,Paramètres!$A$1:$I$89,5,0)</f>
        <v>-5.1431925385259088E-14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439.19854273764042</v>
      </c>
      <c r="AO179" s="62">
        <f t="shared" si="144"/>
        <v>278.21741231699929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0.15939568598135939</v>
      </c>
      <c r="AW179" s="23">
        <f>EXP(-LN(2)/2)*AW178+(1-EXP(-LN(2)/2))/(LN(2)/2)*AQ179*AT179*VLOOKUP('Données projet'!$B$10,Paramètres!$A$1:$I$89,3,0)*0.475*44/12</f>
        <v>1.5786337950096389E-21</v>
      </c>
      <c r="AX179" s="23">
        <f t="shared" si="166"/>
        <v>0.15939568598135939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-2.8421709430404007E-13</v>
      </c>
      <c r="BE179" s="14">
        <f>BD179*VLOOKUP('Données projet'!$B$11,Paramètres!$A$1:$I$89,3,0)*VLOOKUP('Données projet'!$B$11,Paramètres!$A$1:$I$89,5,0)</f>
        <v>-2.2612312022829427E-13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352.88510024787888</v>
      </c>
      <c r="BJ179" s="62">
        <f t="shared" si="146"/>
        <v>343.77208530767069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0.21456604734283877</v>
      </c>
      <c r="BR179" s="23">
        <f>EXP(-LN(2)/2)*BR178+(1-EXP(-LN(2)/2))/(LN(2)/2)*BL179*BO179*VLOOKUP('Données projet'!$B$11,Paramètres!$A$1:$I$89,3,0)*0.475*44/12</f>
        <v>4.1797752708783651E-23</v>
      </c>
      <c r="BS179" s="24">
        <f t="shared" si="169"/>
        <v>0.21456604734283877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-2.8421709430404007E-13</v>
      </c>
      <c r="BZ179" s="14">
        <f>BY179*VLOOKUP('Données projet'!$B$12,Paramètres!$A$1:$I$89,3,0)*VLOOKUP('Données projet'!$B$12,Paramètres!$A$1:$I$89,5,0)</f>
        <v>-2.0838797354372215E-13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328.10411227536315</v>
      </c>
      <c r="CE179" s="62">
        <f t="shared" si="148"/>
        <v>320.24200483294322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0.50384735280454407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0.50384735280454407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5.6843418860808015E-14</v>
      </c>
      <c r="CU179" s="18">
        <f>CT179*VLOOKUP('Données projet'!$B$13,Paramètres!$A$1:$I$89,3,0)*VLOOKUP('Données projet'!$B$13,Paramètres!$A$1:$I$89,5,0)</f>
        <v>4.4337866711430253E-14</v>
      </c>
      <c r="CV179" s="14">
        <f t="shared" si="173"/>
        <v>7.3222115536967035E-13</v>
      </c>
      <c r="CW179" s="22">
        <f t="shared" si="174"/>
        <v>1.3525069634579169E-12</v>
      </c>
      <c r="CX179" s="62">
        <f t="shared" si="122"/>
        <v>293.33333333333468</v>
      </c>
      <c r="CY179" s="62">
        <f ca="1">AVERAGE(OFFSET($CX$3,0,0,'Données projet'!$E$13+1,1))-AVERAGE(OFFSET($H$3,0,0,'Données projet'!$E$13+1,1))</f>
        <v>288.82868507674738</v>
      </c>
      <c r="CZ179" s="62">
        <f t="shared" si="150"/>
        <v>283.48738729114024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0.56653795765500448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0.56653795765500448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>
        <f>DO179*VLOOKUP('Données projet'!$B$14,Paramètres!$A$1:$I$89,3,0)*VLOOKUP('Données projet'!$B$14,Paramètres!$A$1:$I$89,5,0)</f>
        <v>0</v>
      </c>
      <c r="DQ179" s="14" t="e">
        <f t="shared" si="176"/>
        <v>#NUM!</v>
      </c>
      <c r="DR179" s="22" t="e">
        <f t="shared" si="177"/>
        <v>#NUM!</v>
      </c>
      <c r="DS179" s="62" t="e">
        <f t="shared" si="125"/>
        <v>#NUM!</v>
      </c>
      <c r="DT179" s="62">
        <f ca="1">AVERAGE(OFFSET($DS$3,0,0,'Données projet'!$E$14+1,1))-AVERAGE(OFFSET($H$3,0,0,'Données projet'!$E$14+1,1))</f>
        <v>487.04124684635974</v>
      </c>
      <c r="DU179" s="62">
        <f t="shared" si="152"/>
        <v>306.61893266146666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0.67953688809750989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0.67953688809750989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>
        <f>EJ179*VLOOKUP('Données projet'!$B$15,Paramètres!$A$1:$I$89,3,0)*VLOOKUP('Données projet'!$B$15,Paramètres!$A$1:$I$89,5,0)</f>
        <v>0</v>
      </c>
      <c r="EL179" s="14" t="e">
        <f t="shared" si="179"/>
        <v>#NUM!</v>
      </c>
      <c r="EM179" s="22" t="e">
        <f t="shared" si="180"/>
        <v>#NUM!</v>
      </c>
      <c r="EN179" s="62" t="e">
        <f t="shared" si="128"/>
        <v>#NUM!</v>
      </c>
      <c r="EO179" s="62">
        <f ca="1">AVERAGE(OFFSET($EN$3,0,0,'Données projet'!$E$15+1,1))-AVERAGE(OFFSET($H$3,0,0,'Données projet'!$E$15+1,1))</f>
        <v>459.64120566196812</v>
      </c>
      <c r="EP179" s="62">
        <f t="shared" si="154"/>
        <v>290.39826583283588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0.63771923344535553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0.63771923344535553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>
        <f>FE179*VLOOKUP('Données projet'!$B$16,Paramètres!$A$1:$I$89,3,0)*VLOOKUP('Données projet'!$B$16,Paramètres!$A$1:$I$89,5,0)</f>
        <v>0</v>
      </c>
      <c r="FG179" s="14" t="e">
        <f t="shared" si="182"/>
        <v>#NUM!</v>
      </c>
      <c r="FH179" s="22" t="e">
        <f t="shared" si="183"/>
        <v>#NUM!</v>
      </c>
      <c r="FI179" s="62" t="e">
        <f t="shared" si="131"/>
        <v>#NUM!</v>
      </c>
      <c r="FJ179" s="62">
        <f ca="1">AVERAGE(OFFSET($FI$3,0,0,'Données projet'!$E$16+1,1))-AVERAGE(OFFSET($H$3,0,0,'Données projet'!$E$16+1,1))</f>
        <v>335.83558218229564</v>
      </c>
      <c r="FK179" s="62">
        <f t="shared" si="156"/>
        <v>217.08423061559648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0</v>
      </c>
      <c r="FR179" s="23">
        <f>EXP(-LN(2)/25)*FR178+(1-EXP(-LN(2)/25))/(LN(2)/25)*Calculateur!FM179*Calculateur!FO179*VLOOKUP('Données projet'!$B$16,Paramètres!$A$1:$I$89,3,0)*0.475*44/12</f>
        <v>0.14565467856917327</v>
      </c>
      <c r="FS179" s="23">
        <f>EXP(-LN(2)/2)*FS178+(1-EXP(-LN(2)/2))/(LN(2)/2)*FM179*FP179*VLOOKUP('Données projet'!$B$16,Paramètres!$A$1:$I$89,3,0)*0.475*44/12</f>
        <v>1.1703664342312934E-21</v>
      </c>
      <c r="FT179" s="24">
        <f t="shared" si="184"/>
        <v>0.14565467856917327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1.9895196601282805E-13</v>
      </c>
      <c r="O180" s="14">
        <f>N180*VLOOKUP('Données projet'!$B$9,Paramètres!$A$1:$I$89,3,0)*VLOOKUP('Données projet'!$B$9,Paramètres!$A$1:$I$89,5,0)</f>
        <v>1.738044375088066E-13</v>
      </c>
      <c r="P180" s="14">
        <f t="shared" si="141"/>
        <v>2.4483293633950478E-12</v>
      </c>
      <c r="Q180" s="22">
        <f t="shared" si="162"/>
        <v>4.566883036574213E-12</v>
      </c>
      <c r="R180" s="62">
        <f t="shared" si="109"/>
        <v>293.33333333333786</v>
      </c>
      <c r="S180" s="62">
        <f ca="1">AVERAGE(OFFSET($R$3,0,0,'Données projet'!$E$9+1,1))-AVERAGE(OFFSET($H$3,0,0,'Données projet'!$E$9+1,1))</f>
        <v>321.23599968992932</v>
      </c>
      <c r="T180" s="62">
        <f t="shared" si="142"/>
        <v>388.05195847800502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0.43438071378084309</v>
      </c>
      <c r="AB180" s="23">
        <f>EXP(-LN(2)/2)*AB179+(1-EXP(-LN(2)/2))/(LN(2)/2)*V180*Y180*VLOOKUP('Données projet'!$B$9,Paramètres!$A$1:$I$89,3,0)*0.475*44/12</f>
        <v>1.3675740521937128E-21</v>
      </c>
      <c r="AC180" s="24">
        <f t="shared" si="163"/>
        <v>0.43438071378084309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-5.6843418860808015E-14</v>
      </c>
      <c r="AJ180" s="14">
        <f>AI180*VLOOKUP('Données projet'!$B$10,Paramètres!$A$1:$I$89,3,0)*VLOOKUP('Données projet'!$B$10,Paramètres!$A$1:$I$89,5,0)</f>
        <v>-5.1431925385259088E-14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439.19854273764042</v>
      </c>
      <c r="AO180" s="62">
        <f t="shared" si="144"/>
        <v>278.21741231699929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0.1550370025659443</v>
      </c>
      <c r="AW180" s="23">
        <f>EXP(-LN(2)/2)*AW179+(1-EXP(-LN(2)/2))/(LN(2)/2)*AQ180*AT180*VLOOKUP('Données projet'!$B$10,Paramètres!$A$1:$I$89,3,0)*0.475*44/12</f>
        <v>1.1162626614615698E-21</v>
      </c>
      <c r="AX180" s="23">
        <f t="shared" si="166"/>
        <v>0.1550370025659443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-2.8421709430404007E-13</v>
      </c>
      <c r="BE180" s="14">
        <f>BD180*VLOOKUP('Données projet'!$B$11,Paramètres!$A$1:$I$89,3,0)*VLOOKUP('Données projet'!$B$11,Paramètres!$A$1:$I$89,5,0)</f>
        <v>-2.2612312022829427E-13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352.88510024787888</v>
      </c>
      <c r="BJ180" s="62">
        <f t="shared" si="146"/>
        <v>343.77208530767069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0.2086987274947108</v>
      </c>
      <c r="BR180" s="23">
        <f>EXP(-LN(2)/2)*BR179+(1-EXP(-LN(2)/2))/(LN(2)/2)*BL180*BO180*VLOOKUP('Données projet'!$B$11,Paramètres!$A$1:$I$89,3,0)*0.475*44/12</f>
        <v>2.9555474378739305E-23</v>
      </c>
      <c r="BS180" s="24">
        <f t="shared" si="169"/>
        <v>0.2086987274947108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-2.8421709430404007E-13</v>
      </c>
      <c r="BZ180" s="14">
        <f>BY180*VLOOKUP('Données projet'!$B$12,Paramètres!$A$1:$I$89,3,0)*VLOOKUP('Données projet'!$B$12,Paramètres!$A$1:$I$89,5,0)</f>
        <v>-2.0838797354372215E-13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328.10411227536315</v>
      </c>
      <c r="CE180" s="62">
        <f t="shared" si="148"/>
        <v>320.24200483294322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0.49396721353258716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0.49396721353258716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5.6843418860808015E-14</v>
      </c>
      <c r="CU180" s="18">
        <f>CT180*VLOOKUP('Données projet'!$B$13,Paramètres!$A$1:$I$89,3,0)*VLOOKUP('Données projet'!$B$13,Paramètres!$A$1:$I$89,5,0)</f>
        <v>4.4337866711430253E-14</v>
      </c>
      <c r="CV180" s="14">
        <f t="shared" si="173"/>
        <v>7.3222115536967035E-13</v>
      </c>
      <c r="CW180" s="22">
        <f t="shared" si="174"/>
        <v>1.3525069634579169E-12</v>
      </c>
      <c r="CX180" s="62">
        <f t="shared" si="122"/>
        <v>293.33333333333468</v>
      </c>
      <c r="CY180" s="62">
        <f ca="1">AVERAGE(OFFSET($CX$3,0,0,'Données projet'!$E$13+1,1))-AVERAGE(OFFSET($H$3,0,0,'Données projet'!$E$13+1,1))</f>
        <v>288.82868507674738</v>
      </c>
      <c r="CZ180" s="62">
        <f t="shared" si="150"/>
        <v>283.48738729114024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0.55542849385942339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0.55542849385942339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>
        <f>DO180*VLOOKUP('Données projet'!$B$14,Paramètres!$A$1:$I$89,3,0)*VLOOKUP('Données projet'!$B$14,Paramètres!$A$1:$I$89,5,0)</f>
        <v>0</v>
      </c>
      <c r="DQ180" s="14" t="e">
        <f t="shared" si="176"/>
        <v>#NUM!</v>
      </c>
      <c r="DR180" s="22" t="e">
        <f t="shared" si="177"/>
        <v>#NUM!</v>
      </c>
      <c r="DS180" s="62" t="e">
        <f t="shared" si="125"/>
        <v>#NUM!</v>
      </c>
      <c r="DT180" s="62">
        <f ca="1">AVERAGE(OFFSET($DS$3,0,0,'Données projet'!$E$14+1,1))-AVERAGE(OFFSET($H$3,0,0,'Données projet'!$E$14+1,1))</f>
        <v>487.04124684635974</v>
      </c>
      <c r="DU180" s="62">
        <f t="shared" si="152"/>
        <v>306.61893266146666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0.66621158419849336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0.66621158419849336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>
        <f>EJ180*VLOOKUP('Données projet'!$B$15,Paramètres!$A$1:$I$89,3,0)*VLOOKUP('Données projet'!$B$15,Paramètres!$A$1:$I$89,5,0)</f>
        <v>0</v>
      </c>
      <c r="EL180" s="14" t="e">
        <f t="shared" si="179"/>
        <v>#NUM!</v>
      </c>
      <c r="EM180" s="22" t="e">
        <f t="shared" si="180"/>
        <v>#NUM!</v>
      </c>
      <c r="EN180" s="62" t="e">
        <f t="shared" si="128"/>
        <v>#NUM!</v>
      </c>
      <c r="EO180" s="62">
        <f ca="1">AVERAGE(OFFSET($EN$3,0,0,'Données projet'!$E$15+1,1))-AVERAGE(OFFSET($H$3,0,0,'Données projet'!$E$15+1,1))</f>
        <v>459.64120566196812</v>
      </c>
      <c r="EP180" s="62">
        <f t="shared" si="154"/>
        <v>290.39826583283588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0.62521394824781684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0.62521394824781684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>
        <f>FE180*VLOOKUP('Données projet'!$B$16,Paramètres!$A$1:$I$89,3,0)*VLOOKUP('Données projet'!$B$16,Paramètres!$A$1:$I$89,5,0)</f>
        <v>0</v>
      </c>
      <c r="FG180" s="14" t="e">
        <f t="shared" si="182"/>
        <v>#NUM!</v>
      </c>
      <c r="FH180" s="22" t="e">
        <f t="shared" si="183"/>
        <v>#NUM!</v>
      </c>
      <c r="FI180" s="62" t="e">
        <f t="shared" si="131"/>
        <v>#NUM!</v>
      </c>
      <c r="FJ180" s="62">
        <f ca="1">AVERAGE(OFFSET($FI$3,0,0,'Données projet'!$E$16+1,1))-AVERAGE(OFFSET($H$3,0,0,'Données projet'!$E$16+1,1))</f>
        <v>335.83558218229564</v>
      </c>
      <c r="FK180" s="62">
        <f t="shared" si="156"/>
        <v>217.08423061559648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0</v>
      </c>
      <c r="FR180" s="23">
        <f>EXP(-LN(2)/25)*FR179+(1-EXP(-LN(2)/25))/(LN(2)/25)*Calculateur!FM180*Calculateur!FO180*VLOOKUP('Données projet'!$B$16,Paramètres!$A$1:$I$89,3,0)*0.475*44/12</f>
        <v>0.14167174372405258</v>
      </c>
      <c r="FS180" s="23">
        <f>EXP(-LN(2)/2)*FS179+(1-EXP(-LN(2)/2))/(LN(2)/2)*FM180*FP180*VLOOKUP('Données projet'!$B$16,Paramètres!$A$1:$I$89,3,0)*0.475*44/12</f>
        <v>8.2757404211806709E-22</v>
      </c>
      <c r="FT180" s="24">
        <f t="shared" si="184"/>
        <v>0.14167174372405258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1.9895196601282805E-13</v>
      </c>
      <c r="O181" s="14">
        <f>N181*VLOOKUP('Données projet'!$B$9,Paramètres!$A$1:$I$89,3,0)*VLOOKUP('Données projet'!$B$9,Paramètres!$A$1:$I$89,5,0)</f>
        <v>1.738044375088066E-13</v>
      </c>
      <c r="P181" s="14">
        <f t="shared" si="141"/>
        <v>2.4483293633950478E-12</v>
      </c>
      <c r="Q181" s="22">
        <f t="shared" si="162"/>
        <v>4.566883036574213E-12</v>
      </c>
      <c r="R181" s="62">
        <f t="shared" si="109"/>
        <v>293.33333333333786</v>
      </c>
      <c r="S181" s="62">
        <f ca="1">AVERAGE(OFFSET($R$3,0,0,'Données projet'!$E$9+1,1))-AVERAGE(OFFSET($H$3,0,0,'Données projet'!$E$9+1,1))</f>
        <v>321.23599968992932</v>
      </c>
      <c r="T181" s="62">
        <f t="shared" si="142"/>
        <v>388.05195847800502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0.42250255031941697</v>
      </c>
      <c r="AB181" s="23">
        <f>EXP(-LN(2)/2)*AB180+(1-EXP(-LN(2)/2))/(LN(2)/2)*V181*Y181*VLOOKUP('Données projet'!$B$9,Paramètres!$A$1:$I$89,3,0)*0.475*44/12</f>
        <v>9.6702088608093975E-22</v>
      </c>
      <c r="AC181" s="24">
        <f t="shared" si="163"/>
        <v>0.42250255031941697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-5.6843418860808015E-14</v>
      </c>
      <c r="AJ181" s="14">
        <f>AI181*VLOOKUP('Données projet'!$B$10,Paramètres!$A$1:$I$89,3,0)*VLOOKUP('Données projet'!$B$10,Paramètres!$A$1:$I$89,5,0)</f>
        <v>-5.1431925385259088E-14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439.19854273764042</v>
      </c>
      <c r="AO181" s="62">
        <f t="shared" si="144"/>
        <v>278.21741231699929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0.15079750757773694</v>
      </c>
      <c r="AW181" s="23">
        <f>EXP(-LN(2)/2)*AW180+(1-EXP(-LN(2)/2))/(LN(2)/2)*AQ181*AT181*VLOOKUP('Données projet'!$B$10,Paramètres!$A$1:$I$89,3,0)*0.475*44/12</f>
        <v>7.8931689750481943E-22</v>
      </c>
      <c r="AX181" s="23">
        <f t="shared" si="166"/>
        <v>0.15079750757773694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-2.8421709430404007E-13</v>
      </c>
      <c r="BE181" s="14">
        <f>BD181*VLOOKUP('Données projet'!$B$11,Paramètres!$A$1:$I$89,3,0)*VLOOKUP('Données projet'!$B$11,Paramètres!$A$1:$I$89,5,0)</f>
        <v>-2.2612312022829427E-13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352.88510024787888</v>
      </c>
      <c r="BJ181" s="62">
        <f t="shared" si="146"/>
        <v>343.77208530767069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0.20299184981637886</v>
      </c>
      <c r="BR181" s="23">
        <f>EXP(-LN(2)/2)*BR180+(1-EXP(-LN(2)/2))/(LN(2)/2)*BL181*BO181*VLOOKUP('Données projet'!$B$11,Paramètres!$A$1:$I$89,3,0)*0.475*44/12</f>
        <v>2.0898876354391826E-23</v>
      </c>
      <c r="BS181" s="24">
        <f t="shared" si="169"/>
        <v>0.20299184981637886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-2.8421709430404007E-13</v>
      </c>
      <c r="BZ181" s="14">
        <f>BY181*VLOOKUP('Données projet'!$B$12,Paramètres!$A$1:$I$89,3,0)*VLOOKUP('Données projet'!$B$12,Paramètres!$A$1:$I$89,5,0)</f>
        <v>-2.0838797354372215E-13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328.10411227536315</v>
      </c>
      <c r="CE181" s="62">
        <f t="shared" si="148"/>
        <v>320.24200483294322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0.48428081776546344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0.48428081776546344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5.6843418860808015E-14</v>
      </c>
      <c r="CU181" s="18">
        <f>CT181*VLOOKUP('Données projet'!$B$13,Paramètres!$A$1:$I$89,3,0)*VLOOKUP('Données projet'!$B$13,Paramètres!$A$1:$I$89,5,0)</f>
        <v>4.4337866711430253E-14</v>
      </c>
      <c r="CV181" s="14">
        <f t="shared" si="173"/>
        <v>7.3222115536967035E-13</v>
      </c>
      <c r="CW181" s="22">
        <f t="shared" si="174"/>
        <v>1.3525069634579169E-12</v>
      </c>
      <c r="CX181" s="62">
        <f t="shared" si="122"/>
        <v>293.33333333333468</v>
      </c>
      <c r="CY181" s="62">
        <f ca="1">AVERAGE(OFFSET($CX$3,0,0,'Données projet'!$E$13+1,1))-AVERAGE(OFFSET($H$3,0,0,'Données projet'!$E$13+1,1))</f>
        <v>288.82868507674738</v>
      </c>
      <c r="CZ181" s="62">
        <f t="shared" si="150"/>
        <v>283.48738729114024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0.54453687987276977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0.54453687987276977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>
        <f>DO181*VLOOKUP('Données projet'!$B$14,Paramètres!$A$1:$I$89,3,0)*VLOOKUP('Données projet'!$B$14,Paramètres!$A$1:$I$89,5,0)</f>
        <v>0</v>
      </c>
      <c r="DQ181" s="14" t="e">
        <f t="shared" si="176"/>
        <v>#NUM!</v>
      </c>
      <c r="DR181" s="22" t="e">
        <f t="shared" si="177"/>
        <v>#NUM!</v>
      </c>
      <c r="DS181" s="62" t="e">
        <f t="shared" si="125"/>
        <v>#NUM!</v>
      </c>
      <c r="DT181" s="62">
        <f ca="1">AVERAGE(OFFSET($DS$3,0,0,'Données projet'!$E$14+1,1))-AVERAGE(OFFSET($H$3,0,0,'Données projet'!$E$14+1,1))</f>
        <v>487.04124684635974</v>
      </c>
      <c r="DU181" s="62">
        <f t="shared" si="152"/>
        <v>306.61893266146666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0.65314758138130369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0.65314758138130369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>
        <f>EJ181*VLOOKUP('Données projet'!$B$15,Paramètres!$A$1:$I$89,3,0)*VLOOKUP('Données projet'!$B$15,Paramètres!$A$1:$I$89,5,0)</f>
        <v>0</v>
      </c>
      <c r="EL181" s="14" t="e">
        <f t="shared" si="179"/>
        <v>#NUM!</v>
      </c>
      <c r="EM181" s="22" t="e">
        <f t="shared" si="180"/>
        <v>#NUM!</v>
      </c>
      <c r="EN181" s="62" t="e">
        <f t="shared" si="128"/>
        <v>#NUM!</v>
      </c>
      <c r="EO181" s="62">
        <f ca="1">AVERAGE(OFFSET($EN$3,0,0,'Données projet'!$E$15+1,1))-AVERAGE(OFFSET($H$3,0,0,'Données projet'!$E$15+1,1))</f>
        <v>459.64120566196812</v>
      </c>
      <c r="EP181" s="62">
        <f t="shared" si="154"/>
        <v>290.39826583283588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0.61295388406553108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0.61295388406553108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>
        <f>FE181*VLOOKUP('Données projet'!$B$16,Paramètres!$A$1:$I$89,3,0)*VLOOKUP('Données projet'!$B$16,Paramètres!$A$1:$I$89,5,0)</f>
        <v>0</v>
      </c>
      <c r="FG181" s="14" t="e">
        <f t="shared" si="182"/>
        <v>#NUM!</v>
      </c>
      <c r="FH181" s="22" t="e">
        <f t="shared" si="183"/>
        <v>#NUM!</v>
      </c>
      <c r="FI181" s="62" t="e">
        <f t="shared" si="131"/>
        <v>#NUM!</v>
      </c>
      <c r="FJ181" s="62">
        <f ca="1">AVERAGE(OFFSET($FI$3,0,0,'Données projet'!$E$16+1,1))-AVERAGE(OFFSET($H$3,0,0,'Données projet'!$E$16+1,1))</f>
        <v>335.83558218229564</v>
      </c>
      <c r="FK181" s="62">
        <f t="shared" si="156"/>
        <v>217.08423061559648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0</v>
      </c>
      <c r="FR181" s="23">
        <f>EXP(-LN(2)/25)*FR180+(1-EXP(-LN(2)/25))/(LN(2)/25)*Calculateur!FM181*Calculateur!FO181*VLOOKUP('Données projet'!$B$16,Paramètres!$A$1:$I$89,3,0)*0.475*44/12</f>
        <v>0.13779772244172517</v>
      </c>
      <c r="FS181" s="23">
        <f>EXP(-LN(2)/2)*FS180+(1-EXP(-LN(2)/2))/(LN(2)/2)*FM181*FP181*VLOOKUP('Données projet'!$B$16,Paramètres!$A$1:$I$89,3,0)*0.475*44/12</f>
        <v>5.8518321711564672E-22</v>
      </c>
      <c r="FT181" s="24">
        <f t="shared" si="184"/>
        <v>0.13779772244172517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1.9895196601282805E-13</v>
      </c>
      <c r="O182" s="14">
        <f>N182*VLOOKUP('Données projet'!$B$9,Paramètres!$A$1:$I$89,3,0)*VLOOKUP('Données projet'!$B$9,Paramètres!$A$1:$I$89,5,0)</f>
        <v>1.738044375088066E-13</v>
      </c>
      <c r="P182" s="14">
        <f t="shared" si="141"/>
        <v>2.4483293633950478E-12</v>
      </c>
      <c r="Q182" s="22">
        <f t="shared" si="162"/>
        <v>4.566883036574213E-12</v>
      </c>
      <c r="R182" s="62">
        <f t="shared" si="109"/>
        <v>293.33333333333786</v>
      </c>
      <c r="S182" s="62">
        <f ca="1">AVERAGE(OFFSET($R$3,0,0,'Données projet'!$E$9+1,1))-AVERAGE(OFFSET($H$3,0,0,'Données projet'!$E$9+1,1))</f>
        <v>321.23599968992932</v>
      </c>
      <c r="T182" s="62">
        <f t="shared" si="142"/>
        <v>388.05195847800502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0.41094919586248901</v>
      </c>
      <c r="AB182" s="23">
        <f>EXP(-LN(2)/2)*AB181+(1-EXP(-LN(2)/2))/(LN(2)/2)*V182*Y182*VLOOKUP('Données projet'!$B$9,Paramètres!$A$1:$I$89,3,0)*0.475*44/12</f>
        <v>6.8378702609685638E-22</v>
      </c>
      <c r="AC182" s="24">
        <f t="shared" si="163"/>
        <v>0.41094919586248901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-5.6843418860808015E-14</v>
      </c>
      <c r="AJ182" s="14">
        <f>AI182*VLOOKUP('Données projet'!$B$10,Paramètres!$A$1:$I$89,3,0)*VLOOKUP('Données projet'!$B$10,Paramètres!$A$1:$I$89,5,0)</f>
        <v>-5.1431925385259088E-14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439.19854273764042</v>
      </c>
      <c r="AO182" s="62">
        <f t="shared" si="144"/>
        <v>278.21741231699929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0.14667394180292745</v>
      </c>
      <c r="AW182" s="23">
        <f>EXP(-LN(2)/2)*AW181+(1-EXP(-LN(2)/2))/(LN(2)/2)*AQ182*AT182*VLOOKUP('Données projet'!$B$10,Paramètres!$A$1:$I$89,3,0)*0.475*44/12</f>
        <v>5.5813133073078491E-22</v>
      </c>
      <c r="AX182" s="23">
        <f t="shared" si="166"/>
        <v>0.14667394180292745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-2.8421709430404007E-13</v>
      </c>
      <c r="BE182" s="14">
        <f>BD182*VLOOKUP('Données projet'!$B$11,Paramètres!$A$1:$I$89,3,0)*VLOOKUP('Données projet'!$B$11,Paramètres!$A$1:$I$89,5,0)</f>
        <v>-2.2612312022829427E-13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352.88510024787888</v>
      </c>
      <c r="BJ182" s="62">
        <f t="shared" si="146"/>
        <v>343.77208530767069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0.19744102700827254</v>
      </c>
      <c r="BR182" s="23">
        <f>EXP(-LN(2)/2)*BR181+(1-EXP(-LN(2)/2))/(LN(2)/2)*BL182*BO182*VLOOKUP('Données projet'!$B$11,Paramètres!$A$1:$I$89,3,0)*0.475*44/12</f>
        <v>1.4777737189369653E-23</v>
      </c>
      <c r="BS182" s="24">
        <f t="shared" si="169"/>
        <v>0.19744102700827254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-2.8421709430404007E-13</v>
      </c>
      <c r="BZ182" s="14">
        <f>BY182*VLOOKUP('Données projet'!$B$12,Paramètres!$A$1:$I$89,3,0)*VLOOKUP('Données projet'!$B$12,Paramètres!$A$1:$I$89,5,0)</f>
        <v>-2.0838797354372215E-13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328.10411227536315</v>
      </c>
      <c r="CE182" s="62">
        <f t="shared" si="148"/>
        <v>320.24200483294322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0.47478436631121496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0.47478436631121496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5.6843418860808015E-14</v>
      </c>
      <c r="CU182" s="18">
        <f>CT182*VLOOKUP('Données projet'!$B$13,Paramètres!$A$1:$I$89,3,0)*VLOOKUP('Données projet'!$B$13,Paramètres!$A$1:$I$89,5,0)</f>
        <v>4.4337866711430253E-14</v>
      </c>
      <c r="CV182" s="14">
        <f t="shared" si="173"/>
        <v>7.3222115536967035E-13</v>
      </c>
      <c r="CW182" s="22">
        <f t="shared" si="174"/>
        <v>1.3525069634579169E-12</v>
      </c>
      <c r="CX182" s="62">
        <f t="shared" si="122"/>
        <v>293.33333333333468</v>
      </c>
      <c r="CY182" s="62">
        <f ca="1">AVERAGE(OFFSET($CX$3,0,0,'Données projet'!$E$13+1,1))-AVERAGE(OFFSET($H$3,0,0,'Données projet'!$E$13+1,1))</f>
        <v>288.82868507674738</v>
      </c>
      <c r="CZ182" s="62">
        <f t="shared" si="150"/>
        <v>283.48738729114024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0.53385884379316595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0.53385884379316595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>
        <f>DO182*VLOOKUP('Données projet'!$B$14,Paramètres!$A$1:$I$89,3,0)*VLOOKUP('Données projet'!$B$14,Paramètres!$A$1:$I$89,5,0)</f>
        <v>0</v>
      </c>
      <c r="DQ182" s="14" t="e">
        <f t="shared" si="176"/>
        <v>#NUM!</v>
      </c>
      <c r="DR182" s="22" t="e">
        <f t="shared" si="177"/>
        <v>#NUM!</v>
      </c>
      <c r="DS182" s="62" t="e">
        <f t="shared" si="125"/>
        <v>#NUM!</v>
      </c>
      <c r="DT182" s="62">
        <f ca="1">AVERAGE(OFFSET($DS$3,0,0,'Données projet'!$E$14+1,1))-AVERAGE(OFFSET($H$3,0,0,'Données projet'!$E$14+1,1))</f>
        <v>487.04124684635974</v>
      </c>
      <c r="DU182" s="62">
        <f t="shared" si="152"/>
        <v>306.61893266146666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0.64033975569110413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0.64033975569110413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>
        <f>EJ182*VLOOKUP('Données projet'!$B$15,Paramètres!$A$1:$I$89,3,0)*VLOOKUP('Données projet'!$B$15,Paramètres!$A$1:$I$89,5,0)</f>
        <v>0</v>
      </c>
      <c r="EL182" s="14" t="e">
        <f t="shared" si="179"/>
        <v>#NUM!</v>
      </c>
      <c r="EM182" s="22" t="e">
        <f t="shared" si="180"/>
        <v>#NUM!</v>
      </c>
      <c r="EN182" s="62" t="e">
        <f t="shared" si="128"/>
        <v>#NUM!</v>
      </c>
      <c r="EO182" s="62">
        <f ca="1">AVERAGE(OFFSET($EN$3,0,0,'Données projet'!$E$15+1,1))-AVERAGE(OFFSET($H$3,0,0,'Données projet'!$E$15+1,1))</f>
        <v>459.64120566196812</v>
      </c>
      <c r="EP182" s="62">
        <f t="shared" si="154"/>
        <v>290.39826583283588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0.60093423226395926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0.60093423226395926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>
        <f>FE182*VLOOKUP('Données projet'!$B$16,Paramètres!$A$1:$I$89,3,0)*VLOOKUP('Données projet'!$B$16,Paramètres!$A$1:$I$89,5,0)</f>
        <v>0</v>
      </c>
      <c r="FG182" s="14" t="e">
        <f t="shared" si="182"/>
        <v>#NUM!</v>
      </c>
      <c r="FH182" s="22" t="e">
        <f t="shared" si="183"/>
        <v>#NUM!</v>
      </c>
      <c r="FI182" s="62" t="e">
        <f t="shared" si="131"/>
        <v>#NUM!</v>
      </c>
      <c r="FJ182" s="62">
        <f ca="1">AVERAGE(OFFSET($FI$3,0,0,'Données projet'!$E$16+1,1))-AVERAGE(OFFSET($H$3,0,0,'Données projet'!$E$16+1,1))</f>
        <v>335.83558218229564</v>
      </c>
      <c r="FK182" s="62">
        <f t="shared" si="156"/>
        <v>217.08423061559648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0</v>
      </c>
      <c r="FR182" s="23">
        <f>EXP(-LN(2)/25)*FR181+(1-EXP(-LN(2)/25))/(LN(2)/25)*Calculateur!FM182*Calculateur!FO182*VLOOKUP('Données projet'!$B$16,Paramètres!$A$1:$I$89,3,0)*0.475*44/12</f>
        <v>0.13402963647508892</v>
      </c>
      <c r="FS182" s="23">
        <f>EXP(-LN(2)/2)*FS181+(1-EXP(-LN(2)/2))/(LN(2)/2)*FM182*FP182*VLOOKUP('Données projet'!$B$16,Paramètres!$A$1:$I$89,3,0)*0.475*44/12</f>
        <v>4.1378702105903355E-22</v>
      </c>
      <c r="FT182" s="24">
        <f t="shared" si="184"/>
        <v>0.13402963647508892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1.9895196601282805E-13</v>
      </c>
      <c r="O183" s="14">
        <f>N183*VLOOKUP('Données projet'!$B$9,Paramètres!$A$1:$I$89,3,0)*VLOOKUP('Données projet'!$B$9,Paramètres!$A$1:$I$89,5,0)</f>
        <v>1.738044375088066E-13</v>
      </c>
      <c r="P183" s="14">
        <f t="shared" si="141"/>
        <v>2.4483293633950478E-12</v>
      </c>
      <c r="Q183" s="22">
        <f t="shared" si="162"/>
        <v>4.566883036574213E-12</v>
      </c>
      <c r="R183" s="62">
        <f t="shared" si="109"/>
        <v>293.33333333333786</v>
      </c>
      <c r="S183" s="62">
        <f ca="1">AVERAGE(OFFSET($R$3,0,0,'Données projet'!$E$9+1,1))-AVERAGE(OFFSET($H$3,0,0,'Données projet'!$E$9+1,1))</f>
        <v>321.23599968992932</v>
      </c>
      <c r="T183" s="62">
        <f t="shared" si="142"/>
        <v>388.05195847800502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0.3997117684907503</v>
      </c>
      <c r="AB183" s="23">
        <f>EXP(-LN(2)/2)*AB182+(1-EXP(-LN(2)/2))/(LN(2)/2)*V183*Y183*VLOOKUP('Données projet'!$B$9,Paramètres!$A$1:$I$89,3,0)*0.475*44/12</f>
        <v>4.8351044304046988E-22</v>
      </c>
      <c r="AC183" s="24">
        <f t="shared" si="163"/>
        <v>0.3997117684907503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-5.6843418860808015E-14</v>
      </c>
      <c r="AJ183" s="14">
        <f>AI183*VLOOKUP('Données projet'!$B$10,Paramètres!$A$1:$I$89,3,0)*VLOOKUP('Données projet'!$B$10,Paramètres!$A$1:$I$89,5,0)</f>
        <v>-5.1431925385259088E-14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439.19854273764042</v>
      </c>
      <c r="AO183" s="62">
        <f t="shared" si="144"/>
        <v>278.21741231699929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0.14266313515107903</v>
      </c>
      <c r="AW183" s="23">
        <f>EXP(-LN(2)/2)*AW182+(1-EXP(-LN(2)/2))/(LN(2)/2)*AQ183*AT183*VLOOKUP('Données projet'!$B$10,Paramètres!$A$1:$I$89,3,0)*0.475*44/12</f>
        <v>3.9465844875240972E-22</v>
      </c>
      <c r="AX183" s="23">
        <f t="shared" si="166"/>
        <v>0.14266313515107903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-2.8421709430404007E-13</v>
      </c>
      <c r="BE183" s="14">
        <f>BD183*VLOOKUP('Données projet'!$B$11,Paramètres!$A$1:$I$89,3,0)*VLOOKUP('Données projet'!$B$11,Paramètres!$A$1:$I$89,5,0)</f>
        <v>-2.2612312022829427E-13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352.88510024787888</v>
      </c>
      <c r="BJ183" s="62">
        <f t="shared" si="146"/>
        <v>343.77208530767069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0.19204199174175898</v>
      </c>
      <c r="BR183" s="23">
        <f>EXP(-LN(2)/2)*BR182+(1-EXP(-LN(2)/2))/(LN(2)/2)*BL183*BO183*VLOOKUP('Données projet'!$B$11,Paramètres!$A$1:$I$89,3,0)*0.475*44/12</f>
        <v>1.0449438177195913E-23</v>
      </c>
      <c r="BS183" s="24">
        <f t="shared" si="169"/>
        <v>0.19204199174175898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-2.8421709430404007E-13</v>
      </c>
      <c r="BZ183" s="14">
        <f>BY183*VLOOKUP('Données projet'!$B$12,Paramètres!$A$1:$I$89,3,0)*VLOOKUP('Données projet'!$B$12,Paramètres!$A$1:$I$89,5,0)</f>
        <v>-2.0838797354372215E-13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328.10411227536315</v>
      </c>
      <c r="CE183" s="62">
        <f t="shared" si="148"/>
        <v>320.24200483294322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0.46547413447772085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0.46547413447772085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5.6843418860808015E-14</v>
      </c>
      <c r="CU183" s="18">
        <f>CT183*VLOOKUP('Données projet'!$B$13,Paramètres!$A$1:$I$89,3,0)*VLOOKUP('Données projet'!$B$13,Paramètres!$A$1:$I$89,5,0)</f>
        <v>4.4337866711430253E-14</v>
      </c>
      <c r="CV183" s="14">
        <f t="shared" si="173"/>
        <v>7.3222115536967035E-13</v>
      </c>
      <c r="CW183" s="22">
        <f t="shared" si="174"/>
        <v>1.3525069634579169E-12</v>
      </c>
      <c r="CX183" s="62">
        <f t="shared" si="122"/>
        <v>293.33333333333468</v>
      </c>
      <c r="CY183" s="62">
        <f ca="1">AVERAGE(OFFSET($CX$3,0,0,'Données projet'!$E$13+1,1))-AVERAGE(OFFSET($H$3,0,0,'Données projet'!$E$13+1,1))</f>
        <v>288.82868507674738</v>
      </c>
      <c r="CZ183" s="62">
        <f t="shared" si="150"/>
        <v>283.48738729114024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0.52339019748812421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0.52339019748812421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>
        <f>DO183*VLOOKUP('Données projet'!$B$14,Paramètres!$A$1:$I$89,3,0)*VLOOKUP('Données projet'!$B$14,Paramètres!$A$1:$I$89,5,0)</f>
        <v>0</v>
      </c>
      <c r="DQ183" s="14" t="e">
        <f t="shared" si="176"/>
        <v>#NUM!</v>
      </c>
      <c r="DR183" s="22" t="e">
        <f t="shared" si="177"/>
        <v>#NUM!</v>
      </c>
      <c r="DS183" s="62" t="e">
        <f t="shared" si="125"/>
        <v>#NUM!</v>
      </c>
      <c r="DT183" s="62">
        <f ca="1">AVERAGE(OFFSET($DS$3,0,0,'Données projet'!$E$14+1,1))-AVERAGE(OFFSET($H$3,0,0,'Données projet'!$E$14+1,1))</f>
        <v>487.04124684635974</v>
      </c>
      <c r="DU183" s="62">
        <f t="shared" si="152"/>
        <v>306.61893266146666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0.62778308365068713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0.62778308365068713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>
        <f>EJ183*VLOOKUP('Données projet'!$B$15,Paramètres!$A$1:$I$89,3,0)*VLOOKUP('Données projet'!$B$15,Paramètres!$A$1:$I$89,5,0)</f>
        <v>0</v>
      </c>
      <c r="EL183" s="14" t="e">
        <f t="shared" si="179"/>
        <v>#NUM!</v>
      </c>
      <c r="EM183" s="22" t="e">
        <f t="shared" si="180"/>
        <v>#NUM!</v>
      </c>
      <c r="EN183" s="62" t="e">
        <f t="shared" si="128"/>
        <v>#NUM!</v>
      </c>
      <c r="EO183" s="62">
        <f ca="1">AVERAGE(OFFSET($EN$3,0,0,'Données projet'!$E$15+1,1))-AVERAGE(OFFSET($H$3,0,0,'Données projet'!$E$15+1,1))</f>
        <v>459.64120566196812</v>
      </c>
      <c r="EP183" s="62">
        <f t="shared" si="154"/>
        <v>290.39826583283588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0.58915027850295254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0.58915027850295254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>
        <f>FE183*VLOOKUP('Données projet'!$B$16,Paramètres!$A$1:$I$89,3,0)*VLOOKUP('Données projet'!$B$16,Paramètres!$A$1:$I$89,5,0)</f>
        <v>0</v>
      </c>
      <c r="FG183" s="14" t="e">
        <f t="shared" si="182"/>
        <v>#NUM!</v>
      </c>
      <c r="FH183" s="22" t="e">
        <f t="shared" si="183"/>
        <v>#NUM!</v>
      </c>
      <c r="FI183" s="62" t="e">
        <f t="shared" si="131"/>
        <v>#NUM!</v>
      </c>
      <c r="FJ183" s="62">
        <f ca="1">AVERAGE(OFFSET($FI$3,0,0,'Données projet'!$E$16+1,1))-AVERAGE(OFFSET($H$3,0,0,'Données projet'!$E$16+1,1))</f>
        <v>335.83558218229564</v>
      </c>
      <c r="FK183" s="62">
        <f t="shared" si="156"/>
        <v>217.08423061559648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0</v>
      </c>
      <c r="FR183" s="23">
        <f>EXP(-LN(2)/25)*FR182+(1-EXP(-LN(2)/25))/(LN(2)/25)*Calculateur!FM183*Calculateur!FO183*VLOOKUP('Données projet'!$B$16,Paramètres!$A$1:$I$89,3,0)*0.475*44/12</f>
        <v>0.13036458901736536</v>
      </c>
      <c r="FS183" s="23">
        <f>EXP(-LN(2)/2)*FS182+(1-EXP(-LN(2)/2))/(LN(2)/2)*FM183*FP183*VLOOKUP('Données projet'!$B$16,Paramètres!$A$1:$I$89,3,0)*0.475*44/12</f>
        <v>2.9259160855782336E-22</v>
      </c>
      <c r="FT183" s="24">
        <f t="shared" si="184"/>
        <v>0.13036458901736536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1.9895196601282805E-13</v>
      </c>
      <c r="O184" s="14">
        <f>N184*VLOOKUP('Données projet'!$B$9,Paramètres!$A$1:$I$89,3,0)*VLOOKUP('Données projet'!$B$9,Paramètres!$A$1:$I$89,5,0)</f>
        <v>1.738044375088066E-13</v>
      </c>
      <c r="P184" s="14">
        <f t="shared" si="141"/>
        <v>2.4483293633950478E-12</v>
      </c>
      <c r="Q184" s="22">
        <f t="shared" si="162"/>
        <v>4.566883036574213E-12</v>
      </c>
      <c r="R184" s="62">
        <f t="shared" si="109"/>
        <v>293.33333333333786</v>
      </c>
      <c r="S184" s="62">
        <f ca="1">AVERAGE(OFFSET($R$3,0,0,'Données projet'!$E$9+1,1))-AVERAGE(OFFSET($H$3,0,0,'Données projet'!$E$9+1,1))</f>
        <v>321.23599968992932</v>
      </c>
      <c r="T184" s="62">
        <f t="shared" si="142"/>
        <v>388.05195847800502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0.38878162916144238</v>
      </c>
      <c r="AB184" s="23">
        <f>EXP(-LN(2)/2)*AB183+(1-EXP(-LN(2)/2))/(LN(2)/2)*V184*Y184*VLOOKUP('Données projet'!$B$9,Paramètres!$A$1:$I$89,3,0)*0.475*44/12</f>
        <v>3.4189351304842819E-22</v>
      </c>
      <c r="AC184" s="24">
        <f t="shared" si="163"/>
        <v>0.38878162916144238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-5.6843418860808015E-14</v>
      </c>
      <c r="AJ184" s="14">
        <f>AI184*VLOOKUP('Données projet'!$B$10,Paramètres!$A$1:$I$89,3,0)*VLOOKUP('Données projet'!$B$10,Paramètres!$A$1:$I$89,5,0)</f>
        <v>-5.1431925385259088E-14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439.19854273764042</v>
      </c>
      <c r="AO184" s="62">
        <f t="shared" si="144"/>
        <v>278.21741231699929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0.13876200421804455</v>
      </c>
      <c r="AW184" s="23">
        <f>EXP(-LN(2)/2)*AW183+(1-EXP(-LN(2)/2))/(LN(2)/2)*AQ184*AT184*VLOOKUP('Données projet'!$B$10,Paramètres!$A$1:$I$89,3,0)*0.475*44/12</f>
        <v>2.7906566536539245E-22</v>
      </c>
      <c r="AX184" s="23">
        <f t="shared" si="166"/>
        <v>0.13876200421804455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-2.8421709430404007E-13</v>
      </c>
      <c r="BE184" s="14">
        <f>BD184*VLOOKUP('Données projet'!$B$11,Paramètres!$A$1:$I$89,3,0)*VLOOKUP('Données projet'!$B$11,Paramètres!$A$1:$I$89,5,0)</f>
        <v>-2.2612312022829427E-13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352.88510024787888</v>
      </c>
      <c r="BJ184" s="62">
        <f t="shared" si="146"/>
        <v>343.77208530767069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0.18679059337853116</v>
      </c>
      <c r="BR184" s="23">
        <f>EXP(-LN(2)/2)*BR183+(1-EXP(-LN(2)/2))/(LN(2)/2)*BL184*BO184*VLOOKUP('Données projet'!$B$11,Paramètres!$A$1:$I$89,3,0)*0.475*44/12</f>
        <v>7.3888685946848263E-24</v>
      </c>
      <c r="BS184" s="24">
        <f t="shared" si="169"/>
        <v>0.18679059337853116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-2.8421709430404007E-13</v>
      </c>
      <c r="BZ184" s="14">
        <f>BY184*VLOOKUP('Données projet'!$B$12,Paramètres!$A$1:$I$89,3,0)*VLOOKUP('Données projet'!$B$12,Paramètres!$A$1:$I$89,5,0)</f>
        <v>-2.0838797354372215E-13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328.10411227536315</v>
      </c>
      <c r="CE184" s="62">
        <f t="shared" si="148"/>
        <v>320.24200483294322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0.45634647061180089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0.45634647061180089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5.6843418860808015E-14</v>
      </c>
      <c r="CU184" s="18">
        <f>CT184*VLOOKUP('Données projet'!$B$13,Paramètres!$A$1:$I$89,3,0)*VLOOKUP('Données projet'!$B$13,Paramètres!$A$1:$I$89,5,0)</f>
        <v>4.4337866711430253E-14</v>
      </c>
      <c r="CV184" s="14">
        <f t="shared" si="173"/>
        <v>7.3222115536967035E-13</v>
      </c>
      <c r="CW184" s="22">
        <f t="shared" si="174"/>
        <v>1.3525069634579169E-12</v>
      </c>
      <c r="CX184" s="62">
        <f t="shared" si="122"/>
        <v>293.33333333333468</v>
      </c>
      <c r="CY184" s="62">
        <f ca="1">AVERAGE(OFFSET($CX$3,0,0,'Données projet'!$E$13+1,1))-AVERAGE(OFFSET($H$3,0,0,'Données projet'!$E$13+1,1))</f>
        <v>288.82868507674738</v>
      </c>
      <c r="CZ184" s="62">
        <f t="shared" si="150"/>
        <v>283.48738729114024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0.51312683495188061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0.51312683495188061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>
        <f>DO184*VLOOKUP('Données projet'!$B$14,Paramètres!$A$1:$I$89,3,0)*VLOOKUP('Données projet'!$B$14,Paramètres!$A$1:$I$89,5,0)</f>
        <v>0</v>
      </c>
      <c r="DQ184" s="14" t="e">
        <f t="shared" si="176"/>
        <v>#NUM!</v>
      </c>
      <c r="DR184" s="22" t="e">
        <f t="shared" si="177"/>
        <v>#NUM!</v>
      </c>
      <c r="DS184" s="62" t="e">
        <f t="shared" si="125"/>
        <v>#NUM!</v>
      </c>
      <c r="DT184" s="62">
        <f ca="1">AVERAGE(OFFSET($DS$3,0,0,'Données projet'!$E$14+1,1))-AVERAGE(OFFSET($H$3,0,0,'Données projet'!$E$14+1,1))</f>
        <v>487.04124684635974</v>
      </c>
      <c r="DU184" s="62">
        <f t="shared" si="152"/>
        <v>306.61893266146666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0.61547264029016902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0.61547264029016902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>
        <f>EJ184*VLOOKUP('Données projet'!$B$15,Paramètres!$A$1:$I$89,3,0)*VLOOKUP('Données projet'!$B$15,Paramètres!$A$1:$I$89,5,0)</f>
        <v>0</v>
      </c>
      <c r="EL184" s="14" t="e">
        <f t="shared" si="179"/>
        <v>#NUM!</v>
      </c>
      <c r="EM184" s="22" t="e">
        <f t="shared" si="180"/>
        <v>#NUM!</v>
      </c>
      <c r="EN184" s="62" t="e">
        <f t="shared" si="128"/>
        <v>#NUM!</v>
      </c>
      <c r="EO184" s="62">
        <f ca="1">AVERAGE(OFFSET($EN$3,0,0,'Données projet'!$E$15+1,1))-AVERAGE(OFFSET($H$3,0,0,'Données projet'!$E$15+1,1))</f>
        <v>459.64120566196812</v>
      </c>
      <c r="EP184" s="62">
        <f t="shared" si="154"/>
        <v>290.39826583283588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0.57759740088769707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0.57759740088769707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>
        <f>FE184*VLOOKUP('Données projet'!$B$16,Paramètres!$A$1:$I$89,3,0)*VLOOKUP('Données projet'!$B$16,Paramètres!$A$1:$I$89,5,0)</f>
        <v>0</v>
      </c>
      <c r="FG184" s="14" t="e">
        <f t="shared" si="182"/>
        <v>#NUM!</v>
      </c>
      <c r="FH184" s="22" t="e">
        <f t="shared" si="183"/>
        <v>#NUM!</v>
      </c>
      <c r="FI184" s="62" t="e">
        <f t="shared" si="131"/>
        <v>#NUM!</v>
      </c>
      <c r="FJ184" s="62">
        <f ca="1">AVERAGE(OFFSET($FI$3,0,0,'Données projet'!$E$16+1,1))-AVERAGE(OFFSET($H$3,0,0,'Données projet'!$E$16+1,1))</f>
        <v>335.83558218229564</v>
      </c>
      <c r="FK184" s="62">
        <f t="shared" si="156"/>
        <v>217.08423061559648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0</v>
      </c>
      <c r="FR184" s="23">
        <f>EXP(-LN(2)/25)*FR183+(1-EXP(-LN(2)/25))/(LN(2)/25)*Calculateur!FM184*Calculateur!FO184*VLOOKUP('Données projet'!$B$16,Paramètres!$A$1:$I$89,3,0)*0.475*44/12</f>
        <v>0.12679976247510971</v>
      </c>
      <c r="FS184" s="23">
        <f>EXP(-LN(2)/2)*FS183+(1-EXP(-LN(2)/2))/(LN(2)/2)*FM184*FP184*VLOOKUP('Données projet'!$B$16,Paramètres!$A$1:$I$89,3,0)*0.475*44/12</f>
        <v>2.0689351052951677E-22</v>
      </c>
      <c r="FT184" s="24">
        <f t="shared" si="184"/>
        <v>0.12679976247510971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1.9895196601282805E-13</v>
      </c>
      <c r="O185" s="14">
        <f>N185*VLOOKUP('Données projet'!$B$9,Paramètres!$A$1:$I$89,3,0)*VLOOKUP('Données projet'!$B$9,Paramètres!$A$1:$I$89,5,0)</f>
        <v>1.738044375088066E-13</v>
      </c>
      <c r="P185" s="14">
        <f t="shared" si="141"/>
        <v>2.4483293633950478E-12</v>
      </c>
      <c r="Q185" s="22">
        <f t="shared" si="162"/>
        <v>4.566883036574213E-12</v>
      </c>
      <c r="R185" s="62">
        <f t="shared" si="109"/>
        <v>293.33333333333786</v>
      </c>
      <c r="S185" s="62">
        <f ca="1">AVERAGE(OFFSET($R$3,0,0,'Données projet'!$E$9+1,1))-AVERAGE(OFFSET($H$3,0,0,'Données projet'!$E$9+1,1))</f>
        <v>321.23599968992932</v>
      </c>
      <c r="T185" s="62">
        <f t="shared" si="142"/>
        <v>388.05195847800502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0.37815037506688542</v>
      </c>
      <c r="AB185" s="23">
        <f>EXP(-LN(2)/2)*AB184+(1-EXP(-LN(2)/2))/(LN(2)/2)*V185*Y185*VLOOKUP('Données projet'!$B$9,Paramètres!$A$1:$I$89,3,0)*0.475*44/12</f>
        <v>2.4175522152023494E-22</v>
      </c>
      <c r="AC185" s="24">
        <f t="shared" si="163"/>
        <v>0.37815037506688542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-5.6843418860808015E-14</v>
      </c>
      <c r="AJ185" s="14">
        <f>AI185*VLOOKUP('Données projet'!$B$10,Paramètres!$A$1:$I$89,3,0)*VLOOKUP('Données projet'!$B$10,Paramètres!$A$1:$I$89,5,0)</f>
        <v>-5.1431925385259088E-14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439.19854273764042</v>
      </c>
      <c r="AO185" s="62">
        <f t="shared" si="144"/>
        <v>278.21741231699929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0.13496754991552545</v>
      </c>
      <c r="AW185" s="23">
        <f>EXP(-LN(2)/2)*AW184+(1-EXP(-LN(2)/2))/(LN(2)/2)*AQ185*AT185*VLOOKUP('Données projet'!$B$10,Paramètres!$A$1:$I$89,3,0)*0.475*44/12</f>
        <v>1.9732922437620486E-22</v>
      </c>
      <c r="AX185" s="23">
        <f t="shared" si="166"/>
        <v>0.13496754991552545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-2.8421709430404007E-13</v>
      </c>
      <c r="BE185" s="14">
        <f>BD185*VLOOKUP('Données projet'!$B$11,Paramètres!$A$1:$I$89,3,0)*VLOOKUP('Données projet'!$B$11,Paramètres!$A$1:$I$89,5,0)</f>
        <v>-2.2612312022829427E-13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352.88510024787888</v>
      </c>
      <c r="BJ185" s="62">
        <f t="shared" si="146"/>
        <v>343.77208530767069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0.18168279477970484</v>
      </c>
      <c r="BR185" s="23">
        <f>EXP(-LN(2)/2)*BR184+(1-EXP(-LN(2)/2))/(LN(2)/2)*BL185*BO185*VLOOKUP('Données projet'!$B$11,Paramètres!$A$1:$I$89,3,0)*0.475*44/12</f>
        <v>5.2247190885979564E-24</v>
      </c>
      <c r="BS185" s="24">
        <f t="shared" si="169"/>
        <v>0.18168279477970484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-2.8421709430404007E-13</v>
      </c>
      <c r="BZ185" s="14">
        <f>BY185*VLOOKUP('Données projet'!$B$12,Paramètres!$A$1:$I$89,3,0)*VLOOKUP('Données projet'!$B$12,Paramètres!$A$1:$I$89,5,0)</f>
        <v>-2.0838797354372215E-13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328.10411227536315</v>
      </c>
      <c r="CE185" s="62">
        <f t="shared" si="148"/>
        <v>320.24200483294322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0.44739779466696639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0.44739779466696639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5.6843418860808015E-14</v>
      </c>
      <c r="CU185" s="18">
        <f>CT185*VLOOKUP('Données projet'!$B$13,Paramètres!$A$1:$I$89,3,0)*VLOOKUP('Données projet'!$B$13,Paramètres!$A$1:$I$89,5,0)</f>
        <v>4.4337866711430253E-14</v>
      </c>
      <c r="CV185" s="14">
        <f t="shared" si="173"/>
        <v>7.3222115536967035E-13</v>
      </c>
      <c r="CW185" s="22">
        <f t="shared" si="174"/>
        <v>1.3525069634579169E-12</v>
      </c>
      <c r="CX185" s="62">
        <f t="shared" si="122"/>
        <v>293.33333333333468</v>
      </c>
      <c r="CY185" s="62">
        <f ca="1">AVERAGE(OFFSET($CX$3,0,0,'Données projet'!$E$13+1,1))-AVERAGE(OFFSET($H$3,0,0,'Données projet'!$E$13+1,1))</f>
        <v>288.82868507674738</v>
      </c>
      <c r="CZ185" s="62">
        <f t="shared" si="150"/>
        <v>283.48738729114024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0.50306473069493973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0.50306473069493973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>
        <f>DO185*VLOOKUP('Données projet'!$B$14,Paramètres!$A$1:$I$89,3,0)*VLOOKUP('Données projet'!$B$14,Paramètres!$A$1:$I$89,5,0)</f>
        <v>0</v>
      </c>
      <c r="DQ185" s="14" t="e">
        <f t="shared" si="176"/>
        <v>#NUM!</v>
      </c>
      <c r="DR185" s="22" t="e">
        <f t="shared" si="177"/>
        <v>#NUM!</v>
      </c>
      <c r="DS185" s="62" t="e">
        <f t="shared" si="125"/>
        <v>#NUM!</v>
      </c>
      <c r="DT185" s="62">
        <f ca="1">AVERAGE(OFFSET($DS$3,0,0,'Données projet'!$E$14+1,1))-AVERAGE(OFFSET($H$3,0,0,'Données projet'!$E$14+1,1))</f>
        <v>487.04124684635974</v>
      </c>
      <c r="DU185" s="62">
        <f t="shared" si="152"/>
        <v>306.61893266146666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0.60340359721532155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0.60340359721532155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>
        <f>EJ185*VLOOKUP('Données projet'!$B$15,Paramètres!$A$1:$I$89,3,0)*VLOOKUP('Données projet'!$B$15,Paramètres!$A$1:$I$89,5,0)</f>
        <v>0</v>
      </c>
      <c r="EL185" s="14" t="e">
        <f t="shared" si="179"/>
        <v>#NUM!</v>
      </c>
      <c r="EM185" s="22" t="e">
        <f t="shared" si="180"/>
        <v>#NUM!</v>
      </c>
      <c r="EN185" s="62" t="e">
        <f t="shared" si="128"/>
        <v>#NUM!</v>
      </c>
      <c r="EO185" s="62">
        <f ca="1">AVERAGE(OFFSET($EN$3,0,0,'Données projet'!$E$15+1,1))-AVERAGE(OFFSET($H$3,0,0,'Données projet'!$E$15+1,1))</f>
        <v>459.64120566196812</v>
      </c>
      <c r="EP185" s="62">
        <f t="shared" si="154"/>
        <v>290.39826583283588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0.56627106815591721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0.56627106815591721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>
        <f>FE185*VLOOKUP('Données projet'!$B$16,Paramètres!$A$1:$I$89,3,0)*VLOOKUP('Données projet'!$B$16,Paramètres!$A$1:$I$89,5,0)</f>
        <v>0</v>
      </c>
      <c r="FG185" s="14" t="e">
        <f t="shared" si="182"/>
        <v>#NUM!</v>
      </c>
      <c r="FH185" s="22" t="e">
        <f t="shared" si="183"/>
        <v>#NUM!</v>
      </c>
      <c r="FI185" s="62" t="e">
        <f t="shared" si="131"/>
        <v>#NUM!</v>
      </c>
      <c r="FJ185" s="62">
        <f ca="1">AVERAGE(OFFSET($FI$3,0,0,'Données projet'!$E$16+1,1))-AVERAGE(OFFSET($H$3,0,0,'Données projet'!$E$16+1,1))</f>
        <v>335.83558218229564</v>
      </c>
      <c r="FK185" s="62">
        <f t="shared" si="156"/>
        <v>217.08423061559648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0</v>
      </c>
      <c r="FR185" s="23">
        <f>EXP(-LN(2)/25)*FR184+(1-EXP(-LN(2)/25))/(LN(2)/25)*Calculateur!FM185*Calculateur!FO185*VLOOKUP('Données projet'!$B$16,Paramètres!$A$1:$I$89,3,0)*0.475*44/12</f>
        <v>0.12333241630211814</v>
      </c>
      <c r="FS185" s="23">
        <f>EXP(-LN(2)/2)*FS184+(1-EXP(-LN(2)/2))/(LN(2)/2)*FM185*FP185*VLOOKUP('Données projet'!$B$16,Paramètres!$A$1:$I$89,3,0)*0.475*44/12</f>
        <v>1.4629580427891168E-22</v>
      </c>
      <c r="FT185" s="24">
        <f t="shared" si="184"/>
        <v>0.12333241630211814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1.9895196601282805E-13</v>
      </c>
      <c r="O186" s="14">
        <f>N186*VLOOKUP('Données projet'!$B$9,Paramètres!$A$1:$I$89,3,0)*VLOOKUP('Données projet'!$B$9,Paramètres!$A$1:$I$89,5,0)</f>
        <v>1.738044375088066E-13</v>
      </c>
      <c r="P186" s="14">
        <f t="shared" si="141"/>
        <v>2.4483293633950478E-12</v>
      </c>
      <c r="Q186" s="22">
        <f t="shared" si="162"/>
        <v>4.566883036574213E-12</v>
      </c>
      <c r="R186" s="62">
        <f t="shared" si="109"/>
        <v>293.33333333333786</v>
      </c>
      <c r="S186" s="62">
        <f ca="1">AVERAGE(OFFSET($R$3,0,0,'Données projet'!$E$9+1,1))-AVERAGE(OFFSET($H$3,0,0,'Données projet'!$E$9+1,1))</f>
        <v>321.23599968992932</v>
      </c>
      <c r="T186" s="62">
        <f t="shared" si="142"/>
        <v>388.05195847800502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0.36780983317461752</v>
      </c>
      <c r="AB186" s="23">
        <f>EXP(-LN(2)/2)*AB185+(1-EXP(-LN(2)/2))/(LN(2)/2)*V186*Y186*VLOOKUP('Données projet'!$B$9,Paramètres!$A$1:$I$89,3,0)*0.475*44/12</f>
        <v>1.709467565242141E-22</v>
      </c>
      <c r="AC186" s="24">
        <f t="shared" si="163"/>
        <v>0.36780983317461752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-5.6843418860808015E-14</v>
      </c>
      <c r="AJ186" s="14">
        <f>AI186*VLOOKUP('Données projet'!$B$10,Paramètres!$A$1:$I$89,3,0)*VLOOKUP('Données projet'!$B$10,Paramètres!$A$1:$I$89,5,0)</f>
        <v>-5.1431925385259088E-14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439.19854273764042</v>
      </c>
      <c r="AO186" s="62">
        <f t="shared" si="144"/>
        <v>278.21741231699929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0.13127685516545043</v>
      </c>
      <c r="AW186" s="23">
        <f>EXP(-LN(2)/2)*AW185+(1-EXP(-LN(2)/2))/(LN(2)/2)*AQ186*AT186*VLOOKUP('Données projet'!$B$10,Paramètres!$A$1:$I$89,3,0)*0.475*44/12</f>
        <v>1.3953283268269623E-22</v>
      </c>
      <c r="AX186" s="23">
        <f t="shared" si="166"/>
        <v>0.13127685516545043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-2.8421709430404007E-13</v>
      </c>
      <c r="BE186" s="14">
        <f>BD186*VLOOKUP('Données projet'!$B$11,Paramètres!$A$1:$I$89,3,0)*VLOOKUP('Données projet'!$B$11,Paramètres!$A$1:$I$89,5,0)</f>
        <v>-2.2612312022829427E-13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352.88510024787888</v>
      </c>
      <c r="BJ186" s="62">
        <f t="shared" si="146"/>
        <v>343.77208530767069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0.17671466920217088</v>
      </c>
      <c r="BR186" s="23">
        <f>EXP(-LN(2)/2)*BR185+(1-EXP(-LN(2)/2))/(LN(2)/2)*BL186*BO186*VLOOKUP('Données projet'!$B$11,Paramètres!$A$1:$I$89,3,0)*0.475*44/12</f>
        <v>3.6944342973424131E-24</v>
      </c>
      <c r="BS186" s="24">
        <f t="shared" si="169"/>
        <v>0.17671466920217088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-2.8421709430404007E-13</v>
      </c>
      <c r="BZ186" s="14">
        <f>BY186*VLOOKUP('Données projet'!$B$12,Paramètres!$A$1:$I$89,3,0)*VLOOKUP('Données projet'!$B$12,Paramètres!$A$1:$I$89,5,0)</f>
        <v>-2.0838797354372215E-13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328.10411227536315</v>
      </c>
      <c r="CE186" s="62">
        <f t="shared" si="148"/>
        <v>320.24200483294322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0.43862459679925669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0.43862459679925669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5.6843418860808015E-14</v>
      </c>
      <c r="CU186" s="18">
        <f>CT186*VLOOKUP('Données projet'!$B$13,Paramètres!$A$1:$I$89,3,0)*VLOOKUP('Données projet'!$B$13,Paramètres!$A$1:$I$89,5,0)</f>
        <v>4.4337866711430253E-14</v>
      </c>
      <c r="CV186" s="14">
        <f t="shared" si="173"/>
        <v>7.3222115536967035E-13</v>
      </c>
      <c r="CW186" s="22">
        <f t="shared" si="174"/>
        <v>1.3525069634579169E-12</v>
      </c>
      <c r="CX186" s="62">
        <f t="shared" si="122"/>
        <v>293.33333333333468</v>
      </c>
      <c r="CY186" s="62">
        <f ca="1">AVERAGE(OFFSET($CX$3,0,0,'Données projet'!$E$13+1,1))-AVERAGE(OFFSET($H$3,0,0,'Données projet'!$E$13+1,1))</f>
        <v>288.82868507674738</v>
      </c>
      <c r="CZ186" s="62">
        <f t="shared" si="150"/>
        <v>283.48738729114024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0.49319993816519986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0.49319993816519986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>
        <f>DO186*VLOOKUP('Données projet'!$B$14,Paramètres!$A$1:$I$89,3,0)*VLOOKUP('Données projet'!$B$14,Paramètres!$A$1:$I$89,5,0)</f>
        <v>0</v>
      </c>
      <c r="DQ186" s="14" t="e">
        <f t="shared" si="176"/>
        <v>#NUM!</v>
      </c>
      <c r="DR186" s="22" t="e">
        <f t="shared" si="177"/>
        <v>#NUM!</v>
      </c>
      <c r="DS186" s="62" t="e">
        <f t="shared" si="125"/>
        <v>#NUM!</v>
      </c>
      <c r="DT186" s="62">
        <f ca="1">AVERAGE(OFFSET($DS$3,0,0,'Données projet'!$E$14+1,1))-AVERAGE(OFFSET($H$3,0,0,'Données projet'!$E$14+1,1))</f>
        <v>487.04124684635974</v>
      </c>
      <c r="DU186" s="62">
        <f t="shared" si="152"/>
        <v>306.61893266146666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0.59157122071378243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0.59157122071378243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>
        <f>EJ186*VLOOKUP('Données projet'!$B$15,Paramètres!$A$1:$I$89,3,0)*VLOOKUP('Données projet'!$B$15,Paramètres!$A$1:$I$89,5,0)</f>
        <v>0</v>
      </c>
      <c r="EL186" s="14" t="e">
        <f t="shared" si="179"/>
        <v>#NUM!</v>
      </c>
      <c r="EM186" s="22" t="e">
        <f t="shared" si="180"/>
        <v>#NUM!</v>
      </c>
      <c r="EN186" s="62" t="e">
        <f t="shared" si="128"/>
        <v>#NUM!</v>
      </c>
      <c r="EO186" s="62">
        <f ca="1">AVERAGE(OFFSET($EN$3,0,0,'Données projet'!$E$15+1,1))-AVERAGE(OFFSET($H$3,0,0,'Données projet'!$E$15+1,1))</f>
        <v>459.64120566196812</v>
      </c>
      <c r="EP186" s="62">
        <f t="shared" si="154"/>
        <v>290.39826583283588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0.55516683790062671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0.55516683790062671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>
        <f>FE186*VLOOKUP('Données projet'!$B$16,Paramètres!$A$1:$I$89,3,0)*VLOOKUP('Données projet'!$B$16,Paramètres!$A$1:$I$89,5,0)</f>
        <v>0</v>
      </c>
      <c r="FG186" s="14" t="e">
        <f t="shared" si="182"/>
        <v>#NUM!</v>
      </c>
      <c r="FH186" s="22" t="e">
        <f t="shared" si="183"/>
        <v>#NUM!</v>
      </c>
      <c r="FI186" s="62" t="e">
        <f t="shared" si="131"/>
        <v>#NUM!</v>
      </c>
      <c r="FJ186" s="62">
        <f ca="1">AVERAGE(OFFSET($FI$3,0,0,'Données projet'!$E$16+1,1))-AVERAGE(OFFSET($H$3,0,0,'Données projet'!$E$16+1,1))</f>
        <v>335.83558218229564</v>
      </c>
      <c r="FK186" s="62">
        <f t="shared" si="156"/>
        <v>217.08423061559648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0</v>
      </c>
      <c r="FR186" s="23">
        <f>EXP(-LN(2)/25)*FR185+(1-EXP(-LN(2)/25))/(LN(2)/25)*Calculateur!FM186*Calculateur!FO186*VLOOKUP('Données projet'!$B$16,Paramètres!$A$1:$I$89,3,0)*0.475*44/12</f>
        <v>0.11995988489256683</v>
      </c>
      <c r="FS186" s="23">
        <f>EXP(-LN(2)/2)*FS185+(1-EXP(-LN(2)/2))/(LN(2)/2)*FM186*FP186*VLOOKUP('Données projet'!$B$16,Paramètres!$A$1:$I$89,3,0)*0.475*44/12</f>
        <v>1.0344675526475839E-22</v>
      </c>
      <c r="FT186" s="24">
        <f t="shared" si="184"/>
        <v>0.11995988489256683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1.9895196601282805E-13</v>
      </c>
      <c r="O187" s="14">
        <f>N187*VLOOKUP('Données projet'!$B$9,Paramètres!$A$1:$I$89,3,0)*VLOOKUP('Données projet'!$B$9,Paramètres!$A$1:$I$89,5,0)</f>
        <v>1.738044375088066E-13</v>
      </c>
      <c r="P187" s="14">
        <f t="shared" si="141"/>
        <v>2.4483293633950478E-12</v>
      </c>
      <c r="Q187" s="22">
        <f t="shared" si="162"/>
        <v>4.566883036574213E-12</v>
      </c>
      <c r="R187" s="62">
        <f t="shared" si="109"/>
        <v>293.33333333333786</v>
      </c>
      <c r="S187" s="62">
        <f ca="1">AVERAGE(OFFSET($R$3,0,0,'Données projet'!$E$9+1,1))-AVERAGE(OFFSET($H$3,0,0,'Données projet'!$E$9+1,1))</f>
        <v>321.23599968992932</v>
      </c>
      <c r="T187" s="62">
        <f t="shared" si="142"/>
        <v>388.05195847800502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0.35775205394417914</v>
      </c>
      <c r="AB187" s="23">
        <f>EXP(-LN(2)/2)*AB186+(1-EXP(-LN(2)/2))/(LN(2)/2)*V187*Y187*VLOOKUP('Données projet'!$B$9,Paramètres!$A$1:$I$89,3,0)*0.475*44/12</f>
        <v>1.2087761076011747E-22</v>
      </c>
      <c r="AC187" s="24">
        <f t="shared" si="163"/>
        <v>0.35775205394417914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-5.6843418860808015E-14</v>
      </c>
      <c r="AJ187" s="14">
        <f>AI187*VLOOKUP('Données projet'!$B$10,Paramètres!$A$1:$I$89,3,0)*VLOOKUP('Données projet'!$B$10,Paramètres!$A$1:$I$89,5,0)</f>
        <v>-5.1431925385259088E-14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439.19854273764042</v>
      </c>
      <c r="AO187" s="62">
        <f t="shared" si="144"/>
        <v>278.21741231699929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0.12768708265740142</v>
      </c>
      <c r="AW187" s="23">
        <f>EXP(-LN(2)/2)*AW186+(1-EXP(-LN(2)/2))/(LN(2)/2)*AQ187*AT187*VLOOKUP('Données projet'!$B$10,Paramètres!$A$1:$I$89,3,0)*0.475*44/12</f>
        <v>9.8664612188102429E-23</v>
      </c>
      <c r="AX187" s="23">
        <f t="shared" si="166"/>
        <v>0.12768708265740142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-2.8421709430404007E-13</v>
      </c>
      <c r="BE187" s="14">
        <f>BD187*VLOOKUP('Données projet'!$B$11,Paramètres!$A$1:$I$89,3,0)*VLOOKUP('Données projet'!$B$11,Paramètres!$A$1:$I$89,5,0)</f>
        <v>-2.2612312022829427E-13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352.88510024787888</v>
      </c>
      <c r="BJ187" s="62">
        <f t="shared" si="146"/>
        <v>343.77208530767069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0.17188239727981694</v>
      </c>
      <c r="BR187" s="23">
        <f>EXP(-LN(2)/2)*BR186+(1-EXP(-LN(2)/2))/(LN(2)/2)*BL187*BO187*VLOOKUP('Données projet'!$B$11,Paramètres!$A$1:$I$89,3,0)*0.475*44/12</f>
        <v>2.6123595442989782E-24</v>
      </c>
      <c r="BS187" s="24">
        <f t="shared" si="169"/>
        <v>0.17188239727981694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-2.8421709430404007E-13</v>
      </c>
      <c r="BZ187" s="14">
        <f>BY187*VLOOKUP('Données projet'!$B$12,Paramètres!$A$1:$I$89,3,0)*VLOOKUP('Données projet'!$B$12,Paramètres!$A$1:$I$89,5,0)</f>
        <v>-2.0838797354372215E-13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328.10411227536315</v>
      </c>
      <c r="CE187" s="62">
        <f t="shared" si="148"/>
        <v>320.24200483294322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0.43002343599061049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0.43002343599061049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5.6843418860808015E-14</v>
      </c>
      <c r="CU187" s="18">
        <f>CT187*VLOOKUP('Données projet'!$B$13,Paramètres!$A$1:$I$89,3,0)*VLOOKUP('Données projet'!$B$13,Paramètres!$A$1:$I$89,5,0)</f>
        <v>4.4337866711430253E-14</v>
      </c>
      <c r="CV187" s="14">
        <f t="shared" si="173"/>
        <v>7.3222115536967035E-13</v>
      </c>
      <c r="CW187" s="22">
        <f t="shared" si="174"/>
        <v>1.3525069634579169E-12</v>
      </c>
      <c r="CX187" s="62">
        <f t="shared" si="122"/>
        <v>293.33333333333468</v>
      </c>
      <c r="CY187" s="62">
        <f ca="1">AVERAGE(OFFSET($CX$3,0,0,'Données projet'!$E$13+1,1))-AVERAGE(OFFSET($H$3,0,0,'Données projet'!$E$13+1,1))</f>
        <v>288.82868507674738</v>
      </c>
      <c r="CZ187" s="62">
        <f t="shared" si="150"/>
        <v>283.48738729114024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0.48352858820003886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0.48352858820003886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>
        <f>DO187*VLOOKUP('Données projet'!$B$14,Paramètres!$A$1:$I$89,3,0)*VLOOKUP('Données projet'!$B$14,Paramètres!$A$1:$I$89,5,0)</f>
        <v>0</v>
      </c>
      <c r="DQ187" s="14" t="e">
        <f t="shared" si="176"/>
        <v>#NUM!</v>
      </c>
      <c r="DR187" s="22" t="e">
        <f t="shared" si="177"/>
        <v>#NUM!</v>
      </c>
      <c r="DS187" s="62" t="e">
        <f t="shared" si="125"/>
        <v>#NUM!</v>
      </c>
      <c r="DT187" s="62">
        <f ca="1">AVERAGE(OFFSET($DS$3,0,0,'Données projet'!$E$14+1,1))-AVERAGE(OFFSET($H$3,0,0,'Données projet'!$E$14+1,1))</f>
        <v>487.04124684635974</v>
      </c>
      <c r="DU187" s="62">
        <f t="shared" si="152"/>
        <v>306.61893266146666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0.57997086989840152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0.57997086989840152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>
        <f>EJ187*VLOOKUP('Données projet'!$B$15,Paramètres!$A$1:$I$89,3,0)*VLOOKUP('Données projet'!$B$15,Paramètres!$A$1:$I$89,5,0)</f>
        <v>0</v>
      </c>
      <c r="EL187" s="14" t="e">
        <f t="shared" si="179"/>
        <v>#NUM!</v>
      </c>
      <c r="EM187" s="22" t="e">
        <f t="shared" si="180"/>
        <v>#NUM!</v>
      </c>
      <c r="EN187" s="62" t="e">
        <f t="shared" si="128"/>
        <v>#NUM!</v>
      </c>
      <c r="EO187" s="62">
        <f ca="1">AVERAGE(OFFSET($EN$3,0,0,'Données projet'!$E$15+1,1))-AVERAGE(OFFSET($H$3,0,0,'Données projet'!$E$15+1,1))</f>
        <v>459.64120566196812</v>
      </c>
      <c r="EP187" s="62">
        <f t="shared" si="154"/>
        <v>290.39826583283588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0.54428035482773074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0.54428035482773074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>
        <f>FE187*VLOOKUP('Données projet'!$B$16,Paramètres!$A$1:$I$89,3,0)*VLOOKUP('Données projet'!$B$16,Paramètres!$A$1:$I$89,5,0)</f>
        <v>0</v>
      </c>
      <c r="FG187" s="14" t="e">
        <f t="shared" si="182"/>
        <v>#NUM!</v>
      </c>
      <c r="FH187" s="22" t="e">
        <f t="shared" si="183"/>
        <v>#NUM!</v>
      </c>
      <c r="FI187" s="62" t="e">
        <f t="shared" si="131"/>
        <v>#NUM!</v>
      </c>
      <c r="FJ187" s="62">
        <f ca="1">AVERAGE(OFFSET($FI$3,0,0,'Données projet'!$E$16+1,1))-AVERAGE(OFFSET($H$3,0,0,'Données projet'!$E$16+1,1))</f>
        <v>335.83558218229564</v>
      </c>
      <c r="FK187" s="62">
        <f t="shared" si="156"/>
        <v>217.08423061559648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0</v>
      </c>
      <c r="FR187" s="23">
        <f>EXP(-LN(2)/25)*FR186+(1-EXP(-LN(2)/25))/(LN(2)/25)*Calculateur!FM187*Calculateur!FO187*VLOOKUP('Données projet'!$B$16,Paramètres!$A$1:$I$89,3,0)*0.475*44/12</f>
        <v>0.11667957553176342</v>
      </c>
      <c r="FS187" s="23">
        <f>EXP(-LN(2)/2)*FS186+(1-EXP(-LN(2)/2))/(LN(2)/2)*FM187*FP187*VLOOKUP('Données projet'!$B$16,Paramètres!$A$1:$I$89,3,0)*0.475*44/12</f>
        <v>7.3147902139455841E-23</v>
      </c>
      <c r="FT187" s="24">
        <f t="shared" si="184"/>
        <v>0.11667957553176342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1.9895196601282805E-13</v>
      </c>
      <c r="O188" s="14">
        <f>N188*VLOOKUP('Données projet'!$B$9,Paramètres!$A$1:$I$89,3,0)*VLOOKUP('Données projet'!$B$9,Paramètres!$A$1:$I$89,5,0)</f>
        <v>1.738044375088066E-13</v>
      </c>
      <c r="P188" s="14">
        <f t="shared" si="141"/>
        <v>2.4483293633950478E-12</v>
      </c>
      <c r="Q188" s="22">
        <f t="shared" si="162"/>
        <v>4.566883036574213E-12</v>
      </c>
      <c r="R188" s="62">
        <f t="shared" si="109"/>
        <v>293.33333333333786</v>
      </c>
      <c r="S188" s="62">
        <f ca="1">AVERAGE(OFFSET($R$3,0,0,'Données projet'!$E$9+1,1))-AVERAGE(OFFSET($H$3,0,0,'Données projet'!$E$9+1,1))</f>
        <v>321.23599968992932</v>
      </c>
      <c r="T188" s="62">
        <f t="shared" si="142"/>
        <v>388.05195847800502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0.34796930521571268</v>
      </c>
      <c r="AB188" s="23">
        <f>EXP(-LN(2)/2)*AB187+(1-EXP(-LN(2)/2))/(LN(2)/2)*V188*Y188*VLOOKUP('Données projet'!$B$9,Paramètres!$A$1:$I$89,3,0)*0.475*44/12</f>
        <v>8.5473378262107048E-23</v>
      </c>
      <c r="AC188" s="24">
        <f t="shared" si="163"/>
        <v>0.34796930521571268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-5.6843418860808015E-14</v>
      </c>
      <c r="AJ188" s="14">
        <f>AI188*VLOOKUP('Données projet'!$B$10,Paramètres!$A$1:$I$89,3,0)*VLOOKUP('Données projet'!$B$10,Paramètres!$A$1:$I$89,5,0)</f>
        <v>-5.1431925385259088E-14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439.19854273764042</v>
      </c>
      <c r="AO188" s="62">
        <f t="shared" si="144"/>
        <v>278.21741231699929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0.12419547266736293</v>
      </c>
      <c r="AW188" s="23">
        <f>EXP(-LN(2)/2)*AW187+(1-EXP(-LN(2)/2))/(LN(2)/2)*AQ188*AT188*VLOOKUP('Données projet'!$B$10,Paramètres!$A$1:$I$89,3,0)*0.475*44/12</f>
        <v>6.9766416341348114E-23</v>
      </c>
      <c r="AX188" s="23">
        <f t="shared" si="166"/>
        <v>0.12419547266736293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-2.8421709430404007E-13</v>
      </c>
      <c r="BE188" s="14">
        <f>BD188*VLOOKUP('Données projet'!$B$11,Paramètres!$A$1:$I$89,3,0)*VLOOKUP('Données projet'!$B$11,Paramètres!$A$1:$I$89,5,0)</f>
        <v>-2.2612312022829427E-13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352.88510024787888</v>
      </c>
      <c r="BJ188" s="62">
        <f t="shared" si="146"/>
        <v>343.77208530767069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0.16718226408729792</v>
      </c>
      <c r="BR188" s="23">
        <f>EXP(-LN(2)/2)*BR187+(1-EXP(-LN(2)/2))/(LN(2)/2)*BL188*BO188*VLOOKUP('Données projet'!$B$11,Paramètres!$A$1:$I$89,3,0)*0.475*44/12</f>
        <v>1.8472171486712066E-24</v>
      </c>
      <c r="BS188" s="24">
        <f t="shared" si="169"/>
        <v>0.16718226408729792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-2.8421709430404007E-13</v>
      </c>
      <c r="BZ188" s="14">
        <f>BY188*VLOOKUP('Données projet'!$B$12,Paramètres!$A$1:$I$89,3,0)*VLOOKUP('Données projet'!$B$12,Paramètres!$A$1:$I$89,5,0)</f>
        <v>-2.0838797354372215E-13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328.10411227536315</v>
      </c>
      <c r="CE188" s="62">
        <f t="shared" si="148"/>
        <v>320.24200483294322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0.42159093869923175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0.42159093869923175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5.6843418860808015E-14</v>
      </c>
      <c r="CU188" s="18">
        <f>CT188*VLOOKUP('Données projet'!$B$13,Paramètres!$A$1:$I$89,3,0)*VLOOKUP('Données projet'!$B$13,Paramètres!$A$1:$I$89,5,0)</f>
        <v>4.4337866711430253E-14</v>
      </c>
      <c r="CV188" s="14">
        <f t="shared" si="173"/>
        <v>7.3222115536967035E-13</v>
      </c>
      <c r="CW188" s="22">
        <f t="shared" si="174"/>
        <v>1.3525069634579169E-12</v>
      </c>
      <c r="CX188" s="62">
        <f t="shared" si="122"/>
        <v>293.33333333333468</v>
      </c>
      <c r="CY188" s="62">
        <f ca="1">AVERAGE(OFFSET($CX$3,0,0,'Données projet'!$E$13+1,1))-AVERAGE(OFFSET($H$3,0,0,'Données projet'!$E$13+1,1))</f>
        <v>288.82868507674738</v>
      </c>
      <c r="CZ188" s="62">
        <f t="shared" si="150"/>
        <v>283.48738729114024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0.47404688750875362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0.47404688750875362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>
        <f>DO188*VLOOKUP('Données projet'!$B$14,Paramètres!$A$1:$I$89,3,0)*VLOOKUP('Données projet'!$B$14,Paramètres!$A$1:$I$89,5,0)</f>
        <v>0</v>
      </c>
      <c r="DQ188" s="14" t="e">
        <f t="shared" si="176"/>
        <v>#NUM!</v>
      </c>
      <c r="DR188" s="22" t="e">
        <f t="shared" si="177"/>
        <v>#NUM!</v>
      </c>
      <c r="DS188" s="62" t="e">
        <f t="shared" si="125"/>
        <v>#NUM!</v>
      </c>
      <c r="DT188" s="62">
        <f ca="1">AVERAGE(OFFSET($DS$3,0,0,'Données projet'!$E$14+1,1))-AVERAGE(OFFSET($H$3,0,0,'Données projet'!$E$14+1,1))</f>
        <v>487.04124684635974</v>
      </c>
      <c r="DU188" s="62">
        <f t="shared" si="152"/>
        <v>306.61893266146666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0.56859799488699481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0.56859799488699481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>
        <f>EJ188*VLOOKUP('Données projet'!$B$15,Paramètres!$A$1:$I$89,3,0)*VLOOKUP('Données projet'!$B$15,Paramètres!$A$1:$I$89,5,0)</f>
        <v>0</v>
      </c>
      <c r="EL188" s="14" t="e">
        <f t="shared" si="179"/>
        <v>#NUM!</v>
      </c>
      <c r="EM188" s="22" t="e">
        <f t="shared" si="180"/>
        <v>#NUM!</v>
      </c>
      <c r="EN188" s="62" t="e">
        <f t="shared" si="128"/>
        <v>#NUM!</v>
      </c>
      <c r="EO188" s="62">
        <f ca="1">AVERAGE(OFFSET($EN$3,0,0,'Données projet'!$E$15+1,1))-AVERAGE(OFFSET($H$3,0,0,'Données projet'!$E$15+1,1))</f>
        <v>459.64120566196812</v>
      </c>
      <c r="EP188" s="62">
        <f t="shared" si="154"/>
        <v>290.39826583283588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0.53360734904779528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0.53360734904779528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>
        <f>FE188*VLOOKUP('Données projet'!$B$16,Paramètres!$A$1:$I$89,3,0)*VLOOKUP('Données projet'!$B$16,Paramètres!$A$1:$I$89,5,0)</f>
        <v>0</v>
      </c>
      <c r="FG188" s="14" t="e">
        <f t="shared" si="182"/>
        <v>#NUM!</v>
      </c>
      <c r="FH188" s="22" t="e">
        <f t="shared" si="183"/>
        <v>#NUM!</v>
      </c>
      <c r="FI188" s="62" t="e">
        <f t="shared" si="131"/>
        <v>#NUM!</v>
      </c>
      <c r="FJ188" s="62">
        <f ca="1">AVERAGE(OFFSET($FI$3,0,0,'Données projet'!$E$16+1,1))-AVERAGE(OFFSET($H$3,0,0,'Données projet'!$E$16+1,1))</f>
        <v>335.83558218229564</v>
      </c>
      <c r="FK188" s="62">
        <f t="shared" si="156"/>
        <v>217.08423061559648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0</v>
      </c>
      <c r="FR188" s="23">
        <f>EXP(-LN(2)/25)*FR187+(1-EXP(-LN(2)/25))/(LN(2)/25)*Calculateur!FM188*Calculateur!FO188*VLOOKUP('Données projet'!$B$16,Paramètres!$A$1:$I$89,3,0)*0.475*44/12</f>
        <v>0.11348896640293514</v>
      </c>
      <c r="FS188" s="23">
        <f>EXP(-LN(2)/2)*FS187+(1-EXP(-LN(2)/2))/(LN(2)/2)*FM188*FP188*VLOOKUP('Données projet'!$B$16,Paramètres!$A$1:$I$89,3,0)*0.475*44/12</f>
        <v>5.1723377632379193E-23</v>
      </c>
      <c r="FT188" s="24">
        <f t="shared" si="184"/>
        <v>0.11348896640293514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1.9895196601282805E-13</v>
      </c>
      <c r="O189" s="14">
        <f>N189*VLOOKUP('Données projet'!$B$9,Paramètres!$A$1:$I$89,3,0)*VLOOKUP('Données projet'!$B$9,Paramètres!$A$1:$I$89,5,0)</f>
        <v>1.738044375088066E-13</v>
      </c>
      <c r="P189" s="14">
        <f t="shared" si="141"/>
        <v>2.4483293633950478E-12</v>
      </c>
      <c r="Q189" s="22">
        <f t="shared" si="162"/>
        <v>4.566883036574213E-12</v>
      </c>
      <c r="R189" s="62">
        <f t="shared" si="109"/>
        <v>293.33333333333786</v>
      </c>
      <c r="S189" s="62">
        <f ca="1">AVERAGE(OFFSET($R$3,0,0,'Données projet'!$E$9+1,1))-AVERAGE(OFFSET($H$3,0,0,'Données projet'!$E$9+1,1))</f>
        <v>321.23599968992932</v>
      </c>
      <c r="T189" s="62">
        <f t="shared" si="142"/>
        <v>388.05195847800502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0.33845406626567853</v>
      </c>
      <c r="AB189" s="23">
        <f>EXP(-LN(2)/2)*AB188+(1-EXP(-LN(2)/2))/(LN(2)/2)*V189*Y189*VLOOKUP('Données projet'!$B$9,Paramètres!$A$1:$I$89,3,0)*0.475*44/12</f>
        <v>6.0438805380058735E-23</v>
      </c>
      <c r="AC189" s="24">
        <f t="shared" si="163"/>
        <v>0.33845406626567853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-5.6843418860808015E-14</v>
      </c>
      <c r="AJ189" s="14">
        <f>AI189*VLOOKUP('Données projet'!$B$10,Paramètres!$A$1:$I$89,3,0)*VLOOKUP('Données projet'!$B$10,Paramètres!$A$1:$I$89,5,0)</f>
        <v>-5.1431925385259088E-14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439.19854273764042</v>
      </c>
      <c r="AO189" s="62">
        <f t="shared" si="144"/>
        <v>278.21741231699929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0.12079934093611784</v>
      </c>
      <c r="AW189" s="23">
        <f>EXP(-LN(2)/2)*AW188+(1-EXP(-LN(2)/2))/(LN(2)/2)*AQ189*AT189*VLOOKUP('Données projet'!$B$10,Paramètres!$A$1:$I$89,3,0)*0.475*44/12</f>
        <v>4.9332306094051215E-23</v>
      </c>
      <c r="AX189" s="23">
        <f t="shared" si="166"/>
        <v>0.12079934093611784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-2.8421709430404007E-13</v>
      </c>
      <c r="BE189" s="14">
        <f>BD189*VLOOKUP('Données projet'!$B$11,Paramètres!$A$1:$I$89,3,0)*VLOOKUP('Données projet'!$B$11,Paramètres!$A$1:$I$89,5,0)</f>
        <v>-2.2612312022829427E-13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352.88510024787888</v>
      </c>
      <c r="BJ189" s="62">
        <f t="shared" si="146"/>
        <v>343.77208530767069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0.1626106562840976</v>
      </c>
      <c r="BR189" s="23">
        <f>EXP(-LN(2)/2)*BR188+(1-EXP(-LN(2)/2))/(LN(2)/2)*BL189*BO189*VLOOKUP('Données projet'!$B$11,Paramètres!$A$1:$I$89,3,0)*0.475*44/12</f>
        <v>1.3061797721494891E-24</v>
      </c>
      <c r="BS189" s="24">
        <f t="shared" si="169"/>
        <v>0.1626106562840976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-2.8421709430404007E-13</v>
      </c>
      <c r="BZ189" s="14">
        <f>BY189*VLOOKUP('Données projet'!$B$12,Paramètres!$A$1:$I$89,3,0)*VLOOKUP('Données projet'!$B$12,Paramètres!$A$1:$I$89,5,0)</f>
        <v>-2.0838797354372215E-13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328.10411227536315</v>
      </c>
      <c r="CE189" s="62">
        <f t="shared" si="148"/>
        <v>320.24200483294322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0.41332379753642146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0.41332379753642146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5.6843418860808015E-14</v>
      </c>
      <c r="CU189" s="18">
        <f>CT189*VLOOKUP('Données projet'!$B$13,Paramètres!$A$1:$I$89,3,0)*VLOOKUP('Données projet'!$B$13,Paramètres!$A$1:$I$89,5,0)</f>
        <v>4.4337866711430253E-14</v>
      </c>
      <c r="CV189" s="14">
        <f t="shared" si="173"/>
        <v>7.3222115536967035E-13</v>
      </c>
      <c r="CW189" s="22">
        <f t="shared" si="174"/>
        <v>1.3525069634579169E-12</v>
      </c>
      <c r="CX189" s="62">
        <f t="shared" si="122"/>
        <v>293.33333333333468</v>
      </c>
      <c r="CY189" s="62">
        <f ca="1">AVERAGE(OFFSET($CX$3,0,0,'Données projet'!$E$13+1,1))-AVERAGE(OFFSET($H$3,0,0,'Données projet'!$E$13+1,1))</f>
        <v>288.82868507674738</v>
      </c>
      <c r="CZ189" s="62">
        <f t="shared" si="150"/>
        <v>283.48738729114024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0.46475111718475814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0.46475111718475814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>
        <f>DO189*VLOOKUP('Données projet'!$B$14,Paramètres!$A$1:$I$89,3,0)*VLOOKUP('Données projet'!$B$14,Paramètres!$A$1:$I$89,5,0)</f>
        <v>0</v>
      </c>
      <c r="DQ189" s="14" t="e">
        <f t="shared" si="176"/>
        <v>#NUM!</v>
      </c>
      <c r="DR189" s="22" t="e">
        <f t="shared" si="177"/>
        <v>#NUM!</v>
      </c>
      <c r="DS189" s="62" t="e">
        <f t="shared" si="125"/>
        <v>#NUM!</v>
      </c>
      <c r="DT189" s="62">
        <f ca="1">AVERAGE(OFFSET($DS$3,0,0,'Données projet'!$E$14+1,1))-AVERAGE(OFFSET($H$3,0,0,'Données projet'!$E$14+1,1))</f>
        <v>487.04124684635974</v>
      </c>
      <c r="DU189" s="62">
        <f t="shared" si="152"/>
        <v>306.61893266146666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0.557448135017793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0.557448135017793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>
        <f>EJ189*VLOOKUP('Données projet'!$B$15,Paramètres!$A$1:$I$89,3,0)*VLOOKUP('Données projet'!$B$15,Paramètres!$A$1:$I$89,5,0)</f>
        <v>0</v>
      </c>
      <c r="EL189" s="14" t="e">
        <f t="shared" si="179"/>
        <v>#NUM!</v>
      </c>
      <c r="EM189" s="22" t="e">
        <f t="shared" si="180"/>
        <v>#NUM!</v>
      </c>
      <c r="EN189" s="62" t="e">
        <f t="shared" si="128"/>
        <v>#NUM!</v>
      </c>
      <c r="EO189" s="62">
        <f ca="1">AVERAGE(OFFSET($EN$3,0,0,'Données projet'!$E$15+1,1))-AVERAGE(OFFSET($H$3,0,0,'Données projet'!$E$15+1,1))</f>
        <v>459.64120566196812</v>
      </c>
      <c r="EP189" s="62">
        <f t="shared" si="154"/>
        <v>290.39826583283588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0.52314363440131362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0.52314363440131362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>
        <f>FE189*VLOOKUP('Données projet'!$B$16,Paramètres!$A$1:$I$89,3,0)*VLOOKUP('Données projet'!$B$16,Paramètres!$A$1:$I$89,5,0)</f>
        <v>0</v>
      </c>
      <c r="FG189" s="14" t="e">
        <f t="shared" si="182"/>
        <v>#NUM!</v>
      </c>
      <c r="FH189" s="22" t="e">
        <f t="shared" si="183"/>
        <v>#NUM!</v>
      </c>
      <c r="FI189" s="62" t="e">
        <f t="shared" si="131"/>
        <v>#NUM!</v>
      </c>
      <c r="FJ189" s="62">
        <f ca="1">AVERAGE(OFFSET($FI$3,0,0,'Données projet'!$E$16+1,1))-AVERAGE(OFFSET($H$3,0,0,'Données projet'!$E$16+1,1))</f>
        <v>335.83558218229564</v>
      </c>
      <c r="FK189" s="62">
        <f t="shared" si="156"/>
        <v>217.08423061559648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0</v>
      </c>
      <c r="FR189" s="23">
        <f>EXP(-LN(2)/25)*FR188+(1-EXP(-LN(2)/25))/(LN(2)/25)*Calculateur!FM189*Calculateur!FO189*VLOOKUP('Données projet'!$B$16,Paramètres!$A$1:$I$89,3,0)*0.475*44/12</f>
        <v>0.11038560464852151</v>
      </c>
      <c r="FS189" s="23">
        <f>EXP(-LN(2)/2)*FS188+(1-EXP(-LN(2)/2))/(LN(2)/2)*FM189*FP189*VLOOKUP('Données projet'!$B$16,Paramètres!$A$1:$I$89,3,0)*0.475*44/12</f>
        <v>3.657395106972792E-23</v>
      </c>
      <c r="FT189" s="24">
        <f t="shared" si="184"/>
        <v>0.11038560464852151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1.9895196601282805E-13</v>
      </c>
      <c r="O190" s="14">
        <f>N190*VLOOKUP('Données projet'!$B$9,Paramètres!$A$1:$I$89,3,0)*VLOOKUP('Données projet'!$B$9,Paramètres!$A$1:$I$89,5,0)</f>
        <v>1.738044375088066E-13</v>
      </c>
      <c r="P190" s="14">
        <f t="shared" si="141"/>
        <v>2.4483293633950478E-12</v>
      </c>
      <c r="Q190" s="22">
        <f t="shared" si="162"/>
        <v>4.566883036574213E-12</v>
      </c>
      <c r="R190" s="62">
        <f t="shared" si="109"/>
        <v>293.33333333333786</v>
      </c>
      <c r="S190" s="62">
        <f ca="1">AVERAGE(OFFSET($R$3,0,0,'Données projet'!$E$9+1,1))-AVERAGE(OFFSET($H$3,0,0,'Données projet'!$E$9+1,1))</f>
        <v>321.23599968992932</v>
      </c>
      <c r="T190" s="62">
        <f t="shared" si="142"/>
        <v>388.05195847800502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0.32919902202511775</v>
      </c>
      <c r="AB190" s="23">
        <f>EXP(-LN(2)/2)*AB189+(1-EXP(-LN(2)/2))/(LN(2)/2)*V190*Y190*VLOOKUP('Données projet'!$B$9,Paramètres!$A$1:$I$89,3,0)*0.475*44/12</f>
        <v>4.2736689131053524E-23</v>
      </c>
      <c r="AC190" s="24">
        <f t="shared" si="163"/>
        <v>0.32919902202511775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-5.6843418860808015E-14</v>
      </c>
      <c r="AJ190" s="14">
        <f>AI190*VLOOKUP('Données projet'!$B$10,Paramètres!$A$1:$I$89,3,0)*VLOOKUP('Données projet'!$B$10,Paramètres!$A$1:$I$89,5,0)</f>
        <v>-5.1431925385259088E-14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439.19854273764042</v>
      </c>
      <c r="AO190" s="62">
        <f t="shared" si="144"/>
        <v>278.21741231699929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0.11749607660565844</v>
      </c>
      <c r="AW190" s="23">
        <f>EXP(-LN(2)/2)*AW189+(1-EXP(-LN(2)/2))/(LN(2)/2)*AQ190*AT190*VLOOKUP('Données projet'!$B$10,Paramètres!$A$1:$I$89,3,0)*0.475*44/12</f>
        <v>3.4883208170674057E-23</v>
      </c>
      <c r="AX190" s="23">
        <f t="shared" si="166"/>
        <v>0.11749607660565844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-2.8421709430404007E-13</v>
      </c>
      <c r="BE190" s="14">
        <f>BD190*VLOOKUP('Données projet'!$B$11,Paramètres!$A$1:$I$89,3,0)*VLOOKUP('Données projet'!$B$11,Paramètres!$A$1:$I$89,5,0)</f>
        <v>-2.2612312022829427E-13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352.88510024787888</v>
      </c>
      <c r="BJ190" s="62">
        <f t="shared" si="146"/>
        <v>343.77208530767069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0.15816405933668617</v>
      </c>
      <c r="BR190" s="23">
        <f>EXP(-LN(2)/2)*BR189+(1-EXP(-LN(2)/2))/(LN(2)/2)*BL190*BO190*VLOOKUP('Données projet'!$B$11,Paramètres!$A$1:$I$89,3,0)*0.475*44/12</f>
        <v>9.2360857433560328E-25</v>
      </c>
      <c r="BS190" s="24">
        <f t="shared" si="169"/>
        <v>0.15816405933668617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-2.8421709430404007E-13</v>
      </c>
      <c r="BZ190" s="14">
        <f>BY190*VLOOKUP('Données projet'!$B$12,Paramètres!$A$1:$I$89,3,0)*VLOOKUP('Données projet'!$B$12,Paramètres!$A$1:$I$89,5,0)</f>
        <v>-2.0838797354372215E-13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328.10411227536315</v>
      </c>
      <c r="CE190" s="62">
        <f t="shared" si="148"/>
        <v>320.24200483294322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0.40521876996935569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0.40521876996935569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5.6843418860808015E-14</v>
      </c>
      <c r="CU190" s="18">
        <f>CT190*VLOOKUP('Données projet'!$B$13,Paramètres!$A$1:$I$89,3,0)*VLOOKUP('Données projet'!$B$13,Paramètres!$A$1:$I$89,5,0)</f>
        <v>4.4337866711430253E-14</v>
      </c>
      <c r="CV190" s="14">
        <f t="shared" si="173"/>
        <v>7.3222115536967035E-13</v>
      </c>
      <c r="CW190" s="22">
        <f t="shared" si="174"/>
        <v>1.3525069634579169E-12</v>
      </c>
      <c r="CX190" s="62">
        <f t="shared" si="122"/>
        <v>293.33333333333468</v>
      </c>
      <c r="CY190" s="62">
        <f ca="1">AVERAGE(OFFSET($CX$3,0,0,'Données projet'!$E$13+1,1))-AVERAGE(OFFSET($H$3,0,0,'Données projet'!$E$13+1,1))</f>
        <v>288.82868507674738</v>
      </c>
      <c r="CZ190" s="62">
        <f t="shared" si="150"/>
        <v>283.48738729114024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0.45563763124695617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0.45563763124695617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>
        <f>DO190*VLOOKUP('Données projet'!$B$14,Paramètres!$A$1:$I$89,3,0)*VLOOKUP('Données projet'!$B$14,Paramètres!$A$1:$I$89,5,0)</f>
        <v>0</v>
      </c>
      <c r="DQ190" s="14" t="e">
        <f t="shared" si="176"/>
        <v>#NUM!</v>
      </c>
      <c r="DR190" s="22" t="e">
        <f t="shared" si="177"/>
        <v>#NUM!</v>
      </c>
      <c r="DS190" s="62" t="e">
        <f t="shared" si="125"/>
        <v>#NUM!</v>
      </c>
      <c r="DT190" s="62">
        <f ca="1">AVERAGE(OFFSET($DS$3,0,0,'Données projet'!$E$14+1,1))-AVERAGE(OFFSET($H$3,0,0,'Données projet'!$E$14+1,1))</f>
        <v>487.04124684635974</v>
      </c>
      <c r="DU190" s="62">
        <f t="shared" si="152"/>
        <v>306.61893266146666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0.54651691709988326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0.54651691709988326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>
        <f>EJ190*VLOOKUP('Données projet'!$B$15,Paramètres!$A$1:$I$89,3,0)*VLOOKUP('Données projet'!$B$15,Paramètres!$A$1:$I$89,5,0)</f>
        <v>0</v>
      </c>
      <c r="EL190" s="14" t="e">
        <f t="shared" si="179"/>
        <v>#NUM!</v>
      </c>
      <c r="EM190" s="22" t="e">
        <f t="shared" si="180"/>
        <v>#NUM!</v>
      </c>
      <c r="EN190" s="62" t="e">
        <f t="shared" si="128"/>
        <v>#NUM!</v>
      </c>
      <c r="EO190" s="62">
        <f ca="1">AVERAGE(OFFSET($EN$3,0,0,'Données projet'!$E$15+1,1))-AVERAGE(OFFSET($H$3,0,0,'Données projet'!$E$15+1,1))</f>
        <v>459.64120566196812</v>
      </c>
      <c r="EP190" s="62">
        <f t="shared" si="154"/>
        <v>290.39826583283588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0.51288510681681365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0.51288510681681365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>
        <f>FE190*VLOOKUP('Données projet'!$B$16,Paramètres!$A$1:$I$89,3,0)*VLOOKUP('Données projet'!$B$16,Paramètres!$A$1:$I$89,5,0)</f>
        <v>0</v>
      </c>
      <c r="FG190" s="14" t="e">
        <f t="shared" si="182"/>
        <v>#NUM!</v>
      </c>
      <c r="FH190" s="22" t="e">
        <f t="shared" si="183"/>
        <v>#NUM!</v>
      </c>
      <c r="FI190" s="62" t="e">
        <f t="shared" si="131"/>
        <v>#NUM!</v>
      </c>
      <c r="FJ190" s="62">
        <f ca="1">AVERAGE(OFFSET($FI$3,0,0,'Données projet'!$E$16+1,1))-AVERAGE(OFFSET($H$3,0,0,'Données projet'!$E$16+1,1))</f>
        <v>335.83558218229564</v>
      </c>
      <c r="FK190" s="62">
        <f t="shared" si="156"/>
        <v>217.08423061559648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0</v>
      </c>
      <c r="FR190" s="23">
        <f>EXP(-LN(2)/25)*FR189+(1-EXP(-LN(2)/25))/(LN(2)/25)*Calculateur!FM190*Calculateur!FO190*VLOOKUP('Données projet'!$B$16,Paramètres!$A$1:$I$89,3,0)*0.475*44/12</f>
        <v>0.10736710448448103</v>
      </c>
      <c r="FS190" s="23">
        <f>EXP(-LN(2)/2)*FS189+(1-EXP(-LN(2)/2))/(LN(2)/2)*FM190*FP190*VLOOKUP('Données projet'!$B$16,Paramètres!$A$1:$I$89,3,0)*0.475*44/12</f>
        <v>2.5861688816189597E-23</v>
      </c>
      <c r="FT190" s="24">
        <f t="shared" si="184"/>
        <v>0.10736710448448103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1.9895196601282805E-13</v>
      </c>
      <c r="O191" s="14">
        <f>N191*VLOOKUP('Données projet'!$B$9,Paramètres!$A$1:$I$89,3,0)*VLOOKUP('Données projet'!$B$9,Paramètres!$A$1:$I$89,5,0)</f>
        <v>1.738044375088066E-13</v>
      </c>
      <c r="P191" s="14">
        <f t="shared" si="141"/>
        <v>2.4483293633950478E-12</v>
      </c>
      <c r="Q191" s="22">
        <f t="shared" si="162"/>
        <v>4.566883036574213E-12</v>
      </c>
      <c r="R191" s="62">
        <f t="shared" si="109"/>
        <v>293.33333333333786</v>
      </c>
      <c r="S191" s="62">
        <f ca="1">AVERAGE(OFFSET($R$3,0,0,'Données projet'!$E$9+1,1))-AVERAGE(OFFSET($H$3,0,0,'Données projet'!$E$9+1,1))</f>
        <v>321.23599968992932</v>
      </c>
      <c r="T191" s="62">
        <f t="shared" si="142"/>
        <v>388.05195847800502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0.32019705745601673</v>
      </c>
      <c r="AB191" s="23">
        <f>EXP(-LN(2)/2)*AB190+(1-EXP(-LN(2)/2))/(LN(2)/2)*V191*Y191*VLOOKUP('Données projet'!$B$9,Paramètres!$A$1:$I$89,3,0)*0.475*44/12</f>
        <v>3.0219402690029367E-23</v>
      </c>
      <c r="AC191" s="24">
        <f t="shared" si="163"/>
        <v>0.32019705745601673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-5.6843418860808015E-14</v>
      </c>
      <c r="AJ191" s="14">
        <f>AI191*VLOOKUP('Données projet'!$B$10,Paramètres!$A$1:$I$89,3,0)*VLOOKUP('Données projet'!$B$10,Paramètres!$A$1:$I$89,5,0)</f>
        <v>-5.1431925385259088E-14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439.19854273764042</v>
      </c>
      <c r="AO191" s="62">
        <f t="shared" si="144"/>
        <v>278.21741231699929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0.11428314021202658</v>
      </c>
      <c r="AW191" s="23">
        <f>EXP(-LN(2)/2)*AW190+(1-EXP(-LN(2)/2))/(LN(2)/2)*AQ191*AT191*VLOOKUP('Données projet'!$B$10,Paramètres!$A$1:$I$89,3,0)*0.475*44/12</f>
        <v>2.4666153047025607E-23</v>
      </c>
      <c r="AX191" s="23">
        <f t="shared" si="166"/>
        <v>0.11428314021202658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-2.8421709430404007E-13</v>
      </c>
      <c r="BE191" s="14">
        <f>BD191*VLOOKUP('Données projet'!$B$11,Paramètres!$A$1:$I$89,3,0)*VLOOKUP('Données projet'!$B$11,Paramètres!$A$1:$I$89,5,0)</f>
        <v>-2.2612312022829427E-13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352.88510024787888</v>
      </c>
      <c r="BJ191" s="62">
        <f t="shared" si="146"/>
        <v>343.77208530767069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0.15383905481663809</v>
      </c>
      <c r="BR191" s="23">
        <f>EXP(-LN(2)/2)*BR190+(1-EXP(-LN(2)/2))/(LN(2)/2)*BL191*BO191*VLOOKUP('Données projet'!$B$11,Paramètres!$A$1:$I$89,3,0)*0.475*44/12</f>
        <v>6.5308988607474455E-25</v>
      </c>
      <c r="BS191" s="24">
        <f t="shared" si="169"/>
        <v>0.15383905481663809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-2.8421709430404007E-13</v>
      </c>
      <c r="BZ191" s="14">
        <f>BY191*VLOOKUP('Données projet'!$B$12,Paramètres!$A$1:$I$89,3,0)*VLOOKUP('Données projet'!$B$12,Paramètres!$A$1:$I$89,5,0)</f>
        <v>-2.0838797354372215E-13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328.10411227536315</v>
      </c>
      <c r="CE191" s="62">
        <f t="shared" si="148"/>
        <v>320.24200483294322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0.39727267704930136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0.39727267704930136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5.6843418860808015E-14</v>
      </c>
      <c r="CU191" s="18">
        <f>CT191*VLOOKUP('Données projet'!$B$13,Paramètres!$A$1:$I$89,3,0)*VLOOKUP('Données projet'!$B$13,Paramètres!$A$1:$I$89,5,0)</f>
        <v>4.4337866711430253E-14</v>
      </c>
      <c r="CV191" s="14">
        <f t="shared" si="173"/>
        <v>7.3222115536967035E-13</v>
      </c>
      <c r="CW191" s="22">
        <f t="shared" si="174"/>
        <v>1.3525069634579169E-12</v>
      </c>
      <c r="CX191" s="62">
        <f t="shared" si="122"/>
        <v>293.33333333333468</v>
      </c>
      <c r="CY191" s="62">
        <f ca="1">AVERAGE(OFFSET($CX$3,0,0,'Données projet'!$E$13+1,1))-AVERAGE(OFFSET($H$3,0,0,'Données projet'!$E$13+1,1))</f>
        <v>288.82868507674738</v>
      </c>
      <c r="CZ191" s="62">
        <f t="shared" si="150"/>
        <v>283.48738729114024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0.44670285520971692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0.44670285520971692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>
        <f>DO191*VLOOKUP('Données projet'!$B$14,Paramètres!$A$1:$I$89,3,0)*VLOOKUP('Données projet'!$B$14,Paramètres!$A$1:$I$89,5,0)</f>
        <v>0</v>
      </c>
      <c r="DQ191" s="14" t="e">
        <f t="shared" si="176"/>
        <v>#NUM!</v>
      </c>
      <c r="DR191" s="22" t="e">
        <f t="shared" si="177"/>
        <v>#NUM!</v>
      </c>
      <c r="DS191" s="62" t="e">
        <f t="shared" si="125"/>
        <v>#NUM!</v>
      </c>
      <c r="DT191" s="62">
        <f ca="1">AVERAGE(OFFSET($DS$3,0,0,'Données projet'!$E$14+1,1))-AVERAGE(OFFSET($H$3,0,0,'Données projet'!$E$14+1,1))</f>
        <v>487.04124684635974</v>
      </c>
      <c r="DU191" s="62">
        <f t="shared" si="152"/>
        <v>306.61893266146666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0.53580005369795913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0.53580005369795913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>
        <f>EJ191*VLOOKUP('Données projet'!$B$15,Paramètres!$A$1:$I$89,3,0)*VLOOKUP('Données projet'!$B$15,Paramètres!$A$1:$I$89,5,0)</f>
        <v>0</v>
      </c>
      <c r="EL191" s="14" t="e">
        <f t="shared" si="179"/>
        <v>#NUM!</v>
      </c>
      <c r="EM191" s="22" t="e">
        <f t="shared" si="180"/>
        <v>#NUM!</v>
      </c>
      <c r="EN191" s="62" t="e">
        <f t="shared" si="128"/>
        <v>#NUM!</v>
      </c>
      <c r="EO191" s="62">
        <f ca="1">AVERAGE(OFFSET($EN$3,0,0,'Données projet'!$E$15+1,1))-AVERAGE(OFFSET($H$3,0,0,'Données projet'!$E$15+1,1))</f>
        <v>459.64120566196812</v>
      </c>
      <c r="EP191" s="62">
        <f t="shared" si="154"/>
        <v>290.39826583283588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0.50282774270116182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0.50282774270116182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>
        <f>FE191*VLOOKUP('Données projet'!$B$16,Paramètres!$A$1:$I$89,3,0)*VLOOKUP('Données projet'!$B$16,Paramètres!$A$1:$I$89,5,0)</f>
        <v>0</v>
      </c>
      <c r="FG191" s="14" t="e">
        <f t="shared" si="182"/>
        <v>#NUM!</v>
      </c>
      <c r="FH191" s="22" t="e">
        <f t="shared" si="183"/>
        <v>#NUM!</v>
      </c>
      <c r="FI191" s="62" t="e">
        <f t="shared" si="131"/>
        <v>#NUM!</v>
      </c>
      <c r="FJ191" s="62">
        <f ca="1">AVERAGE(OFFSET($FI$3,0,0,'Données projet'!$E$16+1,1))-AVERAGE(OFFSET($H$3,0,0,'Données projet'!$E$16+1,1))</f>
        <v>335.83558218229564</v>
      </c>
      <c r="FK191" s="62">
        <f t="shared" si="156"/>
        <v>217.08423061559648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0</v>
      </c>
      <c r="FR191" s="23">
        <f>EXP(-LN(2)/25)*FR190+(1-EXP(-LN(2)/25))/(LN(2)/25)*Calculateur!FM191*Calculateur!FO191*VLOOKUP('Données projet'!$B$16,Paramètres!$A$1:$I$89,3,0)*0.475*44/12</f>
        <v>0.10443114536616226</v>
      </c>
      <c r="FS191" s="23">
        <f>EXP(-LN(2)/2)*FS190+(1-EXP(-LN(2)/2))/(LN(2)/2)*FM191*FP191*VLOOKUP('Données projet'!$B$16,Paramètres!$A$1:$I$89,3,0)*0.475*44/12</f>
        <v>1.828697553486396E-23</v>
      </c>
      <c r="FT191" s="24">
        <f t="shared" si="184"/>
        <v>0.10443114536616226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1.9895196601282805E-13</v>
      </c>
      <c r="O192" s="14">
        <f>N192*VLOOKUP('Données projet'!$B$9,Paramètres!$A$1:$I$89,3,0)*VLOOKUP('Données projet'!$B$9,Paramètres!$A$1:$I$89,5,0)</f>
        <v>1.738044375088066E-13</v>
      </c>
      <c r="P192" s="14">
        <f t="shared" si="141"/>
        <v>2.4483293633950478E-12</v>
      </c>
      <c r="Q192" s="22">
        <f t="shared" si="162"/>
        <v>4.566883036574213E-12</v>
      </c>
      <c r="R192" s="62">
        <f t="shared" si="109"/>
        <v>293.33333333333786</v>
      </c>
      <c r="S192" s="62">
        <f ca="1">AVERAGE(OFFSET($R$3,0,0,'Données projet'!$E$9+1,1))-AVERAGE(OFFSET($H$3,0,0,'Données projet'!$E$9+1,1))</f>
        <v>321.23599968992932</v>
      </c>
      <c r="T192" s="62">
        <f t="shared" si="142"/>
        <v>388.05195847800502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0.31144125208145051</v>
      </c>
      <c r="AB192" s="23">
        <f>EXP(-LN(2)/2)*AB191+(1-EXP(-LN(2)/2))/(LN(2)/2)*V192*Y192*VLOOKUP('Données projet'!$B$9,Paramètres!$A$1:$I$89,3,0)*0.475*44/12</f>
        <v>2.1368344565526762E-23</v>
      </c>
      <c r="AC192" s="24">
        <f t="shared" si="163"/>
        <v>0.31144125208145051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-5.6843418860808015E-14</v>
      </c>
      <c r="AJ192" s="14">
        <f>AI192*VLOOKUP('Données projet'!$B$10,Paramètres!$A$1:$I$89,3,0)*VLOOKUP('Données projet'!$B$10,Paramètres!$A$1:$I$89,5,0)</f>
        <v>-5.1431925385259088E-14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439.19854273764042</v>
      </c>
      <c r="AO192" s="62">
        <f t="shared" si="144"/>
        <v>278.21741231699929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0.11115806173303958</v>
      </c>
      <c r="AW192" s="23">
        <f>EXP(-LN(2)/2)*AW191+(1-EXP(-LN(2)/2))/(LN(2)/2)*AQ192*AT192*VLOOKUP('Données projet'!$B$10,Paramètres!$A$1:$I$89,3,0)*0.475*44/12</f>
        <v>1.7441604085337028E-23</v>
      </c>
      <c r="AX192" s="23">
        <f t="shared" si="166"/>
        <v>0.11115806173303958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-2.8421709430404007E-13</v>
      </c>
      <c r="BE192" s="14">
        <f>BD192*VLOOKUP('Données projet'!$B$11,Paramètres!$A$1:$I$89,3,0)*VLOOKUP('Données projet'!$B$11,Paramètres!$A$1:$I$89,5,0)</f>
        <v>-2.2612312022829427E-13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352.88510024787888</v>
      </c>
      <c r="BJ192" s="62">
        <f t="shared" si="146"/>
        <v>343.77208530767069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0.14963231777263283</v>
      </c>
      <c r="BR192" s="23">
        <f>EXP(-LN(2)/2)*BR191+(1-EXP(-LN(2)/2))/(LN(2)/2)*BL192*BO192*VLOOKUP('Données projet'!$B$11,Paramètres!$A$1:$I$89,3,0)*0.475*44/12</f>
        <v>4.6180428716780164E-25</v>
      </c>
      <c r="BS192" s="24">
        <f t="shared" si="169"/>
        <v>0.14963231777263283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-2.8421709430404007E-13</v>
      </c>
      <c r="BZ192" s="14">
        <f>BY192*VLOOKUP('Données projet'!$B$12,Paramètres!$A$1:$I$89,3,0)*VLOOKUP('Données projet'!$B$12,Paramètres!$A$1:$I$89,5,0)</f>
        <v>-2.0838797354372215E-13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328.10411227536315</v>
      </c>
      <c r="CE192" s="62">
        <f t="shared" si="148"/>
        <v>320.24200483294322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0.3894824021647712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0.3894824021647712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5.6843418860808015E-14</v>
      </c>
      <c r="CU192" s="18">
        <f>CT192*VLOOKUP('Données projet'!$B$13,Paramètres!$A$1:$I$89,3,0)*VLOOKUP('Données projet'!$B$13,Paramètres!$A$1:$I$89,5,0)</f>
        <v>4.4337866711430253E-14</v>
      </c>
      <c r="CV192" s="14">
        <f t="shared" si="173"/>
        <v>7.3222115536967035E-13</v>
      </c>
      <c r="CW192" s="22">
        <f t="shared" si="174"/>
        <v>1.3525069634579169E-12</v>
      </c>
      <c r="CX192" s="62">
        <f t="shared" si="122"/>
        <v>293.33333333333468</v>
      </c>
      <c r="CY192" s="62">
        <f ca="1">AVERAGE(OFFSET($CX$3,0,0,'Données projet'!$E$13+1,1))-AVERAGE(OFFSET($H$3,0,0,'Données projet'!$E$13+1,1))</f>
        <v>288.82868507674738</v>
      </c>
      <c r="CZ192" s="62">
        <f t="shared" si="150"/>
        <v>283.48738729114024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0.43794328468089266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0.43794328468089266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>
        <f>DO192*VLOOKUP('Données projet'!$B$14,Paramètres!$A$1:$I$89,3,0)*VLOOKUP('Données projet'!$B$14,Paramètres!$A$1:$I$89,5,0)</f>
        <v>0</v>
      </c>
      <c r="DQ192" s="14" t="e">
        <f t="shared" si="176"/>
        <v>#NUM!</v>
      </c>
      <c r="DR192" s="22" t="e">
        <f t="shared" si="177"/>
        <v>#NUM!</v>
      </c>
      <c r="DS192" s="62" t="e">
        <f t="shared" si="125"/>
        <v>#NUM!</v>
      </c>
      <c r="DT192" s="62">
        <f ca="1">AVERAGE(OFFSET($DS$3,0,0,'Données projet'!$E$14+1,1))-AVERAGE(OFFSET($H$3,0,0,'Données projet'!$E$14+1,1))</f>
        <v>487.04124684635974</v>
      </c>
      <c r="DU192" s="62">
        <f t="shared" si="152"/>
        <v>306.61893266146666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0.5252933414507055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0.5252933414507055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>
        <f>EJ192*VLOOKUP('Données projet'!$B$15,Paramètres!$A$1:$I$89,3,0)*VLOOKUP('Données projet'!$B$15,Paramètres!$A$1:$I$89,5,0)</f>
        <v>0</v>
      </c>
      <c r="EL192" s="14" t="e">
        <f t="shared" si="179"/>
        <v>#NUM!</v>
      </c>
      <c r="EM192" s="22" t="e">
        <f t="shared" si="180"/>
        <v>#NUM!</v>
      </c>
      <c r="EN192" s="62" t="e">
        <f t="shared" si="128"/>
        <v>#NUM!</v>
      </c>
      <c r="EO192" s="62">
        <f ca="1">AVERAGE(OFFSET($EN$3,0,0,'Données projet'!$E$15+1,1))-AVERAGE(OFFSET($H$3,0,0,'Données projet'!$E$15+1,1))</f>
        <v>459.64120566196812</v>
      </c>
      <c r="EP192" s="62">
        <f t="shared" si="154"/>
        <v>290.39826583283588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0.49296759736143148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0.49296759736143148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>
        <f>FE192*VLOOKUP('Données projet'!$B$16,Paramètres!$A$1:$I$89,3,0)*VLOOKUP('Données projet'!$B$16,Paramètres!$A$1:$I$89,5,0)</f>
        <v>0</v>
      </c>
      <c r="FG192" s="14" t="e">
        <f t="shared" si="182"/>
        <v>#NUM!</v>
      </c>
      <c r="FH192" s="22" t="e">
        <f t="shared" si="183"/>
        <v>#NUM!</v>
      </c>
      <c r="FI192" s="62" t="e">
        <f t="shared" si="131"/>
        <v>#NUM!</v>
      </c>
      <c r="FJ192" s="62">
        <f ca="1">AVERAGE(OFFSET($FI$3,0,0,'Données projet'!$E$16+1,1))-AVERAGE(OFFSET($H$3,0,0,'Données projet'!$E$16+1,1))</f>
        <v>335.83558218229564</v>
      </c>
      <c r="FK192" s="62">
        <f t="shared" si="156"/>
        <v>217.08423061559648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0</v>
      </c>
      <c r="FR192" s="23">
        <f>EXP(-LN(2)/25)*FR191+(1-EXP(-LN(2)/25))/(LN(2)/25)*Calculateur!FM192*Calculateur!FO192*VLOOKUP('Données projet'!$B$16,Paramètres!$A$1:$I$89,3,0)*0.475*44/12</f>
        <v>0.10157547020432929</v>
      </c>
      <c r="FS192" s="23">
        <f>EXP(-LN(2)/2)*FS191+(1-EXP(-LN(2)/2))/(LN(2)/2)*FM192*FP192*VLOOKUP('Données projet'!$B$16,Paramètres!$A$1:$I$89,3,0)*0.475*44/12</f>
        <v>1.2930844408094798E-23</v>
      </c>
      <c r="FT192" s="24">
        <f t="shared" si="184"/>
        <v>0.10157547020432929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1.9895196601282805E-13</v>
      </c>
      <c r="O193" s="14">
        <f>N193*VLOOKUP('Données projet'!$B$9,Paramètres!$A$1:$I$89,3,0)*VLOOKUP('Données projet'!$B$9,Paramètres!$A$1:$I$89,5,0)</f>
        <v>1.738044375088066E-13</v>
      </c>
      <c r="P193" s="14">
        <f t="shared" si="141"/>
        <v>2.4483293633950478E-12</v>
      </c>
      <c r="Q193" s="22">
        <f t="shared" si="162"/>
        <v>4.566883036574213E-12</v>
      </c>
      <c r="R193" s="62">
        <f t="shared" si="109"/>
        <v>293.33333333333786</v>
      </c>
      <c r="S193" s="62">
        <f ca="1">AVERAGE(OFFSET($R$3,0,0,'Données projet'!$E$9+1,1))-AVERAGE(OFFSET($H$3,0,0,'Données projet'!$E$9+1,1))</f>
        <v>321.23599968992932</v>
      </c>
      <c r="T193" s="62">
        <f t="shared" si="142"/>
        <v>388.05195847800502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0.3029248746652996</v>
      </c>
      <c r="AB193" s="23">
        <f>EXP(-LN(2)/2)*AB192+(1-EXP(-LN(2)/2))/(LN(2)/2)*V193*Y193*VLOOKUP('Données projet'!$B$9,Paramètres!$A$1:$I$89,3,0)*0.475*44/12</f>
        <v>1.5109701345014684E-23</v>
      </c>
      <c r="AC193" s="24">
        <f t="shared" si="163"/>
        <v>0.3029248746652996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-5.6843418860808015E-14</v>
      </c>
      <c r="AJ193" s="14">
        <f>AI193*VLOOKUP('Données projet'!$B$10,Paramètres!$A$1:$I$89,3,0)*VLOOKUP('Données projet'!$B$10,Paramètres!$A$1:$I$89,5,0)</f>
        <v>-5.1431925385259088E-14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439.19854273764042</v>
      </c>
      <c r="AO193" s="62">
        <f t="shared" si="144"/>
        <v>278.21741231699929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0.1081184386894012</v>
      </c>
      <c r="AW193" s="23">
        <f>EXP(-LN(2)/2)*AW192+(1-EXP(-LN(2)/2))/(LN(2)/2)*AQ193*AT193*VLOOKUP('Données projet'!$B$10,Paramètres!$A$1:$I$89,3,0)*0.475*44/12</f>
        <v>1.2333076523512804E-23</v>
      </c>
      <c r="AX193" s="23">
        <f t="shared" si="166"/>
        <v>0.1081184386894012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-2.8421709430404007E-13</v>
      </c>
      <c r="BE193" s="14">
        <f>BD193*VLOOKUP('Données projet'!$B$11,Paramètres!$A$1:$I$89,3,0)*VLOOKUP('Données projet'!$B$11,Paramètres!$A$1:$I$89,5,0)</f>
        <v>-2.2612312022829427E-13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352.88510024787888</v>
      </c>
      <c r="BJ193" s="62">
        <f t="shared" si="146"/>
        <v>343.77208530767069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0.1455406141743186</v>
      </c>
      <c r="BR193" s="23">
        <f>EXP(-LN(2)/2)*BR192+(1-EXP(-LN(2)/2))/(LN(2)/2)*BL193*BO193*VLOOKUP('Données projet'!$B$11,Paramètres!$A$1:$I$89,3,0)*0.475*44/12</f>
        <v>3.2654494303737228E-25</v>
      </c>
      <c r="BS193" s="24">
        <f t="shared" si="169"/>
        <v>0.1455406141743186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-2.8421709430404007E-13</v>
      </c>
      <c r="BZ193" s="14">
        <f>BY193*VLOOKUP('Données projet'!$B$12,Paramètres!$A$1:$I$89,3,0)*VLOOKUP('Données projet'!$B$12,Paramètres!$A$1:$I$89,5,0)</f>
        <v>-2.0838797354372215E-13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328.10411227536315</v>
      </c>
      <c r="CE193" s="62">
        <f t="shared" si="148"/>
        <v>320.24200483294322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0.38184488981912817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0.38184488981912817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5.6843418860808015E-14</v>
      </c>
      <c r="CU193" s="18">
        <f>CT193*VLOOKUP('Données projet'!$B$13,Paramètres!$A$1:$I$89,3,0)*VLOOKUP('Données projet'!$B$13,Paramètres!$A$1:$I$89,5,0)</f>
        <v>4.4337866711430253E-14</v>
      </c>
      <c r="CV193" s="14">
        <f t="shared" si="173"/>
        <v>7.3222115536967035E-13</v>
      </c>
      <c r="CW193" s="22">
        <f t="shared" si="174"/>
        <v>1.3525069634579169E-12</v>
      </c>
      <c r="CX193" s="62">
        <f t="shared" si="122"/>
        <v>293.33333333333468</v>
      </c>
      <c r="CY193" s="62">
        <f ca="1">AVERAGE(OFFSET($CX$3,0,0,'Données projet'!$E$13+1,1))-AVERAGE(OFFSET($H$3,0,0,'Données projet'!$E$13+1,1))</f>
        <v>288.82868507674738</v>
      </c>
      <c r="CZ193" s="62">
        <f t="shared" si="150"/>
        <v>283.48738729114024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0.4293554839873282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0.4293554839873282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>
        <f>DO193*VLOOKUP('Données projet'!$B$14,Paramètres!$A$1:$I$89,3,0)*VLOOKUP('Données projet'!$B$14,Paramètres!$A$1:$I$89,5,0)</f>
        <v>0</v>
      </c>
      <c r="DQ193" s="14" t="e">
        <f t="shared" si="176"/>
        <v>#NUM!</v>
      </c>
      <c r="DR193" s="22" t="e">
        <f t="shared" si="177"/>
        <v>#NUM!</v>
      </c>
      <c r="DS193" s="62" t="e">
        <f t="shared" si="125"/>
        <v>#NUM!</v>
      </c>
      <c r="DT193" s="62">
        <f ca="1">AVERAGE(OFFSET($DS$3,0,0,'Données projet'!$E$14+1,1))-AVERAGE(OFFSET($H$3,0,0,'Données projet'!$E$14+1,1))</f>
        <v>487.04124684635974</v>
      </c>
      <c r="DU193" s="62">
        <f t="shared" si="152"/>
        <v>306.61893266146666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0.51499265942215888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0.51499265942215888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>
        <f>EJ193*VLOOKUP('Données projet'!$B$15,Paramètres!$A$1:$I$89,3,0)*VLOOKUP('Données projet'!$B$15,Paramètres!$A$1:$I$89,5,0)</f>
        <v>0</v>
      </c>
      <c r="EL193" s="14" t="e">
        <f t="shared" si="179"/>
        <v>#NUM!</v>
      </c>
      <c r="EM193" s="22" t="e">
        <f t="shared" si="180"/>
        <v>#NUM!</v>
      </c>
      <c r="EN193" s="62" t="e">
        <f t="shared" si="128"/>
        <v>#NUM!</v>
      </c>
      <c r="EO193" s="62">
        <f ca="1">AVERAGE(OFFSET($EN$3,0,0,'Données projet'!$E$15+1,1))-AVERAGE(OFFSET($H$3,0,0,'Données projet'!$E$15+1,1))</f>
        <v>459.64120566196812</v>
      </c>
      <c r="EP193" s="62">
        <f t="shared" si="154"/>
        <v>290.39826583283588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0.48330080345771848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0.48330080345771848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>
        <f>FE193*VLOOKUP('Données projet'!$B$16,Paramètres!$A$1:$I$89,3,0)*VLOOKUP('Données projet'!$B$16,Paramètres!$A$1:$I$89,5,0)</f>
        <v>0</v>
      </c>
      <c r="FG193" s="14" t="e">
        <f t="shared" si="182"/>
        <v>#NUM!</v>
      </c>
      <c r="FH193" s="22" t="e">
        <f t="shared" si="183"/>
        <v>#NUM!</v>
      </c>
      <c r="FI193" s="62" t="e">
        <f t="shared" si="131"/>
        <v>#NUM!</v>
      </c>
      <c r="FJ193" s="62">
        <f ca="1">AVERAGE(OFFSET($FI$3,0,0,'Données projet'!$E$16+1,1))-AVERAGE(OFFSET($H$3,0,0,'Données projet'!$E$16+1,1))</f>
        <v>335.83558218229564</v>
      </c>
      <c r="FK193" s="62">
        <f t="shared" si="156"/>
        <v>217.08423061559648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0</v>
      </c>
      <c r="FR193" s="23">
        <f>EXP(-LN(2)/25)*FR192+(1-EXP(-LN(2)/25))/(LN(2)/25)*Calculateur!FM193*Calculateur!FO193*VLOOKUP('Données projet'!$B$16,Paramètres!$A$1:$I$89,3,0)*0.475*44/12</f>
        <v>9.8797883629970079E-2</v>
      </c>
      <c r="FS193" s="23">
        <f>EXP(-LN(2)/2)*FS192+(1-EXP(-LN(2)/2))/(LN(2)/2)*FM193*FP193*VLOOKUP('Données projet'!$B$16,Paramètres!$A$1:$I$89,3,0)*0.475*44/12</f>
        <v>9.1434877674319801E-24</v>
      </c>
      <c r="FT193" s="24">
        <f t="shared" si="184"/>
        <v>9.8797883629970079E-2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1.9895196601282805E-13</v>
      </c>
      <c r="O194" s="14">
        <f>N194*VLOOKUP('Données projet'!$B$9,Paramètres!$A$1:$I$89,3,0)*VLOOKUP('Données projet'!$B$9,Paramètres!$A$1:$I$89,5,0)</f>
        <v>1.738044375088066E-13</v>
      </c>
      <c r="P194" s="14">
        <f t="shared" si="141"/>
        <v>2.4483293633950478E-12</v>
      </c>
      <c r="Q194" s="22">
        <f t="shared" si="162"/>
        <v>4.566883036574213E-12</v>
      </c>
      <c r="R194" s="62">
        <f t="shared" si="109"/>
        <v>293.33333333333786</v>
      </c>
      <c r="S194" s="62">
        <f ca="1">AVERAGE(OFFSET($R$3,0,0,'Données projet'!$E$9+1,1))-AVERAGE(OFFSET($H$3,0,0,'Données projet'!$E$9+1,1))</f>
        <v>321.23599968992932</v>
      </c>
      <c r="T194" s="62">
        <f t="shared" si="142"/>
        <v>388.05195847800502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0.29464137803745016</v>
      </c>
      <c r="AB194" s="23">
        <f>EXP(-LN(2)/2)*AB193+(1-EXP(-LN(2)/2))/(LN(2)/2)*V194*Y194*VLOOKUP('Données projet'!$B$9,Paramètres!$A$1:$I$89,3,0)*0.475*44/12</f>
        <v>1.0684172282763381E-23</v>
      </c>
      <c r="AC194" s="24">
        <f t="shared" si="163"/>
        <v>0.29464137803745016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-5.6843418860808015E-14</v>
      </c>
      <c r="AJ194" s="14">
        <f>AI194*VLOOKUP('Données projet'!$B$10,Paramètres!$A$1:$I$89,3,0)*VLOOKUP('Données projet'!$B$10,Paramètres!$A$1:$I$89,5,0)</f>
        <v>-5.1431925385259088E-14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439.19854273764042</v>
      </c>
      <c r="AO194" s="62">
        <f t="shared" si="144"/>
        <v>278.21741231699929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0.10516193429773794</v>
      </c>
      <c r="AW194" s="23">
        <f>EXP(-LN(2)/2)*AW193+(1-EXP(-LN(2)/2))/(LN(2)/2)*AQ194*AT194*VLOOKUP('Données projet'!$B$10,Paramètres!$A$1:$I$89,3,0)*0.475*44/12</f>
        <v>8.7208020426685142E-24</v>
      </c>
      <c r="AX194" s="23">
        <f t="shared" si="166"/>
        <v>0.10516193429773794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-2.8421709430404007E-13</v>
      </c>
      <c r="BE194" s="14">
        <f>BD194*VLOOKUP('Données projet'!$B$11,Paramètres!$A$1:$I$89,3,0)*VLOOKUP('Données projet'!$B$11,Paramètres!$A$1:$I$89,5,0)</f>
        <v>-2.2612312022829427E-13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352.88510024787888</v>
      </c>
      <c r="BJ194" s="62">
        <f t="shared" si="146"/>
        <v>343.77208530767069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0.14156079842607361</v>
      </c>
      <c r="BR194" s="23">
        <f>EXP(-LN(2)/2)*BR193+(1-EXP(-LN(2)/2))/(LN(2)/2)*BL194*BO194*VLOOKUP('Données projet'!$B$11,Paramètres!$A$1:$I$89,3,0)*0.475*44/12</f>
        <v>2.3090214358390082E-25</v>
      </c>
      <c r="BS194" s="24">
        <f t="shared" si="169"/>
        <v>0.14156079842607361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-2.8421709430404007E-13</v>
      </c>
      <c r="BZ194" s="14">
        <f>BY194*VLOOKUP('Données projet'!$B$12,Paramètres!$A$1:$I$89,3,0)*VLOOKUP('Données projet'!$B$12,Paramètres!$A$1:$I$89,5,0)</f>
        <v>-2.0838797354372215E-13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328.10411227536315</v>
      </c>
      <c r="CE194" s="62">
        <f t="shared" si="148"/>
        <v>320.24200483294322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0.37435714443216067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0.37435714443216067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5.6843418860808015E-14</v>
      </c>
      <c r="CU194" s="18">
        <f>CT194*VLOOKUP('Données projet'!$B$13,Paramètres!$A$1:$I$89,3,0)*VLOOKUP('Données projet'!$B$13,Paramètres!$A$1:$I$89,5,0)</f>
        <v>4.4337866711430253E-14</v>
      </c>
      <c r="CV194" s="14">
        <f t="shared" si="173"/>
        <v>7.3222115536967035E-13</v>
      </c>
      <c r="CW194" s="22">
        <f t="shared" si="174"/>
        <v>1.3525069634579169E-12</v>
      </c>
      <c r="CX194" s="62">
        <f t="shared" si="122"/>
        <v>293.33333333333468</v>
      </c>
      <c r="CY194" s="62">
        <f ca="1">AVERAGE(OFFSET($CX$3,0,0,'Données projet'!$E$13+1,1))-AVERAGE(OFFSET($H$3,0,0,'Données projet'!$E$13+1,1))</f>
        <v>288.82868507674738</v>
      </c>
      <c r="CZ194" s="62">
        <f t="shared" si="150"/>
        <v>283.48738729114024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0.42093608482732331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0.42093608482732331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>
        <f>DO194*VLOOKUP('Données projet'!$B$14,Paramètres!$A$1:$I$89,3,0)*VLOOKUP('Données projet'!$B$14,Paramètres!$A$1:$I$89,5,0)</f>
        <v>0</v>
      </c>
      <c r="DQ194" s="14" t="e">
        <f t="shared" si="176"/>
        <v>#NUM!</v>
      </c>
      <c r="DR194" s="22" t="e">
        <f t="shared" si="177"/>
        <v>#NUM!</v>
      </c>
      <c r="DS194" s="62" t="e">
        <f t="shared" si="125"/>
        <v>#NUM!</v>
      </c>
      <c r="DT194" s="62">
        <f ca="1">AVERAGE(OFFSET($DS$3,0,0,'Données projet'!$E$14+1,1))-AVERAGE(OFFSET($H$3,0,0,'Données projet'!$E$14+1,1))</f>
        <v>487.04124684635974</v>
      </c>
      <c r="DU194" s="62">
        <f t="shared" si="152"/>
        <v>306.61893266146666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0.50489396748539639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0.50489396748539639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>
        <f>EJ194*VLOOKUP('Données projet'!$B$15,Paramètres!$A$1:$I$89,3,0)*VLOOKUP('Données projet'!$B$15,Paramètres!$A$1:$I$89,5,0)</f>
        <v>0</v>
      </c>
      <c r="EL194" s="14" t="e">
        <f t="shared" si="179"/>
        <v>#NUM!</v>
      </c>
      <c r="EM194" s="22" t="e">
        <f t="shared" si="180"/>
        <v>#NUM!</v>
      </c>
      <c r="EN194" s="62" t="e">
        <f t="shared" si="128"/>
        <v>#NUM!</v>
      </c>
      <c r="EO194" s="62">
        <f ca="1">AVERAGE(OFFSET($EN$3,0,0,'Données projet'!$E$15+1,1))-AVERAGE(OFFSET($H$3,0,0,'Données projet'!$E$15+1,1))</f>
        <v>459.64120566196812</v>
      </c>
      <c r="EP194" s="62">
        <f t="shared" si="154"/>
        <v>290.39826583283588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0.47382356948629517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0.47382356948629517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>
        <f>FE194*VLOOKUP('Données projet'!$B$16,Paramètres!$A$1:$I$89,3,0)*VLOOKUP('Données projet'!$B$16,Paramètres!$A$1:$I$89,5,0)</f>
        <v>0</v>
      </c>
      <c r="FG194" s="14" t="e">
        <f t="shared" si="182"/>
        <v>#NUM!</v>
      </c>
      <c r="FH194" s="22" t="e">
        <f t="shared" si="183"/>
        <v>#NUM!</v>
      </c>
      <c r="FI194" s="62" t="e">
        <f t="shared" si="131"/>
        <v>#NUM!</v>
      </c>
      <c r="FJ194" s="62">
        <f ca="1">AVERAGE(OFFSET($FI$3,0,0,'Données projet'!$E$16+1,1))-AVERAGE(OFFSET($H$3,0,0,'Données projet'!$E$16+1,1))</f>
        <v>335.83558218229564</v>
      </c>
      <c r="FK194" s="62">
        <f t="shared" si="156"/>
        <v>217.08423061559648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0</v>
      </c>
      <c r="FR194" s="23">
        <f>EXP(-LN(2)/25)*FR193+(1-EXP(-LN(2)/25))/(LN(2)/25)*Calculateur!FM194*Calculateur!FO194*VLOOKUP('Données projet'!$B$16,Paramètres!$A$1:$I$89,3,0)*0.475*44/12</f>
        <v>9.6096250306553652E-2</v>
      </c>
      <c r="FS194" s="23">
        <f>EXP(-LN(2)/2)*FS193+(1-EXP(-LN(2)/2))/(LN(2)/2)*FM194*FP194*VLOOKUP('Données projet'!$B$16,Paramètres!$A$1:$I$89,3,0)*0.475*44/12</f>
        <v>6.4654222040473992E-24</v>
      </c>
      <c r="FT194" s="24">
        <f t="shared" si="184"/>
        <v>9.6096250306553652E-2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1.9895196601282805E-13</v>
      </c>
      <c r="O195" s="14">
        <f>N195*VLOOKUP('Données projet'!$B$9,Paramètres!$A$1:$I$89,3,0)*VLOOKUP('Données projet'!$B$9,Paramètres!$A$1:$I$89,5,0)</f>
        <v>1.738044375088066E-13</v>
      </c>
      <c r="P195" s="14">
        <f t="shared" si="141"/>
        <v>2.4483293633950478E-12</v>
      </c>
      <c r="Q195" s="22">
        <f t="shared" si="162"/>
        <v>4.566883036574213E-12</v>
      </c>
      <c r="R195" s="62">
        <f t="shared" ref="R195:R203" si="191">Q195+(I195+J195)*44/12</f>
        <v>293.33333333333786</v>
      </c>
      <c r="S195" s="62">
        <f ca="1">AVERAGE(OFFSET($R$3,0,0,'Données projet'!$E$9+1,1))-AVERAGE(OFFSET($H$3,0,0,'Données projet'!$E$9+1,1))</f>
        <v>321.23599968992932</v>
      </c>
      <c r="T195" s="62">
        <f t="shared" si="142"/>
        <v>388.05195847800502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0.2865843940604994</v>
      </c>
      <c r="AB195" s="23">
        <f>EXP(-LN(2)/2)*AB194+(1-EXP(-LN(2)/2))/(LN(2)/2)*V195*Y195*VLOOKUP('Données projet'!$B$9,Paramètres!$A$1:$I$89,3,0)*0.475*44/12</f>
        <v>7.5548506725073418E-24</v>
      </c>
      <c r="AC195" s="24">
        <f t="shared" si="163"/>
        <v>0.2865843940604994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-5.6843418860808015E-14</v>
      </c>
      <c r="AJ195" s="14">
        <f>AI195*VLOOKUP('Données projet'!$B$10,Paramètres!$A$1:$I$89,3,0)*VLOOKUP('Données projet'!$B$10,Paramètres!$A$1:$I$89,5,0)</f>
        <v>-5.1431925385259088E-14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439.19854273764042</v>
      </c>
      <c r="AO195" s="62">
        <f t="shared" si="144"/>
        <v>278.21741231699929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0.10228627567414053</v>
      </c>
      <c r="AW195" s="23">
        <f>EXP(-LN(2)/2)*AW194+(1-EXP(-LN(2)/2))/(LN(2)/2)*AQ195*AT195*VLOOKUP('Données projet'!$B$10,Paramètres!$A$1:$I$89,3,0)*0.475*44/12</f>
        <v>6.1665382617564018E-24</v>
      </c>
      <c r="AX195" s="23">
        <f t="shared" si="166"/>
        <v>0.10228627567414053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-2.8421709430404007E-13</v>
      </c>
      <c r="BE195" s="14">
        <f>BD195*VLOOKUP('Données projet'!$B$11,Paramètres!$A$1:$I$89,3,0)*VLOOKUP('Données projet'!$B$11,Paramètres!$A$1:$I$89,5,0)</f>
        <v>-2.2612312022829427E-13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352.88510024787888</v>
      </c>
      <c r="BJ195" s="62">
        <f t="shared" si="146"/>
        <v>343.77208530767069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0.13768981094875377</v>
      </c>
      <c r="BR195" s="23">
        <f>EXP(-LN(2)/2)*BR194+(1-EXP(-LN(2)/2))/(LN(2)/2)*BL195*BO195*VLOOKUP('Données projet'!$B$11,Paramètres!$A$1:$I$89,3,0)*0.475*44/12</f>
        <v>1.6327247151868614E-25</v>
      </c>
      <c r="BS195" s="24">
        <f t="shared" si="169"/>
        <v>0.13768981094875377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-2.8421709430404007E-13</v>
      </c>
      <c r="BZ195" s="14">
        <f>BY195*VLOOKUP('Données projet'!$B$12,Paramètres!$A$1:$I$89,3,0)*VLOOKUP('Données projet'!$B$12,Paramètres!$A$1:$I$89,5,0)</f>
        <v>-2.0838797354372215E-13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328.10411227536315</v>
      </c>
      <c r="CE195" s="62">
        <f t="shared" si="148"/>
        <v>320.24200483294322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0.36701622916515786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0.36701622916515786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5.6843418860808015E-14</v>
      </c>
      <c r="CU195" s="18">
        <f>CT195*VLOOKUP('Données projet'!$B$13,Paramètres!$A$1:$I$89,3,0)*VLOOKUP('Données projet'!$B$13,Paramètres!$A$1:$I$89,5,0)</f>
        <v>4.4337866711430253E-14</v>
      </c>
      <c r="CV195" s="14">
        <f t="shared" si="173"/>
        <v>7.3222115536967035E-13</v>
      </c>
      <c r="CW195" s="22">
        <f t="shared" si="174"/>
        <v>1.3525069634579169E-12</v>
      </c>
      <c r="CX195" s="62">
        <f t="shared" si="122"/>
        <v>293.33333333333468</v>
      </c>
      <c r="CY195" s="62">
        <f ca="1">AVERAGE(OFFSET($CX$3,0,0,'Données projet'!$E$13+1,1))-AVERAGE(OFFSET($H$3,0,0,'Données projet'!$E$13+1,1))</f>
        <v>288.82868507674738</v>
      </c>
      <c r="CZ195" s="62">
        <f t="shared" si="150"/>
        <v>283.48738729114024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0.41268178494951974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0.41268178494951974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>
        <f>DO195*VLOOKUP('Données projet'!$B$14,Paramètres!$A$1:$I$89,3,0)*VLOOKUP('Données projet'!$B$14,Paramètres!$A$1:$I$89,5,0)</f>
        <v>0</v>
      </c>
      <c r="DQ195" s="14" t="e">
        <f t="shared" si="176"/>
        <v>#NUM!</v>
      </c>
      <c r="DR195" s="22" t="e">
        <f t="shared" si="177"/>
        <v>#NUM!</v>
      </c>
      <c r="DS195" s="62" t="e">
        <f t="shared" si="125"/>
        <v>#NUM!</v>
      </c>
      <c r="DT195" s="62">
        <f ca="1">AVERAGE(OFFSET($DS$3,0,0,'Données projet'!$E$14+1,1))-AVERAGE(OFFSET($H$3,0,0,'Données projet'!$E$14+1,1))</f>
        <v>487.04124684635974</v>
      </c>
      <c r="DU195" s="62">
        <f t="shared" si="152"/>
        <v>306.61893266146666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0.49499330473791991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0.49499330473791991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>
        <f>EJ195*VLOOKUP('Données projet'!$B$15,Paramètres!$A$1:$I$89,3,0)*VLOOKUP('Données projet'!$B$15,Paramètres!$A$1:$I$89,5,0)</f>
        <v>0</v>
      </c>
      <c r="EL195" s="14" t="e">
        <f t="shared" si="179"/>
        <v>#NUM!</v>
      </c>
      <c r="EM195" s="22" t="e">
        <f t="shared" si="180"/>
        <v>#NUM!</v>
      </c>
      <c r="EN195" s="62" t="e">
        <f t="shared" si="128"/>
        <v>#NUM!</v>
      </c>
      <c r="EO195" s="62">
        <f ca="1">AVERAGE(OFFSET($EN$3,0,0,'Données projet'!$E$15+1,1))-AVERAGE(OFFSET($H$3,0,0,'Données projet'!$E$15+1,1))</f>
        <v>459.64120566196812</v>
      </c>
      <c r="EP195" s="62">
        <f t="shared" si="154"/>
        <v>290.39826583283588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0.46453217829250953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0.46453217829250953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>
        <f>FE195*VLOOKUP('Données projet'!$B$16,Paramètres!$A$1:$I$89,3,0)*VLOOKUP('Données projet'!$B$16,Paramètres!$A$1:$I$89,5,0)</f>
        <v>0</v>
      </c>
      <c r="FG195" s="14" t="e">
        <f t="shared" si="182"/>
        <v>#NUM!</v>
      </c>
      <c r="FH195" s="22" t="e">
        <f t="shared" si="183"/>
        <v>#NUM!</v>
      </c>
      <c r="FI195" s="62" t="e">
        <f t="shared" si="131"/>
        <v>#NUM!</v>
      </c>
      <c r="FJ195" s="62">
        <f ca="1">AVERAGE(OFFSET($FI$3,0,0,'Données projet'!$E$16+1,1))-AVERAGE(OFFSET($H$3,0,0,'Données projet'!$E$16+1,1))</f>
        <v>335.83558218229564</v>
      </c>
      <c r="FK195" s="62">
        <f t="shared" si="156"/>
        <v>217.08423061559648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0</v>
      </c>
      <c r="FR195" s="23">
        <f>EXP(-LN(2)/25)*FR194+(1-EXP(-LN(2)/25))/(LN(2)/25)*Calculateur!FM195*Calculateur!FO195*VLOOKUP('Données projet'!$B$16,Paramètres!$A$1:$I$89,3,0)*0.475*44/12</f>
        <v>9.3468493288438773E-2</v>
      </c>
      <c r="FS195" s="23">
        <f>EXP(-LN(2)/2)*FS194+(1-EXP(-LN(2)/2))/(LN(2)/2)*FM195*FP195*VLOOKUP('Données projet'!$B$16,Paramètres!$A$1:$I$89,3,0)*0.475*44/12</f>
        <v>4.57174388371599E-24</v>
      </c>
      <c r="FT195" s="24">
        <f t="shared" si="184"/>
        <v>9.3468493288438773E-2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1.9895196601282805E-13</v>
      </c>
      <c r="O196" s="14">
        <f>N196*VLOOKUP('Données projet'!$B$9,Paramètres!$A$1:$I$89,3,0)*VLOOKUP('Données projet'!$B$9,Paramètres!$A$1:$I$89,5,0)</f>
        <v>1.738044375088066E-13</v>
      </c>
      <c r="P196" s="14">
        <f t="shared" si="141"/>
        <v>2.4483293633950478E-12</v>
      </c>
      <c r="Q196" s="22">
        <f t="shared" si="162"/>
        <v>4.566883036574213E-12</v>
      </c>
      <c r="R196" s="62">
        <f t="shared" si="191"/>
        <v>293.33333333333786</v>
      </c>
      <c r="S196" s="62">
        <f ca="1">AVERAGE(OFFSET($R$3,0,0,'Données projet'!$E$9+1,1))-AVERAGE(OFFSET($H$3,0,0,'Données projet'!$E$9+1,1))</f>
        <v>321.23599968992932</v>
      </c>
      <c r="T196" s="62">
        <f t="shared" si="142"/>
        <v>388.05195847800502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0.27874772873409676</v>
      </c>
      <c r="AB196" s="23">
        <f>EXP(-LN(2)/2)*AB195+(1-EXP(-LN(2)/2))/(LN(2)/2)*V196*Y196*VLOOKUP('Données projet'!$B$9,Paramètres!$A$1:$I$89,3,0)*0.475*44/12</f>
        <v>5.3420861413816905E-24</v>
      </c>
      <c r="AC196" s="24">
        <f t="shared" si="163"/>
        <v>0.27874772873409676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-5.6843418860808015E-14</v>
      </c>
      <c r="AJ196" s="14">
        <f>AI196*VLOOKUP('Données projet'!$B$10,Paramètres!$A$1:$I$89,3,0)*VLOOKUP('Données projet'!$B$10,Paramètres!$A$1:$I$89,5,0)</f>
        <v>-5.1431925385259088E-14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439.19854273764042</v>
      </c>
      <c r="AO196" s="62">
        <f t="shared" si="144"/>
        <v>278.21741231699929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9.9489252086829696E-2</v>
      </c>
      <c r="AW196" s="23">
        <f>EXP(-LN(2)/2)*AW195+(1-EXP(-LN(2)/2))/(LN(2)/2)*AQ196*AT196*VLOOKUP('Données projet'!$B$10,Paramètres!$A$1:$I$89,3,0)*0.475*44/12</f>
        <v>4.3604010213342571E-24</v>
      </c>
      <c r="AX196" s="23">
        <f t="shared" si="166"/>
        <v>9.9489252086829696E-2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-2.8421709430404007E-13</v>
      </c>
      <c r="BE196" s="14">
        <f>BD196*VLOOKUP('Données projet'!$B$11,Paramètres!$A$1:$I$89,3,0)*VLOOKUP('Données projet'!$B$11,Paramètres!$A$1:$I$89,5,0)</f>
        <v>-2.2612312022829427E-13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352.88510024787888</v>
      </c>
      <c r="BJ196" s="62">
        <f t="shared" si="146"/>
        <v>343.77208530767069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0.13392467582756762</v>
      </c>
      <c r="BR196" s="23">
        <f>EXP(-LN(2)/2)*BR195+(1-EXP(-LN(2)/2))/(LN(2)/2)*BL196*BO196*VLOOKUP('Données projet'!$B$11,Paramètres!$A$1:$I$89,3,0)*0.475*44/12</f>
        <v>1.1545107179195041E-25</v>
      </c>
      <c r="BS196" s="24">
        <f t="shared" si="169"/>
        <v>0.13392467582756762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-2.8421709430404007E-13</v>
      </c>
      <c r="BZ196" s="14">
        <f>BY196*VLOOKUP('Données projet'!$B$12,Paramètres!$A$1:$I$89,3,0)*VLOOKUP('Données projet'!$B$12,Paramètres!$A$1:$I$89,5,0)</f>
        <v>-2.0838797354372215E-13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328.10411227536315</v>
      </c>
      <c r="CE196" s="62">
        <f t="shared" si="148"/>
        <v>320.24200483294322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0.35981926476902476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0.35981926476902476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5.6843418860808015E-14</v>
      </c>
      <c r="CU196" s="18">
        <f>CT196*VLOOKUP('Données projet'!$B$13,Paramètres!$A$1:$I$89,3,0)*VLOOKUP('Données projet'!$B$13,Paramètres!$A$1:$I$89,5,0)</f>
        <v>4.4337866711430253E-14</v>
      </c>
      <c r="CV196" s="14">
        <f t="shared" si="173"/>
        <v>7.3222115536967035E-13</v>
      </c>
      <c r="CW196" s="22">
        <f t="shared" si="174"/>
        <v>1.3525069634579169E-12</v>
      </c>
      <c r="CX196" s="62">
        <f t="shared" ref="CX196:CX203" si="196">CW196+(CO196+CP196)*44/12</f>
        <v>293.33333333333468</v>
      </c>
      <c r="CY196" s="62">
        <f ca="1">AVERAGE(OFFSET($CX$3,0,0,'Données projet'!$E$13+1,1))-AVERAGE(OFFSET($H$3,0,0,'Données projet'!$E$13+1,1))</f>
        <v>288.82868507674738</v>
      </c>
      <c r="CZ196" s="62">
        <f t="shared" si="150"/>
        <v>283.48738729114024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0.4045893468576941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0.4045893468576941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>
        <f>DO196*VLOOKUP('Données projet'!$B$14,Paramètres!$A$1:$I$89,3,0)*VLOOKUP('Données projet'!$B$14,Paramètres!$A$1:$I$89,5,0)</f>
        <v>0</v>
      </c>
      <c r="DQ196" s="14" t="e">
        <f t="shared" si="176"/>
        <v>#NUM!</v>
      </c>
      <c r="DR196" s="22" t="e">
        <f t="shared" si="177"/>
        <v>#NUM!</v>
      </c>
      <c r="DS196" s="62" t="e">
        <f t="shared" ref="DS196:DS203" si="197">DR196+(DJ196+DK196)*44/12</f>
        <v>#NUM!</v>
      </c>
      <c r="DT196" s="62">
        <f ca="1">AVERAGE(OFFSET($DS$3,0,0,'Données projet'!$E$14+1,1))-AVERAGE(OFFSET($H$3,0,0,'Données projet'!$E$14+1,1))</f>
        <v>487.04124684635974</v>
      </c>
      <c r="DU196" s="62">
        <f t="shared" si="152"/>
        <v>306.61893266146666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0.48528678794811347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0.48528678794811347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>
        <f>EJ196*VLOOKUP('Données projet'!$B$15,Paramètres!$A$1:$I$89,3,0)*VLOOKUP('Données projet'!$B$15,Paramètres!$A$1:$I$89,5,0)</f>
        <v>0</v>
      </c>
      <c r="EL196" s="14" t="e">
        <f t="shared" si="179"/>
        <v>#NUM!</v>
      </c>
      <c r="EM196" s="22" t="e">
        <f t="shared" si="180"/>
        <v>#NUM!</v>
      </c>
      <c r="EN196" s="62" t="e">
        <f t="shared" ref="EN196:EN203" si="198">EM196+(EE196+EF196)*44/12</f>
        <v>#NUM!</v>
      </c>
      <c r="EO196" s="62">
        <f ca="1">AVERAGE(OFFSET($EN$3,0,0,'Données projet'!$E$15+1,1))-AVERAGE(OFFSET($H$3,0,0,'Données projet'!$E$15+1,1))</f>
        <v>459.64120566196812</v>
      </c>
      <c r="EP196" s="62">
        <f t="shared" si="154"/>
        <v>290.39826583283588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0.455422985612845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0.455422985612845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>
        <f>FE196*VLOOKUP('Données projet'!$B$16,Paramètres!$A$1:$I$89,3,0)*VLOOKUP('Données projet'!$B$16,Paramètres!$A$1:$I$89,5,0)</f>
        <v>0</v>
      </c>
      <c r="FG196" s="14" t="e">
        <f t="shared" si="182"/>
        <v>#NUM!</v>
      </c>
      <c r="FH196" s="22" t="e">
        <f t="shared" si="183"/>
        <v>#NUM!</v>
      </c>
      <c r="FI196" s="62" t="e">
        <f t="shared" ref="FI196:FI203" si="199">FH196+(EZ196+FA196)*44/12</f>
        <v>#NUM!</v>
      </c>
      <c r="FJ196" s="62">
        <f ca="1">AVERAGE(OFFSET($FI$3,0,0,'Données projet'!$E$16+1,1))-AVERAGE(OFFSET($H$3,0,0,'Données projet'!$E$16+1,1))</f>
        <v>335.83558218229564</v>
      </c>
      <c r="FK196" s="62">
        <f t="shared" si="156"/>
        <v>217.08423061559648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0</v>
      </c>
      <c r="FR196" s="23">
        <f>EXP(-LN(2)/25)*FR195+(1-EXP(-LN(2)/25))/(LN(2)/25)*Calculateur!FM196*Calculateur!FO196*VLOOKUP('Données projet'!$B$16,Paramètres!$A$1:$I$89,3,0)*0.475*44/12</f>
        <v>9.0912592424171976E-2</v>
      </c>
      <c r="FS196" s="23">
        <f>EXP(-LN(2)/2)*FS195+(1-EXP(-LN(2)/2))/(LN(2)/2)*FM196*FP196*VLOOKUP('Données projet'!$B$16,Paramètres!$A$1:$I$89,3,0)*0.475*44/12</f>
        <v>3.2327111020236996E-24</v>
      </c>
      <c r="FT196" s="24">
        <f t="shared" si="184"/>
        <v>9.0912592424171976E-2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1.9895196601282805E-13</v>
      </c>
      <c r="O197" s="14">
        <f>N197*VLOOKUP('Données projet'!$B$9,Paramètres!$A$1:$I$89,3,0)*VLOOKUP('Données projet'!$B$9,Paramètres!$A$1:$I$89,5,0)</f>
        <v>1.738044375088066E-13</v>
      </c>
      <c r="P197" s="14">
        <f t="shared" ref="P197:P203" si="203">EXP(-1.0587+0.8836*LN(O197)+0.284)</f>
        <v>2.4483293633950478E-12</v>
      </c>
      <c r="Q197" s="22">
        <f t="shared" si="162"/>
        <v>4.566883036574213E-12</v>
      </c>
      <c r="R197" s="62">
        <f t="shared" si="191"/>
        <v>293.33333333333786</v>
      </c>
      <c r="S197" s="62">
        <f ca="1">AVERAGE(OFFSET($R$3,0,0,'Données projet'!$E$9+1,1))-AVERAGE(OFFSET($H$3,0,0,'Données projet'!$E$9+1,1))</f>
        <v>321.23599968992932</v>
      </c>
      <c r="T197" s="62">
        <f t="shared" ref="T197:T203" si="204">$T$3</f>
        <v>388.05195847800502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0.27112535743315691</v>
      </c>
      <c r="AB197" s="23">
        <f>EXP(-LN(2)/2)*AB196+(1-EXP(-LN(2)/2))/(LN(2)/2)*V197*Y197*VLOOKUP('Données projet'!$B$9,Paramètres!$A$1:$I$89,3,0)*0.475*44/12</f>
        <v>3.7774253362536709E-24</v>
      </c>
      <c r="AC197" s="24">
        <f t="shared" si="163"/>
        <v>0.27112535743315691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-5.6843418860808015E-14</v>
      </c>
      <c r="AJ197" s="14">
        <f>AI197*VLOOKUP('Données projet'!$B$10,Paramètres!$A$1:$I$89,3,0)*VLOOKUP('Données projet'!$B$10,Paramètres!$A$1:$I$89,5,0)</f>
        <v>-5.1431925385259088E-14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439.19854273764042</v>
      </c>
      <c r="AO197" s="62">
        <f t="shared" ref="AO197:AO203" si="205">$AO$3</f>
        <v>278.21741231699929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9.6768713256602953E-2</v>
      </c>
      <c r="AW197" s="23">
        <f>EXP(-LN(2)/2)*AW196+(1-EXP(-LN(2)/2))/(LN(2)/2)*AQ197*AT197*VLOOKUP('Données projet'!$B$10,Paramètres!$A$1:$I$89,3,0)*0.475*44/12</f>
        <v>3.0832691308782009E-24</v>
      </c>
      <c r="AX197" s="23">
        <f t="shared" si="166"/>
        <v>9.6768713256602953E-2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-2.8421709430404007E-13</v>
      </c>
      <c r="BE197" s="14">
        <f>BD197*VLOOKUP('Données projet'!$B$11,Paramètres!$A$1:$I$89,3,0)*VLOOKUP('Données projet'!$B$11,Paramètres!$A$1:$I$89,5,0)</f>
        <v>-2.2612312022829427E-13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352.88510024787888</v>
      </c>
      <c r="BJ197" s="62">
        <f t="shared" ref="BJ197:BJ203" si="206">$BJ$3</f>
        <v>343.77208530767069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0.13026249852427016</v>
      </c>
      <c r="BR197" s="23">
        <f>EXP(-LN(2)/2)*BR196+(1-EXP(-LN(2)/2))/(LN(2)/2)*BL197*BO197*VLOOKUP('Données projet'!$B$11,Paramètres!$A$1:$I$89,3,0)*0.475*44/12</f>
        <v>8.1636235759343069E-26</v>
      </c>
      <c r="BS197" s="24">
        <f t="shared" si="169"/>
        <v>0.13026249852427016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-2.8421709430404007E-13</v>
      </c>
      <c r="BZ197" s="14">
        <f>BY197*VLOOKUP('Données projet'!$B$12,Paramètres!$A$1:$I$89,3,0)*VLOOKUP('Données projet'!$B$12,Paramètres!$A$1:$I$89,5,0)</f>
        <v>-2.0838797354372215E-13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328.10411227536315</v>
      </c>
      <c r="CE197" s="62">
        <f t="shared" ref="CE197:CE203" si="207">$CE$3</f>
        <v>320.24200483294322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0.35276342845498504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0.35276342845498504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5.6843418860808015E-14</v>
      </c>
      <c r="CU197" s="18">
        <f>CT197*VLOOKUP('Données projet'!$B$13,Paramètres!$A$1:$I$89,3,0)*VLOOKUP('Données projet'!$B$13,Paramètres!$A$1:$I$89,5,0)</f>
        <v>4.4337866711430253E-14</v>
      </c>
      <c r="CV197" s="14">
        <f t="shared" si="173"/>
        <v>7.3222115536967035E-13</v>
      </c>
      <c r="CW197" s="22">
        <f t="shared" si="174"/>
        <v>1.3525069634579169E-12</v>
      </c>
      <c r="CX197" s="62">
        <f t="shared" si="196"/>
        <v>293.33333333333468</v>
      </c>
      <c r="CY197" s="62">
        <f ca="1">AVERAGE(OFFSET($CX$3,0,0,'Données projet'!$E$13+1,1))-AVERAGE(OFFSET($H$3,0,0,'Données projet'!$E$13+1,1))</f>
        <v>288.82868507674738</v>
      </c>
      <c r="CZ197" s="62">
        <f t="shared" ref="CZ197:CZ203" si="208">$CZ$3</f>
        <v>283.48738729114024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0.39665559654094928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0.39665559654094928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>
        <f>DO197*VLOOKUP('Données projet'!$B$14,Paramètres!$A$1:$I$89,3,0)*VLOOKUP('Données projet'!$B$14,Paramètres!$A$1:$I$89,5,0)</f>
        <v>0</v>
      </c>
      <c r="DQ197" s="14" t="e">
        <f t="shared" si="176"/>
        <v>#NUM!</v>
      </c>
      <c r="DR197" s="22" t="e">
        <f t="shared" si="177"/>
        <v>#NUM!</v>
      </c>
      <c r="DS197" s="62" t="e">
        <f t="shared" si="197"/>
        <v>#NUM!</v>
      </c>
      <c r="DT197" s="62">
        <f ca="1">AVERAGE(OFFSET($DS$3,0,0,'Données projet'!$E$14+1,1))-AVERAGE(OFFSET($H$3,0,0,'Données projet'!$E$14+1,1))</f>
        <v>487.04124684635974</v>
      </c>
      <c r="DU197" s="62">
        <f t="shared" ref="DU197:DU203" si="209">$DU$3</f>
        <v>306.61893266146666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0.47577061003216448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0.47577061003216448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>
        <f>EJ197*VLOOKUP('Données projet'!$B$15,Paramètres!$A$1:$I$89,3,0)*VLOOKUP('Données projet'!$B$15,Paramètres!$A$1:$I$89,5,0)</f>
        <v>0</v>
      </c>
      <c r="EL197" s="14" t="e">
        <f t="shared" si="179"/>
        <v>#NUM!</v>
      </c>
      <c r="EM197" s="22" t="e">
        <f t="shared" si="180"/>
        <v>#NUM!</v>
      </c>
      <c r="EN197" s="62" t="e">
        <f t="shared" si="198"/>
        <v>#NUM!</v>
      </c>
      <c r="EO197" s="62">
        <f ca="1">AVERAGE(OFFSET($EN$3,0,0,'Données projet'!$E$15+1,1))-AVERAGE(OFFSET($H$3,0,0,'Données projet'!$E$15+1,1))</f>
        <v>459.64120566196812</v>
      </c>
      <c r="EP197" s="62">
        <f t="shared" ref="EP197:EP203" si="210">$EP$3</f>
        <v>290.39826583283588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0.44649241864556977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0.44649241864556977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>
        <f>FE197*VLOOKUP('Données projet'!$B$16,Paramètres!$A$1:$I$89,3,0)*VLOOKUP('Données projet'!$B$16,Paramètres!$A$1:$I$89,5,0)</f>
        <v>0</v>
      </c>
      <c r="FG197" s="14" t="e">
        <f t="shared" si="182"/>
        <v>#NUM!</v>
      </c>
      <c r="FH197" s="22" t="e">
        <f t="shared" si="183"/>
        <v>#NUM!</v>
      </c>
      <c r="FI197" s="62" t="e">
        <f t="shared" si="199"/>
        <v>#NUM!</v>
      </c>
      <c r="FJ197" s="62">
        <f ca="1">AVERAGE(OFFSET($FI$3,0,0,'Données projet'!$E$16+1,1))-AVERAGE(OFFSET($H$3,0,0,'Données projet'!$E$16+1,1))</f>
        <v>335.83558218229564</v>
      </c>
      <c r="FK197" s="62">
        <f t="shared" ref="FK197:FK203" si="211">$FK$3</f>
        <v>217.08423061559648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0</v>
      </c>
      <c r="FR197" s="23">
        <f>EXP(-LN(2)/25)*FR196+(1-EXP(-LN(2)/25))/(LN(2)/25)*Calculateur!FM197*Calculateur!FO197*VLOOKUP('Données projet'!$B$16,Paramètres!$A$1:$I$89,3,0)*0.475*44/12</f>
        <v>8.8426582803447534E-2</v>
      </c>
      <c r="FS197" s="23">
        <f>EXP(-LN(2)/2)*FS196+(1-EXP(-LN(2)/2))/(LN(2)/2)*FM197*FP197*VLOOKUP('Données projet'!$B$16,Paramètres!$A$1:$I$89,3,0)*0.475*44/12</f>
        <v>2.285871941857995E-24</v>
      </c>
      <c r="FT197" s="24">
        <f t="shared" si="184"/>
        <v>8.8426582803447534E-2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1.9895196601282805E-13</v>
      </c>
      <c r="O198" s="14">
        <f>N198*VLOOKUP('Données projet'!$B$9,Paramètres!$A$1:$I$89,3,0)*VLOOKUP('Données projet'!$B$9,Paramètres!$A$1:$I$89,5,0)</f>
        <v>1.738044375088066E-13</v>
      </c>
      <c r="P198" s="14">
        <f t="shared" si="203"/>
        <v>2.4483293633950478E-12</v>
      </c>
      <c r="Q198" s="22">
        <f t="shared" si="162"/>
        <v>4.566883036574213E-12</v>
      </c>
      <c r="R198" s="62">
        <f t="shared" si="191"/>
        <v>293.33333333333786</v>
      </c>
      <c r="S198" s="62">
        <f ca="1">AVERAGE(OFFSET($R$3,0,0,'Données projet'!$E$9+1,1))-AVERAGE(OFFSET($H$3,0,0,'Données projet'!$E$9+1,1))</f>
        <v>321.23599968992932</v>
      </c>
      <c r="T198" s="62">
        <f t="shared" si="204"/>
        <v>388.05195847800502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0.26371142027628436</v>
      </c>
      <c r="AB198" s="23">
        <f>EXP(-LN(2)/2)*AB197+(1-EXP(-LN(2)/2))/(LN(2)/2)*V198*Y198*VLOOKUP('Données projet'!$B$9,Paramètres!$A$1:$I$89,3,0)*0.475*44/12</f>
        <v>2.6710430706908452E-24</v>
      </c>
      <c r="AC198" s="24">
        <f t="shared" si="163"/>
        <v>0.26371142027628436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-5.6843418860808015E-14</v>
      </c>
      <c r="AJ198" s="14">
        <f>AI198*VLOOKUP('Données projet'!$B$10,Paramètres!$A$1:$I$89,3,0)*VLOOKUP('Données projet'!$B$10,Paramètres!$A$1:$I$89,5,0)</f>
        <v>-5.1431925385259088E-14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439.19854273764042</v>
      </c>
      <c r="AO198" s="62">
        <f t="shared" si="205"/>
        <v>278.21741231699929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9.4122567703755683E-2</v>
      </c>
      <c r="AW198" s="23">
        <f>EXP(-LN(2)/2)*AW197+(1-EXP(-LN(2)/2))/(LN(2)/2)*AQ198*AT198*VLOOKUP('Données projet'!$B$10,Paramètres!$A$1:$I$89,3,0)*0.475*44/12</f>
        <v>2.1802005106671286E-24</v>
      </c>
      <c r="AX198" s="23">
        <f t="shared" si="166"/>
        <v>9.4122567703755683E-2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-2.8421709430404007E-13</v>
      </c>
      <c r="BE198" s="14">
        <f>BD198*VLOOKUP('Données projet'!$B$11,Paramètres!$A$1:$I$89,3,0)*VLOOKUP('Données projet'!$B$11,Paramètres!$A$1:$I$89,5,0)</f>
        <v>-2.2612312022829427E-13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352.88510024787888</v>
      </c>
      <c r="BJ198" s="62">
        <f t="shared" si="206"/>
        <v>343.77208530767069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0.12670046365191692</v>
      </c>
      <c r="BR198" s="23">
        <f>EXP(-LN(2)/2)*BR197+(1-EXP(-LN(2)/2))/(LN(2)/2)*BL198*BO198*VLOOKUP('Données projet'!$B$11,Paramètres!$A$1:$I$89,3,0)*0.475*44/12</f>
        <v>5.7725535895975205E-26</v>
      </c>
      <c r="BS198" s="24">
        <f t="shared" si="169"/>
        <v>0.12670046365191692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-2.8421709430404007E-13</v>
      </c>
      <c r="BZ198" s="14">
        <f>BY198*VLOOKUP('Données projet'!$B$12,Paramètres!$A$1:$I$89,3,0)*VLOOKUP('Données projet'!$B$12,Paramètres!$A$1:$I$89,5,0)</f>
        <v>-2.0838797354372215E-13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328.10411227536315</v>
      </c>
      <c r="CE198" s="62">
        <f t="shared" si="207"/>
        <v>320.24200483294322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0.34584595278742841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0.34584595278742841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5.6843418860808015E-14</v>
      </c>
      <c r="CU198" s="18">
        <f>CT198*VLOOKUP('Données projet'!$B$13,Paramètres!$A$1:$I$89,3,0)*VLOOKUP('Données projet'!$B$13,Paramètres!$A$1:$I$89,5,0)</f>
        <v>4.4337866711430253E-14</v>
      </c>
      <c r="CV198" s="14">
        <f t="shared" si="173"/>
        <v>7.3222115536967035E-13</v>
      </c>
      <c r="CW198" s="22">
        <f t="shared" si="174"/>
        <v>1.3525069634579169E-12</v>
      </c>
      <c r="CX198" s="62">
        <f t="shared" si="196"/>
        <v>293.33333333333468</v>
      </c>
      <c r="CY198" s="62">
        <f ca="1">AVERAGE(OFFSET($CX$3,0,0,'Données projet'!$E$13+1,1))-AVERAGE(OFFSET($H$3,0,0,'Données projet'!$E$13+1,1))</f>
        <v>288.82868507674738</v>
      </c>
      <c r="CZ198" s="62">
        <f t="shared" si="208"/>
        <v>283.48738729114024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0.38887742222880595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0.38887742222880595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>
        <f>DO198*VLOOKUP('Données projet'!$B$14,Paramètres!$A$1:$I$89,3,0)*VLOOKUP('Données projet'!$B$14,Paramètres!$A$1:$I$89,5,0)</f>
        <v>0</v>
      </c>
      <c r="DQ198" s="14" t="e">
        <f t="shared" si="176"/>
        <v>#NUM!</v>
      </c>
      <c r="DR198" s="22" t="e">
        <f t="shared" si="177"/>
        <v>#NUM!</v>
      </c>
      <c r="DS198" s="62" t="e">
        <f t="shared" si="197"/>
        <v>#NUM!</v>
      </c>
      <c r="DT198" s="62">
        <f ca="1">AVERAGE(OFFSET($DS$3,0,0,'Données projet'!$E$14+1,1))-AVERAGE(OFFSET($H$3,0,0,'Données projet'!$E$14+1,1))</f>
        <v>487.04124684635974</v>
      </c>
      <c r="DU198" s="62">
        <f t="shared" si="209"/>
        <v>306.61893266146666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0.46644103856085184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0.46644103856085184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>
        <f>EJ198*VLOOKUP('Données projet'!$B$15,Paramètres!$A$1:$I$89,3,0)*VLOOKUP('Données projet'!$B$15,Paramètres!$A$1:$I$89,5,0)</f>
        <v>0</v>
      </c>
      <c r="EL198" s="14" t="e">
        <f t="shared" si="179"/>
        <v>#NUM!</v>
      </c>
      <c r="EM198" s="22" t="e">
        <f t="shared" si="180"/>
        <v>#NUM!</v>
      </c>
      <c r="EN198" s="62" t="e">
        <f t="shared" si="198"/>
        <v>#NUM!</v>
      </c>
      <c r="EO198" s="62">
        <f ca="1">AVERAGE(OFFSET($EN$3,0,0,'Données projet'!$E$15+1,1))-AVERAGE(OFFSET($H$3,0,0,'Données projet'!$E$15+1,1))</f>
        <v>459.64120566196812</v>
      </c>
      <c r="EP198" s="62">
        <f t="shared" si="210"/>
        <v>290.39826583283588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0.4377369746494148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0.4377369746494148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>
        <f>FE198*VLOOKUP('Données projet'!$B$16,Paramètres!$A$1:$I$89,3,0)*VLOOKUP('Données projet'!$B$16,Paramètres!$A$1:$I$89,5,0)</f>
        <v>0</v>
      </c>
      <c r="FG198" s="14" t="e">
        <f t="shared" si="182"/>
        <v>#NUM!</v>
      </c>
      <c r="FH198" s="22" t="e">
        <f t="shared" si="183"/>
        <v>#NUM!</v>
      </c>
      <c r="FI198" s="62" t="e">
        <f t="shared" si="199"/>
        <v>#NUM!</v>
      </c>
      <c r="FJ198" s="62">
        <f ca="1">AVERAGE(OFFSET($FI$3,0,0,'Données projet'!$E$16+1,1))-AVERAGE(OFFSET($H$3,0,0,'Données projet'!$E$16+1,1))</f>
        <v>335.83558218229564</v>
      </c>
      <c r="FK198" s="62">
        <f t="shared" si="211"/>
        <v>217.08423061559648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0</v>
      </c>
      <c r="FR198" s="23">
        <f>EXP(-LN(2)/25)*FR197+(1-EXP(-LN(2)/25))/(LN(2)/25)*Calculateur!FM198*Calculateur!FO198*VLOOKUP('Données projet'!$B$16,Paramètres!$A$1:$I$89,3,0)*0.475*44/12</f>
        <v>8.6008553246535377E-2</v>
      </c>
      <c r="FS198" s="23">
        <f>EXP(-LN(2)/2)*FS197+(1-EXP(-LN(2)/2))/(LN(2)/2)*FM198*FP198*VLOOKUP('Données projet'!$B$16,Paramètres!$A$1:$I$89,3,0)*0.475*44/12</f>
        <v>1.6163555510118498E-24</v>
      </c>
      <c r="FT198" s="24">
        <f t="shared" si="184"/>
        <v>8.6008553246535377E-2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1.9895196601282805E-13</v>
      </c>
      <c r="O199" s="14">
        <f>N199*VLOOKUP('Données projet'!$B$9,Paramètres!$A$1:$I$89,3,0)*VLOOKUP('Données projet'!$B$9,Paramètres!$A$1:$I$89,5,0)</f>
        <v>1.738044375088066E-13</v>
      </c>
      <c r="P199" s="14">
        <f t="shared" si="203"/>
        <v>2.4483293633950478E-12</v>
      </c>
      <c r="Q199" s="22">
        <f t="shared" si="162"/>
        <v>4.566883036574213E-12</v>
      </c>
      <c r="R199" s="62">
        <f t="shared" si="191"/>
        <v>293.33333333333786</v>
      </c>
      <c r="S199" s="62">
        <f ca="1">AVERAGE(OFFSET($R$3,0,0,'Données projet'!$E$9+1,1))-AVERAGE(OFFSET($H$3,0,0,'Données projet'!$E$9+1,1))</f>
        <v>321.23599968992932</v>
      </c>
      <c r="T199" s="62">
        <f t="shared" si="204"/>
        <v>388.05195847800502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0.25650021762084851</v>
      </c>
      <c r="AB199" s="23">
        <f>EXP(-LN(2)/2)*AB198+(1-EXP(-LN(2)/2))/(LN(2)/2)*V199*Y199*VLOOKUP('Données projet'!$B$9,Paramètres!$A$1:$I$89,3,0)*0.475*44/12</f>
        <v>1.8887126681268355E-24</v>
      </c>
      <c r="AC199" s="24">
        <f t="shared" si="163"/>
        <v>0.25650021762084851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-5.6843418860808015E-14</v>
      </c>
      <c r="AJ199" s="14">
        <f>AI199*VLOOKUP('Données projet'!$B$10,Paramètres!$A$1:$I$89,3,0)*VLOOKUP('Données projet'!$B$10,Paramètres!$A$1:$I$89,5,0)</f>
        <v>-5.1431925385259088E-14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439.19854273764042</v>
      </c>
      <c r="AO199" s="62">
        <f t="shared" si="205"/>
        <v>278.21741231699929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9.1548781140205773E-2</v>
      </c>
      <c r="AW199" s="23">
        <f>EXP(-LN(2)/2)*AW198+(1-EXP(-LN(2)/2))/(LN(2)/2)*AQ199*AT199*VLOOKUP('Données projet'!$B$10,Paramètres!$A$1:$I$89,3,0)*0.475*44/12</f>
        <v>1.5416345654391005E-24</v>
      </c>
      <c r="AX199" s="23">
        <f t="shared" si="166"/>
        <v>9.1548781140205773E-2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-2.8421709430404007E-13</v>
      </c>
      <c r="BE199" s="14">
        <f>BD199*VLOOKUP('Données projet'!$B$11,Paramètres!$A$1:$I$89,3,0)*VLOOKUP('Données projet'!$B$11,Paramètres!$A$1:$I$89,5,0)</f>
        <v>-2.2612312022829427E-13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352.88510024787888</v>
      </c>
      <c r="BJ199" s="62">
        <f t="shared" si="206"/>
        <v>343.77208530767069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0.12323583281046745</v>
      </c>
      <c r="BR199" s="23">
        <f>EXP(-LN(2)/2)*BR198+(1-EXP(-LN(2)/2))/(LN(2)/2)*BL199*BO199*VLOOKUP('Données projet'!$B$11,Paramètres!$A$1:$I$89,3,0)*0.475*44/12</f>
        <v>4.0818117879671534E-26</v>
      </c>
      <c r="BS199" s="24">
        <f t="shared" si="169"/>
        <v>0.12323583281046745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-2.8421709430404007E-13</v>
      </c>
      <c r="BZ199" s="14">
        <f>BY199*VLOOKUP('Données projet'!$B$12,Paramètres!$A$1:$I$89,3,0)*VLOOKUP('Données projet'!$B$12,Paramètres!$A$1:$I$89,5,0)</f>
        <v>-2.0838797354372215E-13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328.10411227536315</v>
      </c>
      <c r="CE199" s="62">
        <f t="shared" si="207"/>
        <v>320.24200483294322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0.33906412459846902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0.33906412459846902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5.6843418860808015E-14</v>
      </c>
      <c r="CU199" s="18">
        <f>CT199*VLOOKUP('Données projet'!$B$13,Paramètres!$A$1:$I$89,3,0)*VLOOKUP('Données projet'!$B$13,Paramètres!$A$1:$I$89,5,0)</f>
        <v>4.4337866711430253E-14</v>
      </c>
      <c r="CV199" s="14">
        <f t="shared" si="173"/>
        <v>7.3222115536967035E-13</v>
      </c>
      <c r="CW199" s="22">
        <f t="shared" si="174"/>
        <v>1.3525069634579169E-12</v>
      </c>
      <c r="CX199" s="62">
        <f t="shared" si="196"/>
        <v>293.33333333333468</v>
      </c>
      <c r="CY199" s="62">
        <f ca="1">AVERAGE(OFFSET($CX$3,0,0,'Données projet'!$E$13+1,1))-AVERAGE(OFFSET($H$3,0,0,'Données projet'!$E$13+1,1))</f>
        <v>288.82868507674738</v>
      </c>
      <c r="CZ199" s="62">
        <f t="shared" si="208"/>
        <v>283.48738729114024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0.38125177317070585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0.38125177317070585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>
        <f>DO199*VLOOKUP('Données projet'!$B$14,Paramètres!$A$1:$I$89,3,0)*VLOOKUP('Données projet'!$B$14,Paramètres!$A$1:$I$89,5,0)</f>
        <v>0</v>
      </c>
      <c r="DQ199" s="14" t="e">
        <f t="shared" si="176"/>
        <v>#NUM!</v>
      </c>
      <c r="DR199" s="22" t="e">
        <f t="shared" si="177"/>
        <v>#NUM!</v>
      </c>
      <c r="DS199" s="62" t="e">
        <f t="shared" si="197"/>
        <v>#NUM!</v>
      </c>
      <c r="DT199" s="62">
        <f ca="1">AVERAGE(OFFSET($DS$3,0,0,'Données projet'!$E$14+1,1))-AVERAGE(OFFSET($H$3,0,0,'Données projet'!$E$14+1,1))</f>
        <v>487.04124684635974</v>
      </c>
      <c r="DU199" s="62">
        <f t="shared" si="209"/>
        <v>306.61893266146666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0.4572944142956149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0.4572944142956149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>
        <f>EJ199*VLOOKUP('Données projet'!$B$15,Paramètres!$A$1:$I$89,3,0)*VLOOKUP('Données projet'!$B$15,Paramètres!$A$1:$I$89,5,0)</f>
        <v>0</v>
      </c>
      <c r="EL199" s="14" t="e">
        <f t="shared" si="179"/>
        <v>#NUM!</v>
      </c>
      <c r="EM199" s="22" t="e">
        <f t="shared" si="180"/>
        <v>#NUM!</v>
      </c>
      <c r="EN199" s="62" t="e">
        <f t="shared" si="198"/>
        <v>#NUM!</v>
      </c>
      <c r="EO199" s="62">
        <f ca="1">AVERAGE(OFFSET($EN$3,0,0,'Données projet'!$E$15+1,1))-AVERAGE(OFFSET($H$3,0,0,'Données projet'!$E$15+1,1))</f>
        <v>459.64120566196812</v>
      </c>
      <c r="EP199" s="62">
        <f t="shared" si="210"/>
        <v>290.39826583283588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0.4291532195697309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0.4291532195697309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>
        <f>FE199*VLOOKUP('Données projet'!$B$16,Paramètres!$A$1:$I$89,3,0)*VLOOKUP('Données projet'!$B$16,Paramètres!$A$1:$I$89,5,0)</f>
        <v>0</v>
      </c>
      <c r="FG199" s="14" t="e">
        <f t="shared" si="182"/>
        <v>#NUM!</v>
      </c>
      <c r="FH199" s="22" t="e">
        <f t="shared" si="183"/>
        <v>#NUM!</v>
      </c>
      <c r="FI199" s="62" t="e">
        <f t="shared" si="199"/>
        <v>#NUM!</v>
      </c>
      <c r="FJ199" s="62">
        <f ca="1">AVERAGE(OFFSET($FI$3,0,0,'Données projet'!$E$16+1,1))-AVERAGE(OFFSET($H$3,0,0,'Données projet'!$E$16+1,1))</f>
        <v>335.83558218229564</v>
      </c>
      <c r="FK199" s="62">
        <f t="shared" si="211"/>
        <v>217.08423061559648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0</v>
      </c>
      <c r="FR199" s="23">
        <f>EXP(-LN(2)/25)*FR198+(1-EXP(-LN(2)/25))/(LN(2)/25)*Calculateur!FM199*Calculateur!FO199*VLOOKUP('Données projet'!$B$16,Paramètres!$A$1:$I$89,3,0)*0.475*44/12</f>
        <v>8.3656644835015628E-2</v>
      </c>
      <c r="FS199" s="23">
        <f>EXP(-LN(2)/2)*FS198+(1-EXP(-LN(2)/2))/(LN(2)/2)*FM199*FP199*VLOOKUP('Données projet'!$B$16,Paramètres!$A$1:$I$89,3,0)*0.475*44/12</f>
        <v>1.1429359709289975E-24</v>
      </c>
      <c r="FT199" s="24">
        <f t="shared" si="184"/>
        <v>8.3656644835015628E-2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1.9895196601282805E-13</v>
      </c>
      <c r="O200" s="14">
        <f>N200*VLOOKUP('Données projet'!$B$9,Paramètres!$A$1:$I$89,3,0)*VLOOKUP('Données projet'!$B$9,Paramètres!$A$1:$I$89,5,0)</f>
        <v>1.738044375088066E-13</v>
      </c>
      <c r="P200" s="14">
        <f t="shared" si="203"/>
        <v>2.4483293633950478E-12</v>
      </c>
      <c r="Q200" s="22">
        <f t="shared" si="162"/>
        <v>4.566883036574213E-12</v>
      </c>
      <c r="R200" s="62">
        <f t="shared" si="191"/>
        <v>293.33333333333786</v>
      </c>
      <c r="S200" s="62">
        <f ca="1">AVERAGE(OFFSET($R$3,0,0,'Données projet'!$E$9+1,1))-AVERAGE(OFFSET($H$3,0,0,'Données projet'!$E$9+1,1))</f>
        <v>321.23599968992932</v>
      </c>
      <c r="T200" s="62">
        <f t="shared" si="204"/>
        <v>388.05195847800502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0.24948620568124621</v>
      </c>
      <c r="AB200" s="23">
        <f>EXP(-LN(2)/2)*AB199+(1-EXP(-LN(2)/2))/(LN(2)/2)*V200*Y200*VLOOKUP('Données projet'!$B$9,Paramètres!$A$1:$I$89,3,0)*0.475*44/12</f>
        <v>1.3355215353454226E-24</v>
      </c>
      <c r="AC200" s="24">
        <f t="shared" si="163"/>
        <v>0.24948620568124621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-5.6843418860808015E-14</v>
      </c>
      <c r="AJ200" s="14">
        <f>AI200*VLOOKUP('Données projet'!$B$10,Paramètres!$A$1:$I$89,3,0)*VLOOKUP('Données projet'!$B$10,Paramètres!$A$1:$I$89,5,0)</f>
        <v>-5.1431925385259088E-14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439.19854273764042</v>
      </c>
      <c r="AO200" s="62">
        <f t="shared" si="205"/>
        <v>278.21741231699929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8.9045374905585686E-2</v>
      </c>
      <c r="AW200" s="23">
        <f>EXP(-LN(2)/2)*AW199+(1-EXP(-LN(2)/2))/(LN(2)/2)*AQ200*AT200*VLOOKUP('Données projet'!$B$10,Paramètres!$A$1:$I$89,3,0)*0.475*44/12</f>
        <v>1.0901002553335643E-24</v>
      </c>
      <c r="AX200" s="23">
        <f t="shared" si="166"/>
        <v>8.9045374905585686E-2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-2.8421709430404007E-13</v>
      </c>
      <c r="BE200" s="14">
        <f>BD200*VLOOKUP('Données projet'!$B$11,Paramètres!$A$1:$I$89,3,0)*VLOOKUP('Données projet'!$B$11,Paramètres!$A$1:$I$89,5,0)</f>
        <v>-2.2612312022829427E-13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352.88510024787888</v>
      </c>
      <c r="BJ200" s="62">
        <f t="shared" si="206"/>
        <v>343.77208530767069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0.11986594248157442</v>
      </c>
      <c r="BR200" s="23">
        <f>EXP(-LN(2)/2)*BR199+(1-EXP(-LN(2)/2))/(LN(2)/2)*BL200*BO200*VLOOKUP('Données projet'!$B$11,Paramètres!$A$1:$I$89,3,0)*0.475*44/12</f>
        <v>2.8862767947987603E-26</v>
      </c>
      <c r="BS200" s="24">
        <f t="shared" si="169"/>
        <v>0.11986594248157442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-2.8421709430404007E-13</v>
      </c>
      <c r="BZ200" s="14">
        <f>BY200*VLOOKUP('Données projet'!$B$12,Paramètres!$A$1:$I$89,3,0)*VLOOKUP('Données projet'!$B$12,Paramètres!$A$1:$I$89,5,0)</f>
        <v>-2.0838797354372215E-13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328.10411227536315</v>
      </c>
      <c r="CE200" s="62">
        <f t="shared" si="207"/>
        <v>320.24200483294322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0.33241528392378838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0.33241528392378838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5.6843418860808015E-14</v>
      </c>
      <c r="CU200" s="18">
        <f>CT200*VLOOKUP('Données projet'!$B$13,Paramètres!$A$1:$I$89,3,0)*VLOOKUP('Données projet'!$B$13,Paramètres!$A$1:$I$89,5,0)</f>
        <v>4.4337866711430253E-14</v>
      </c>
      <c r="CV200" s="14">
        <f t="shared" si="173"/>
        <v>7.3222115536967035E-13</v>
      </c>
      <c r="CW200" s="22">
        <f t="shared" si="174"/>
        <v>1.3525069634579169E-12</v>
      </c>
      <c r="CX200" s="62">
        <f t="shared" si="196"/>
        <v>293.33333333333468</v>
      </c>
      <c r="CY200" s="62">
        <f ca="1">AVERAGE(OFFSET($CX$3,0,0,'Données projet'!$E$13+1,1))-AVERAGE(OFFSET($H$3,0,0,'Données projet'!$E$13+1,1))</f>
        <v>288.82868507674738</v>
      </c>
      <c r="CZ200" s="62">
        <f t="shared" si="208"/>
        <v>283.48738729114024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0.37377565843944849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0.37377565843944849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>
        <f>DO200*VLOOKUP('Données projet'!$B$14,Paramètres!$A$1:$I$89,3,0)*VLOOKUP('Données projet'!$B$14,Paramètres!$A$1:$I$89,5,0)</f>
        <v>0</v>
      </c>
      <c r="DQ200" s="14" t="e">
        <f t="shared" si="176"/>
        <v>#NUM!</v>
      </c>
      <c r="DR200" s="22" t="e">
        <f t="shared" si="177"/>
        <v>#NUM!</v>
      </c>
      <c r="DS200" s="62" t="e">
        <f t="shared" si="197"/>
        <v>#NUM!</v>
      </c>
      <c r="DT200" s="62">
        <f ca="1">AVERAGE(OFFSET($DS$3,0,0,'Données projet'!$E$14+1,1))-AVERAGE(OFFSET($H$3,0,0,'Données projet'!$E$14+1,1))</f>
        <v>487.04124684635974</v>
      </c>
      <c r="DU200" s="62">
        <f t="shared" si="209"/>
        <v>306.61893266146666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0.44832714975332932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0.44832714975332932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>
        <f>EJ200*VLOOKUP('Données projet'!$B$15,Paramètres!$A$1:$I$89,3,0)*VLOOKUP('Données projet'!$B$15,Paramètres!$A$1:$I$89,5,0)</f>
        <v>0</v>
      </c>
      <c r="EL200" s="14" t="e">
        <f t="shared" si="179"/>
        <v>#NUM!</v>
      </c>
      <c r="EM200" s="22" t="e">
        <f t="shared" si="180"/>
        <v>#NUM!</v>
      </c>
      <c r="EN200" s="62" t="e">
        <f t="shared" si="198"/>
        <v>#NUM!</v>
      </c>
      <c r="EO200" s="62">
        <f ca="1">AVERAGE(OFFSET($EN$3,0,0,'Données projet'!$E$15+1,1))-AVERAGE(OFFSET($H$3,0,0,'Données projet'!$E$15+1,1))</f>
        <v>459.64120566196812</v>
      </c>
      <c r="EP200" s="62">
        <f t="shared" si="210"/>
        <v>290.39826583283588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0.42073778669158601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0.42073778669158601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>
        <f>FE200*VLOOKUP('Données projet'!$B$16,Paramètres!$A$1:$I$89,3,0)*VLOOKUP('Données projet'!$B$16,Paramètres!$A$1:$I$89,5,0)</f>
        <v>0</v>
      </c>
      <c r="FG200" s="14" t="e">
        <f t="shared" si="182"/>
        <v>#NUM!</v>
      </c>
      <c r="FH200" s="22" t="e">
        <f t="shared" si="183"/>
        <v>#NUM!</v>
      </c>
      <c r="FI200" s="62" t="e">
        <f t="shared" si="199"/>
        <v>#NUM!</v>
      </c>
      <c r="FJ200" s="62">
        <f ca="1">AVERAGE(OFFSET($FI$3,0,0,'Données projet'!$E$16+1,1))-AVERAGE(OFFSET($H$3,0,0,'Données projet'!$E$16+1,1))</f>
        <v>335.83558218229564</v>
      </c>
      <c r="FK200" s="62">
        <f t="shared" si="211"/>
        <v>217.08423061559648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0</v>
      </c>
      <c r="FR200" s="23">
        <f>EXP(-LN(2)/25)*FR199+(1-EXP(-LN(2)/25))/(LN(2)/25)*Calculateur!FM200*Calculateur!FO200*VLOOKUP('Données projet'!$B$16,Paramètres!$A$1:$I$89,3,0)*0.475*44/12</f>
        <v>8.1369049482690373E-2</v>
      </c>
      <c r="FS200" s="23">
        <f>EXP(-LN(2)/2)*FS199+(1-EXP(-LN(2)/2))/(LN(2)/2)*FM200*FP200*VLOOKUP('Données projet'!$B$16,Paramètres!$A$1:$I$89,3,0)*0.475*44/12</f>
        <v>8.0817777550592489E-25</v>
      </c>
      <c r="FT200" s="24">
        <f t="shared" si="184"/>
        <v>8.1369049482690373E-2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1.9895196601282805E-13</v>
      </c>
      <c r="O201" s="14">
        <f>N201*VLOOKUP('Données projet'!$B$9,Paramètres!$A$1:$I$89,3,0)*VLOOKUP('Données projet'!$B$9,Paramètres!$A$1:$I$89,5,0)</f>
        <v>1.738044375088066E-13</v>
      </c>
      <c r="P201" s="14">
        <f t="shared" si="203"/>
        <v>2.4483293633950478E-12</v>
      </c>
      <c r="Q201" s="22">
        <f t="shared" si="162"/>
        <v>4.566883036574213E-12</v>
      </c>
      <c r="R201" s="62">
        <f t="shared" si="191"/>
        <v>293.33333333333786</v>
      </c>
      <c r="S201" s="62">
        <f ca="1">AVERAGE(OFFSET($R$3,0,0,'Données projet'!$E$9+1,1))-AVERAGE(OFFSET($H$3,0,0,'Données projet'!$E$9+1,1))</f>
        <v>321.23599968992932</v>
      </c>
      <c r="T201" s="62">
        <f t="shared" si="204"/>
        <v>388.05195847800502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0.24266399226698318</v>
      </c>
      <c r="AB201" s="23">
        <f>EXP(-LN(2)/2)*AB200+(1-EXP(-LN(2)/2))/(LN(2)/2)*V201*Y201*VLOOKUP('Données projet'!$B$9,Paramètres!$A$1:$I$89,3,0)*0.475*44/12</f>
        <v>9.4435633406341773E-25</v>
      </c>
      <c r="AC201" s="24">
        <f t="shared" si="163"/>
        <v>0.24266399226698318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-5.6843418860808015E-14</v>
      </c>
      <c r="AJ201" s="14">
        <f>AI201*VLOOKUP('Données projet'!$B$10,Paramètres!$A$1:$I$89,3,0)*VLOOKUP('Données projet'!$B$10,Paramètres!$A$1:$I$89,5,0)</f>
        <v>-5.1431925385259088E-14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439.19854273764042</v>
      </c>
      <c r="AO201" s="62">
        <f t="shared" si="205"/>
        <v>278.21741231699929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8.661042444609969E-2</v>
      </c>
      <c r="AW201" s="23">
        <f>EXP(-LN(2)/2)*AW200+(1-EXP(-LN(2)/2))/(LN(2)/2)*AQ201*AT201*VLOOKUP('Données projet'!$B$10,Paramètres!$A$1:$I$89,3,0)*0.475*44/12</f>
        <v>7.7081728271955023E-25</v>
      </c>
      <c r="AX201" s="23">
        <f t="shared" si="166"/>
        <v>8.661042444609969E-2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-2.8421709430404007E-13</v>
      </c>
      <c r="BE201" s="14">
        <f>BD201*VLOOKUP('Données projet'!$B$11,Paramètres!$A$1:$I$89,3,0)*VLOOKUP('Données projet'!$B$11,Paramètres!$A$1:$I$89,5,0)</f>
        <v>-2.2612312022829427E-13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352.88510024787888</v>
      </c>
      <c r="BJ201" s="62">
        <f t="shared" si="206"/>
        <v>343.77208530767069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0.11658820198093982</v>
      </c>
      <c r="BR201" s="23">
        <f>EXP(-LN(2)/2)*BR200+(1-EXP(-LN(2)/2))/(LN(2)/2)*BL201*BO201*VLOOKUP('Données projet'!$B$11,Paramètres!$A$1:$I$89,3,0)*0.475*44/12</f>
        <v>2.0409058939835767E-26</v>
      </c>
      <c r="BS201" s="24">
        <f t="shared" si="169"/>
        <v>0.11658820198093982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-2.8421709430404007E-13</v>
      </c>
      <c r="BZ201" s="14">
        <f>BY201*VLOOKUP('Données projet'!$B$12,Paramètres!$A$1:$I$89,3,0)*VLOOKUP('Données projet'!$B$12,Paramètres!$A$1:$I$89,5,0)</f>
        <v>-2.0838797354372215E-13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328.10411227536315</v>
      </c>
      <c r="CE201" s="62">
        <f t="shared" si="207"/>
        <v>320.24200483294322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0.32589682295934586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0.32589682295934586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5.6843418860808015E-14</v>
      </c>
      <c r="CU201" s="18">
        <f>CT201*VLOOKUP('Données projet'!$B$13,Paramètres!$A$1:$I$89,3,0)*VLOOKUP('Données projet'!$B$13,Paramètres!$A$1:$I$89,5,0)</f>
        <v>4.4337866711430253E-14</v>
      </c>
      <c r="CV201" s="14">
        <f t="shared" si="173"/>
        <v>7.3222115536967035E-13</v>
      </c>
      <c r="CW201" s="22">
        <f t="shared" si="174"/>
        <v>1.3525069634579169E-12</v>
      </c>
      <c r="CX201" s="62">
        <f t="shared" si="196"/>
        <v>293.33333333333468</v>
      </c>
      <c r="CY201" s="62">
        <f ca="1">AVERAGE(OFFSET($CX$3,0,0,'Données projet'!$E$13+1,1))-AVERAGE(OFFSET($H$3,0,0,'Données projet'!$E$13+1,1))</f>
        <v>288.82868507674738</v>
      </c>
      <c r="CZ201" s="62">
        <f t="shared" si="208"/>
        <v>283.48738729114024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0.36644614575809131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0.36644614575809131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>
        <f>DO201*VLOOKUP('Données projet'!$B$14,Paramètres!$A$1:$I$89,3,0)*VLOOKUP('Données projet'!$B$14,Paramètres!$A$1:$I$89,5,0)</f>
        <v>0</v>
      </c>
      <c r="DQ201" s="14" t="e">
        <f t="shared" si="176"/>
        <v>#NUM!</v>
      </c>
      <c r="DR201" s="22" t="e">
        <f t="shared" si="177"/>
        <v>#NUM!</v>
      </c>
      <c r="DS201" s="62" t="e">
        <f t="shared" si="197"/>
        <v>#NUM!</v>
      </c>
      <c r="DT201" s="62">
        <f ca="1">AVERAGE(OFFSET($DS$3,0,0,'Données projet'!$E$14+1,1))-AVERAGE(OFFSET($H$3,0,0,'Données projet'!$E$14+1,1))</f>
        <v>487.04124684635974</v>
      </c>
      <c r="DU201" s="62">
        <f t="shared" si="209"/>
        <v>306.61893266146666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0.43953572779922667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0.43953572779922667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>
        <f>EJ201*VLOOKUP('Données projet'!$B$15,Paramètres!$A$1:$I$89,3,0)*VLOOKUP('Données projet'!$B$15,Paramètres!$A$1:$I$89,5,0)</f>
        <v>0</v>
      </c>
      <c r="EL201" s="14" t="e">
        <f t="shared" si="179"/>
        <v>#NUM!</v>
      </c>
      <c r="EM201" s="22" t="e">
        <f t="shared" si="180"/>
        <v>#NUM!</v>
      </c>
      <c r="EN201" s="62" t="e">
        <f t="shared" si="198"/>
        <v>#NUM!</v>
      </c>
      <c r="EO201" s="62">
        <f ca="1">AVERAGE(OFFSET($EN$3,0,0,'Données projet'!$E$15+1,1))-AVERAGE(OFFSET($H$3,0,0,'Données projet'!$E$15+1,1))</f>
        <v>459.64120566196812</v>
      </c>
      <c r="EP201" s="62">
        <f t="shared" si="210"/>
        <v>290.39826583283588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0.41248737531927432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0.41248737531927432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>
        <f>FE201*VLOOKUP('Données projet'!$B$16,Paramètres!$A$1:$I$89,3,0)*VLOOKUP('Données projet'!$B$16,Paramètres!$A$1:$I$89,5,0)</f>
        <v>0</v>
      </c>
      <c r="FG201" s="14" t="e">
        <f t="shared" si="182"/>
        <v>#NUM!</v>
      </c>
      <c r="FH201" s="22" t="e">
        <f t="shared" si="183"/>
        <v>#NUM!</v>
      </c>
      <c r="FI201" s="62" t="e">
        <f t="shared" si="199"/>
        <v>#NUM!</v>
      </c>
      <c r="FJ201" s="62">
        <f ca="1">AVERAGE(OFFSET($FI$3,0,0,'Données projet'!$E$16+1,1))-AVERAGE(OFFSET($H$3,0,0,'Données projet'!$E$16+1,1))</f>
        <v>335.83558218229564</v>
      </c>
      <c r="FK201" s="62">
        <f t="shared" si="211"/>
        <v>217.08423061559648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0</v>
      </c>
      <c r="FR201" s="23">
        <f>EXP(-LN(2)/25)*FR200+(1-EXP(-LN(2)/25))/(LN(2)/25)*Calculateur!FM201*Calculateur!FO201*VLOOKUP('Données projet'!$B$16,Paramètres!$A$1:$I$89,3,0)*0.475*44/12</f>
        <v>7.9144008545573866E-2</v>
      </c>
      <c r="FS201" s="23">
        <f>EXP(-LN(2)/2)*FS200+(1-EXP(-LN(2)/2))/(LN(2)/2)*FM201*FP201*VLOOKUP('Données projet'!$B$16,Paramètres!$A$1:$I$89,3,0)*0.475*44/12</f>
        <v>5.7146798546449875E-25</v>
      </c>
      <c r="FT201" s="24">
        <f t="shared" si="184"/>
        <v>7.9144008545573866E-2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1.9895196601282805E-13</v>
      </c>
      <c r="O202" s="14">
        <f>N202*VLOOKUP('Données projet'!$B$9,Paramètres!$A$1:$I$89,3,0)*VLOOKUP('Données projet'!$B$9,Paramètres!$A$1:$I$89,5,0)</f>
        <v>1.738044375088066E-13</v>
      </c>
      <c r="P202" s="14">
        <f t="shared" si="203"/>
        <v>2.4483293633950478E-12</v>
      </c>
      <c r="Q202" s="22">
        <f t="shared" si="162"/>
        <v>4.566883036574213E-12</v>
      </c>
      <c r="R202" s="62">
        <f t="shared" si="191"/>
        <v>293.33333333333786</v>
      </c>
      <c r="S202" s="62">
        <f ca="1">AVERAGE(OFFSET($R$3,0,0,'Données projet'!$E$9+1,1))-AVERAGE(OFFSET($H$3,0,0,'Données projet'!$E$9+1,1))</f>
        <v>321.23599968992932</v>
      </c>
      <c r="T202" s="62">
        <f t="shared" si="204"/>
        <v>388.05195847800502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0.23602833263729778</v>
      </c>
      <c r="AB202" s="23">
        <f>EXP(-LN(2)/2)*AB201+(1-EXP(-LN(2)/2))/(LN(2)/2)*V202*Y202*VLOOKUP('Données projet'!$B$9,Paramètres!$A$1:$I$89,3,0)*0.475*44/12</f>
        <v>6.6776076767271131E-25</v>
      </c>
      <c r="AC202" s="24">
        <f t="shared" si="163"/>
        <v>0.23602833263729778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-5.6843418860808015E-14</v>
      </c>
      <c r="AJ202" s="14">
        <f>AI202*VLOOKUP('Données projet'!$B$10,Paramètres!$A$1:$I$89,3,0)*VLOOKUP('Données projet'!$B$10,Paramètres!$A$1:$I$89,5,0)</f>
        <v>-5.1431925385259088E-14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439.19854273764042</v>
      </c>
      <c r="AO202" s="62">
        <f t="shared" si="205"/>
        <v>278.21741231699929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8.4242057834976819E-2</v>
      </c>
      <c r="AW202" s="23">
        <f>EXP(-LN(2)/2)*AW201+(1-EXP(-LN(2)/2))/(LN(2)/2)*AQ202*AT202*VLOOKUP('Données projet'!$B$10,Paramètres!$A$1:$I$89,3,0)*0.475*44/12</f>
        <v>5.4505012766678214E-25</v>
      </c>
      <c r="AX202" s="23">
        <f t="shared" si="166"/>
        <v>8.4242057834976819E-2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-2.8421709430404007E-13</v>
      </c>
      <c r="BE202" s="14">
        <f>BD202*VLOOKUP('Données projet'!$B$11,Paramètres!$A$1:$I$89,3,0)*VLOOKUP('Données projet'!$B$11,Paramètres!$A$1:$I$89,5,0)</f>
        <v>-2.2612312022829427E-13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352.88510024787888</v>
      </c>
      <c r="BJ202" s="62">
        <f t="shared" si="206"/>
        <v>343.77208530767069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0.11340009146666394</v>
      </c>
      <c r="BR202" s="23">
        <f>EXP(-LN(2)/2)*BR201+(1-EXP(-LN(2)/2))/(LN(2)/2)*BL202*BO202*VLOOKUP('Données projet'!$B$11,Paramètres!$A$1:$I$89,3,0)*0.475*44/12</f>
        <v>1.4431383973993801E-26</v>
      </c>
      <c r="BS202" s="24">
        <f t="shared" si="169"/>
        <v>0.11340009146666394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-2.8421709430404007E-13</v>
      </c>
      <c r="BZ202" s="14">
        <f>BY202*VLOOKUP('Données projet'!$B$12,Paramètres!$A$1:$I$89,3,0)*VLOOKUP('Données projet'!$B$12,Paramètres!$A$1:$I$89,5,0)</f>
        <v>-2.0838797354372215E-13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328.10411227536315</v>
      </c>
      <c r="CE202" s="62">
        <f t="shared" si="207"/>
        <v>320.24200483294322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0.31950618503854744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0.31950618503854744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5.6843418860808015E-14</v>
      </c>
      <c r="CU202" s="18">
        <f>CT202*VLOOKUP('Données projet'!$B$13,Paramètres!$A$1:$I$89,3,0)*VLOOKUP('Données projet'!$B$13,Paramètres!$A$1:$I$89,5,0)</f>
        <v>4.4337866711430253E-14</v>
      </c>
      <c r="CV202" s="14">
        <f t="shared" si="173"/>
        <v>7.3222115536967035E-13</v>
      </c>
      <c r="CW202" s="22">
        <f t="shared" si="174"/>
        <v>1.3525069634579169E-12</v>
      </c>
      <c r="CX202" s="62">
        <f t="shared" si="196"/>
        <v>293.33333333333468</v>
      </c>
      <c r="CY202" s="62">
        <f ca="1">AVERAGE(OFFSET($CX$3,0,0,'Données projet'!$E$13+1,1))-AVERAGE(OFFSET($H$3,0,0,'Données projet'!$E$13+1,1))</f>
        <v>288.82868507674738</v>
      </c>
      <c r="CZ202" s="62">
        <f t="shared" si="208"/>
        <v>283.48738729114024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0.35926036034985426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0.35926036034985426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>
        <f>DO202*VLOOKUP('Données projet'!$B$14,Paramètres!$A$1:$I$89,3,0)*VLOOKUP('Données projet'!$B$14,Paramètres!$A$1:$I$89,5,0)</f>
        <v>0</v>
      </c>
      <c r="DQ202" s="14" t="e">
        <f t="shared" si="176"/>
        <v>#NUM!</v>
      </c>
      <c r="DR202" s="22" t="e">
        <f t="shared" si="177"/>
        <v>#NUM!</v>
      </c>
      <c r="DS202" s="62" t="e">
        <f t="shared" si="197"/>
        <v>#NUM!</v>
      </c>
      <c r="DT202" s="62">
        <f ca="1">AVERAGE(OFFSET($DS$3,0,0,'Données projet'!$E$14+1,1))-AVERAGE(OFFSET($H$3,0,0,'Données projet'!$E$14+1,1))</f>
        <v>487.04124684635974</v>
      </c>
      <c r="DU202" s="62">
        <f t="shared" si="209"/>
        <v>306.61893266146666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0.43091670026740608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0.43091670026740608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>
        <f>EJ202*VLOOKUP('Données projet'!$B$15,Paramètres!$A$1:$I$89,3,0)*VLOOKUP('Données projet'!$B$15,Paramètres!$A$1:$I$89,5,0)</f>
        <v>0</v>
      </c>
      <c r="EL202" s="14" t="e">
        <f t="shared" si="179"/>
        <v>#NUM!</v>
      </c>
      <c r="EM202" s="22" t="e">
        <f t="shared" si="180"/>
        <v>#NUM!</v>
      </c>
      <c r="EN202" s="62" t="e">
        <f t="shared" si="198"/>
        <v>#NUM!</v>
      </c>
      <c r="EO202" s="62">
        <f ca="1">AVERAGE(OFFSET($EN$3,0,0,'Données projet'!$E$15+1,1))-AVERAGE(OFFSET($H$3,0,0,'Données projet'!$E$15+1,1))</f>
        <v>459.64120566196812</v>
      </c>
      <c r="EP202" s="62">
        <f t="shared" si="210"/>
        <v>290.39826583283588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0.40439874948171961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0.40439874948171961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>
        <f>FE202*VLOOKUP('Données projet'!$B$16,Paramètres!$A$1:$I$89,3,0)*VLOOKUP('Données projet'!$B$16,Paramètres!$A$1:$I$89,5,0)</f>
        <v>0</v>
      </c>
      <c r="FG202" s="14" t="e">
        <f t="shared" si="182"/>
        <v>#NUM!</v>
      </c>
      <c r="FH202" s="22" t="e">
        <f t="shared" si="183"/>
        <v>#NUM!</v>
      </c>
      <c r="FI202" s="62" t="e">
        <f t="shared" si="199"/>
        <v>#NUM!</v>
      </c>
      <c r="FJ202" s="62">
        <f ca="1">AVERAGE(OFFSET($FI$3,0,0,'Données projet'!$E$16+1,1))-AVERAGE(OFFSET($H$3,0,0,'Données projet'!$E$16+1,1))</f>
        <v>335.83558218229564</v>
      </c>
      <c r="FK202" s="62">
        <f t="shared" si="211"/>
        <v>217.08423061559648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0</v>
      </c>
      <c r="FR202" s="23">
        <f>EXP(-LN(2)/25)*FR201+(1-EXP(-LN(2)/25))/(LN(2)/25)*Calculateur!FM202*Calculateur!FO202*VLOOKUP('Données projet'!$B$16,Paramètres!$A$1:$I$89,3,0)*0.475*44/12</f>
        <v>7.697981146989262E-2</v>
      </c>
      <c r="FS202" s="23">
        <f>EXP(-LN(2)/2)*FS201+(1-EXP(-LN(2)/2))/(LN(2)/2)*FM202*FP202*VLOOKUP('Données projet'!$B$16,Paramètres!$A$1:$I$89,3,0)*0.475*44/12</f>
        <v>4.0408888775296245E-25</v>
      </c>
      <c r="FT202" s="24">
        <f t="shared" si="184"/>
        <v>7.697981146989262E-2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1.9895196601282805E-13</v>
      </c>
      <c r="O203" s="14">
        <f>N203*VLOOKUP('Données projet'!$B$9,Paramètres!$A$1:$I$89,3,0)*VLOOKUP('Données projet'!$B$9,Paramètres!$A$1:$I$89,5,0)</f>
        <v>1.738044375088066E-13</v>
      </c>
      <c r="P203" s="14">
        <f t="shared" si="203"/>
        <v>2.4483293633950478E-12</v>
      </c>
      <c r="Q203" s="22">
        <f t="shared" si="162"/>
        <v>4.566883036574213E-12</v>
      </c>
      <c r="R203" s="62">
        <f t="shared" si="191"/>
        <v>293.33333333333786</v>
      </c>
      <c r="S203" s="62">
        <f ca="1">AVERAGE(OFFSET($R$3,0,0,'Données projet'!$E$9+1,1))-AVERAGE(OFFSET($H$3,0,0,'Données projet'!$E$9+1,1))</f>
        <v>321.23599968992932</v>
      </c>
      <c r="T203" s="62">
        <f t="shared" si="204"/>
        <v>388.05195847800502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0.2295741254691403</v>
      </c>
      <c r="AB203" s="23">
        <f>EXP(-LN(2)/2)*AB202+(1-EXP(-LN(2)/2))/(LN(2)/2)*V203*Y203*VLOOKUP('Données projet'!$B$9,Paramètres!$A$1:$I$89,3,0)*0.475*44/12</f>
        <v>4.7217816703170886E-25</v>
      </c>
      <c r="AC203" s="24">
        <f t="shared" si="163"/>
        <v>0.2295741254691403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-5.6843418860808015E-14</v>
      </c>
      <c r="AJ203" s="14">
        <f>AI203*VLOOKUP('Données projet'!$B$10,Paramètres!$A$1:$I$89,3,0)*VLOOKUP('Données projet'!$B$10,Paramètres!$A$1:$I$89,5,0)</f>
        <v>-5.1431925385259088E-14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439.19854273764042</v>
      </c>
      <c r="AO203" s="62">
        <f t="shared" si="205"/>
        <v>278.21741231699929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8.1938454333382094E-2</v>
      </c>
      <c r="AW203" s="23">
        <f>EXP(-LN(2)/2)*AW202+(1-EXP(-LN(2)/2))/(LN(2)/2)*AQ203*AT203*VLOOKUP('Données projet'!$B$10,Paramètres!$A$1:$I$89,3,0)*0.475*44/12</f>
        <v>3.8540864135977511E-25</v>
      </c>
      <c r="AX203" s="23">
        <f t="shared" si="166"/>
        <v>8.1938454333382094E-2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-2.8421709430404007E-13</v>
      </c>
      <c r="BE203" s="14">
        <f>BD203*VLOOKUP('Données projet'!$B$11,Paramètres!$A$1:$I$89,3,0)*VLOOKUP('Données projet'!$B$11,Paramètres!$A$1:$I$89,5,0)</f>
        <v>-2.2612312022829427E-13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352.88510024787888</v>
      </c>
      <c r="BJ203" s="62">
        <f t="shared" si="206"/>
        <v>343.77208530767069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0.11029916000205638</v>
      </c>
      <c r="BR203" s="23">
        <f>EXP(-LN(2)/2)*BR202+(1-EXP(-LN(2)/2))/(LN(2)/2)*BL203*BO203*VLOOKUP('Données projet'!$B$11,Paramètres!$A$1:$I$89,3,0)*0.475*44/12</f>
        <v>1.0204529469917884E-26</v>
      </c>
      <c r="BS203" s="24">
        <f t="shared" si="169"/>
        <v>0.11029916000205638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-2.8421709430404007E-13</v>
      </c>
      <c r="BZ203" s="14">
        <f>BY203*VLOOKUP('Données projet'!$B$12,Paramètres!$A$1:$I$89,3,0)*VLOOKUP('Données projet'!$B$12,Paramètres!$A$1:$I$89,5,0)</f>
        <v>-2.0838797354372215E-13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328.10411227536315</v>
      </c>
      <c r="CE203" s="62">
        <f t="shared" si="207"/>
        <v>320.24200483294322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0.31324086362947162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0.31324086362947162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5.6843418860808015E-14</v>
      </c>
      <c r="CU203" s="18">
        <f>CT203*VLOOKUP('Données projet'!$B$13,Paramètres!$A$1:$I$89,3,0)*VLOOKUP('Données projet'!$B$13,Paramètres!$A$1:$I$89,5,0)</f>
        <v>4.4337866711430253E-14</v>
      </c>
      <c r="CV203" s="14">
        <f t="shared" si="173"/>
        <v>7.3222115536967035E-13</v>
      </c>
      <c r="CW203" s="22">
        <f t="shared" si="174"/>
        <v>1.3525069634579169E-12</v>
      </c>
      <c r="CX203" s="62">
        <f t="shared" si="196"/>
        <v>293.33333333333468</v>
      </c>
      <c r="CY203" s="62">
        <f ca="1">AVERAGE(OFFSET($CX$3,0,0,'Données projet'!$E$13+1,1))-AVERAGE(OFFSET($H$3,0,0,'Données projet'!$E$13+1,1))</f>
        <v>288.82868507674738</v>
      </c>
      <c r="CZ203" s="62">
        <f t="shared" si="208"/>
        <v>283.48738729114024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0.35221548381057644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0.35221548381057644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>
        <f>DO203*VLOOKUP('Données projet'!$B$14,Paramètres!$A$1:$I$89,3,0)*VLOOKUP('Données projet'!$B$14,Paramètres!$A$1:$I$89,5,0)</f>
        <v>0</v>
      </c>
      <c r="DQ203" s="14" t="e">
        <f t="shared" si="176"/>
        <v>#NUM!</v>
      </c>
      <c r="DR203" s="22" t="e">
        <f t="shared" si="177"/>
        <v>#NUM!</v>
      </c>
      <c r="DS203" s="62" t="e">
        <f t="shared" si="197"/>
        <v>#NUM!</v>
      </c>
      <c r="DT203" s="62">
        <f ca="1">AVERAGE(OFFSET($DS$3,0,0,'Données projet'!$E$14+1,1))-AVERAGE(OFFSET($H$3,0,0,'Données projet'!$E$14+1,1))</f>
        <v>487.04124684635974</v>
      </c>
      <c r="DU203" s="62">
        <f t="shared" si="209"/>
        <v>306.61893266146666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0.42246668660839681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0.42246668660839681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>
        <f>EJ203*VLOOKUP('Données projet'!$B$15,Paramètres!$A$1:$I$89,3,0)*VLOOKUP('Données projet'!$B$15,Paramètres!$A$1:$I$89,5,0)</f>
        <v>0</v>
      </c>
      <c r="EL203" s="14" t="e">
        <f t="shared" si="179"/>
        <v>#NUM!</v>
      </c>
      <c r="EM203" s="22" t="e">
        <f t="shared" si="180"/>
        <v>#NUM!</v>
      </c>
      <c r="EN203" s="62" t="e">
        <f t="shared" si="198"/>
        <v>#NUM!</v>
      </c>
      <c r="EO203" s="62">
        <f ca="1">AVERAGE(OFFSET($EN$3,0,0,'Données projet'!$E$15+1,1))-AVERAGE(OFFSET($H$3,0,0,'Données projet'!$E$15+1,1))</f>
        <v>459.64120566196812</v>
      </c>
      <c r="EP203" s="62">
        <f t="shared" si="210"/>
        <v>290.39826583283588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0.39646873666326471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0.39646873666326471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>
        <f>FE203*VLOOKUP('Données projet'!$B$16,Paramètres!$A$1:$I$89,3,0)*VLOOKUP('Données projet'!$B$16,Paramètres!$A$1:$I$89,5,0)</f>
        <v>0</v>
      </c>
      <c r="FG203" s="14" t="e">
        <f t="shared" si="182"/>
        <v>#NUM!</v>
      </c>
      <c r="FH203" s="22" t="e">
        <f t="shared" si="183"/>
        <v>#NUM!</v>
      </c>
      <c r="FI203" s="62" t="e">
        <f t="shared" si="199"/>
        <v>#NUM!</v>
      </c>
      <c r="FJ203" s="62">
        <f ca="1">AVERAGE(OFFSET($FI$3,0,0,'Données projet'!$E$16+1,1))-AVERAGE(OFFSET($H$3,0,0,'Données projet'!$E$16+1,1))</f>
        <v>335.83558218229564</v>
      </c>
      <c r="FK203" s="62">
        <f t="shared" si="211"/>
        <v>217.08423061559648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0</v>
      </c>
      <c r="FR203" s="23">
        <f>EXP(-LN(2)/25)*FR202+(1-EXP(-LN(2)/25))/(LN(2)/25)*Calculateur!FM203*Calculateur!FO203*VLOOKUP('Données projet'!$B$16,Paramètres!$A$1:$I$89,3,0)*0.475*44/12</f>
        <v>7.4874794477056056E-2</v>
      </c>
      <c r="FS203" s="23">
        <f>EXP(-LN(2)/2)*FS202+(1-EXP(-LN(2)/2))/(LN(2)/2)*FM203*FP203*VLOOKUP('Données projet'!$B$16,Paramètres!$A$1:$I$89,3,0)*0.475*44/12</f>
        <v>2.8573399273224938E-25</v>
      </c>
      <c r="FT203" s="24">
        <f t="shared" si="184"/>
        <v>7.4874794477056056E-2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1.3467943429205997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1.2392705892426346</v>
      </c>
      <c r="BA205" s="88">
        <f>EXP(LN('Données projet'!B88)/'Données projet'!A88)</f>
        <v>1.2709816152101407</v>
      </c>
      <c r="BV205" s="88">
        <f>EXP(LN('Données projet'!B114)/'Données projet'!A114)</f>
        <v>1.2709816152101407</v>
      </c>
      <c r="CQ205" s="88">
        <f>EXP(LN('Données projet'!B140)/'Données projet'!A140)</f>
        <v>1.2788040393997409</v>
      </c>
      <c r="DL205" s="88">
        <f>EXP(LN('Données projet'!B166)/'Données projet'!A166)</f>
        <v>1.2392705892426346</v>
      </c>
      <c r="EG205" s="88">
        <f>EXP(LN('Données projet'!B192)/'Données projet'!A192)</f>
        <v>1.2392705892426346</v>
      </c>
      <c r="FB205" s="88">
        <f>EXP(LN('Données projet'!B218)/'Données projet'!A218)</f>
        <v>1.2392705892426346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workbookViewId="0">
      <selection activeCell="M14" sqref="M6:M14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rouge d'Amérique</v>
      </c>
      <c r="B6" s="155">
        <f>'Données projet'!D9</f>
        <v>1.2128000000000001</v>
      </c>
      <c r="C6" s="156">
        <f ca="1">IF(OR('Données projet'!B9="",'Données projet'!C9="",'Données projet'!C9=0%),0,Calculateur!S3)</f>
        <v>321.23599968992932</v>
      </c>
      <c r="D6" s="156">
        <f>IF(OR('Données projet'!B9="",'Données projet'!C9="",'Données projet'!C9=0%),0,Calculateur!T3)</f>
        <v>388.05195847800502</v>
      </c>
      <c r="E6" s="156">
        <f ca="1">MIN(C6,D6)</f>
        <v>321.23599968992932</v>
      </c>
      <c r="F6" s="156">
        <f ca="1">E6*B6</f>
        <v>389.59502042394632</v>
      </c>
      <c r="G6" s="156">
        <f ca="1">F6*(100%-'Données projet'!$C$24)*(100%-'Données projet'!$C$25)*(100%-'Données projet'!$C$26)*(100%-'Données projet'!$C$27)</f>
        <v>350.63551838155172</v>
      </c>
      <c r="H6" s="157">
        <f>IF(OR('Données projet'!B9="",'Données projet'!C9="",'Données projet'!C9=0%),0,AVERAGE(Calculateur!$AC$3:$AC$33)*B6)</f>
        <v>10.768808799927941</v>
      </c>
      <c r="I6" s="158">
        <f>H6*(100%-'Données projet'!$C$24)*(100%-'Données projet'!$C$25)*(100%-'Données projet'!$C$26)*(100%-'Données projet'!$C$27)</f>
        <v>9.6919279199351465</v>
      </c>
      <c r="J6" s="159">
        <f>IF(OR('Données projet'!B9="",'Données projet'!C9="",'Données projet'!C9=0%),0,SUM(Calculateur!$V$3:$V$33)*VLOOKUP('Données projet'!$B$9,Paramètres!$A$1:$I$89,9,0)*B6)</f>
        <v>46.086400000000005</v>
      </c>
      <c r="K6" s="160">
        <f>J6*(100%-'Données projet'!$C$24)*(100%-'Données projet'!$C$25)*(100%-'Données projet'!$C$26)*(100%-'Données projet'!$C$27)</f>
        <v>41.477760000000004</v>
      </c>
      <c r="L6" s="161">
        <f ca="1">G6+I6+K6</f>
        <v>401.80520630148686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Chêne sessile</v>
      </c>
      <c r="B7" s="163">
        <f>'Données projet'!D10</f>
        <v>4.2448000000000006</v>
      </c>
      <c r="C7" s="156">
        <f ca="1">IF(OR('Données projet'!B10="",'Données projet'!C10="",'Données projet'!C10=0%),0,Calculateur!AN3)</f>
        <v>439.19854273764042</v>
      </c>
      <c r="D7" s="156">
        <f>IF(OR('Données projet'!B10="",'Données projet'!C10="",'Données projet'!C10=0%),0,Calculateur!AO3)</f>
        <v>278.21741231699929</v>
      </c>
      <c r="E7" s="156">
        <f t="shared" ref="E7:E15" ca="1" si="0">MIN(C7,D7)</f>
        <v>278.21741231699929</v>
      </c>
      <c r="F7" s="156">
        <f t="shared" ref="F7:F15" ca="1" si="1">E7*B7</f>
        <v>1180.9772718031986</v>
      </c>
      <c r="G7" s="156">
        <f ca="1">F7*(100%-'Données projet'!$C$24)*(100%-'Données projet'!$C$25)*(100%-'Données projet'!$C$26)*(100%-'Données projet'!$C$27)</f>
        <v>1062.8795446228787</v>
      </c>
      <c r="H7" s="164">
        <f>IF(OR('Données projet'!B10="",'Données projet'!C10="",'Données projet'!C10=0%),0,AVERAGE(Calculateur!$AX$3:$AX$33)*B7)</f>
        <v>12.064178962677158</v>
      </c>
      <c r="I7" s="158">
        <f>H7*(100%-'Données projet'!$C$24)*(100%-'Données projet'!$C$25)*(100%-'Données projet'!$C$26)*(100%-'Données projet'!$C$27)</f>
        <v>10.857761066409441</v>
      </c>
      <c r="J7" s="159">
        <f>IF(OR('Données projet'!B10="",'Données projet'!C10="",'Données projet'!C10=0%),0,SUM(Calculateur!$AQ$3:$AQ$33)*VLOOKUP('Données projet'!$B$10,Paramètres!$A$1:$I$89,9,0)*B7)</f>
        <v>65.79440000000001</v>
      </c>
      <c r="K7" s="160">
        <f>J7*(100%-'Données projet'!$C$24)*(100%-'Données projet'!$C$25)*(100%-'Données projet'!$C$26)*(100%-'Données projet'!$C$27)</f>
        <v>59.214960000000012</v>
      </c>
      <c r="L7" s="161">
        <f t="shared" ref="L7:L15" ca="1" si="2">G7+I7+K7</f>
        <v>1132.9522656892882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Erable sycomore</v>
      </c>
      <c r="B8" s="163">
        <f>'Données projet'!D11</f>
        <v>1.2128000000000001</v>
      </c>
      <c r="C8" s="156">
        <f ca="1">IF(OR('Données projet'!B11="",'Données projet'!C11="",'Données projet'!C11=0%),0,Calculateur!BI3)</f>
        <v>352.88510024787888</v>
      </c>
      <c r="D8" s="156">
        <f>IF(OR('Données projet'!B11="",'Données projet'!C11="",'Données projet'!C11=0%),0,Calculateur!BJ3)</f>
        <v>343.77208530767069</v>
      </c>
      <c r="E8" s="156">
        <f t="shared" ca="1" si="0"/>
        <v>343.77208530767069</v>
      </c>
      <c r="F8" s="156">
        <f t="shared" ca="1" si="1"/>
        <v>416.92678506114305</v>
      </c>
      <c r="G8" s="156">
        <f ca="1">F8*(100%-'Données projet'!$C$24)*(100%-'Données projet'!$C$25)*(100%-'Données projet'!$C$26)*(100%-'Données projet'!$C$27)</f>
        <v>375.23410655502875</v>
      </c>
      <c r="H8" s="164">
        <f>IF(OR('Données projet'!B11="",'Données projet'!C11="",'Données projet'!C11=0%),0,AVERAGE(Calculateur!$BS$3:$BS$33)*B8)</f>
        <v>10.445808890950765</v>
      </c>
      <c r="I8" s="158">
        <f>H8*(100%-'Données projet'!$C$24)*(100%-'Données projet'!$C$25)*(100%-'Données projet'!$C$26)*(100%-'Données projet'!$C$27)</f>
        <v>9.4012280018556886</v>
      </c>
      <c r="J8" s="159">
        <f>IF(OR('Données projet'!B11="",'Données projet'!C11="",'Données projet'!C11=0%),0,SUM(Calculateur!$BL$3:$BL$33)*VLOOKUP('Données projet'!$B$11,Paramètres!$A$1:$I$89,9,0)*B8)</f>
        <v>41.538400000000003</v>
      </c>
      <c r="K8" s="160">
        <f>J8*(100%-'Données projet'!$C$24)*(100%-'Données projet'!$C$25)*(100%-'Données projet'!$C$26)*(100%-'Données projet'!$C$27)</f>
        <v>37.38456</v>
      </c>
      <c r="L8" s="161">
        <f t="shared" ca="1" si="2"/>
        <v>422.01989455688448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Châtaignier</v>
      </c>
      <c r="B9" s="163">
        <f>'Données projet'!D12</f>
        <v>0.22739999999999999</v>
      </c>
      <c r="C9" s="156">
        <f ca="1">IF(OR('Données projet'!B12="",'Données projet'!C12="",'Données projet'!C12=0%),0,Calculateur!CD3)</f>
        <v>328.10411227536315</v>
      </c>
      <c r="D9" s="156">
        <f>IF(OR('Données projet'!B12="",'Données projet'!C12="",'Données projet'!C12=0%),0,Calculateur!CE3)</f>
        <v>320.24200483294322</v>
      </c>
      <c r="E9" s="156">
        <f t="shared" ca="1" si="0"/>
        <v>320.24200483294322</v>
      </c>
      <c r="F9" s="156">
        <f t="shared" ca="1" si="1"/>
        <v>72.823031899011283</v>
      </c>
      <c r="G9" s="156">
        <f ca="1">F9*(100%-'Données projet'!$C$24)*(100%-'Données projet'!$C$25)*(100%-'Données projet'!$C$26)*(100%-'Données projet'!$C$27)</f>
        <v>65.540728709110155</v>
      </c>
      <c r="H9" s="164">
        <f>IF(OR('Données projet'!B12="",'Données projet'!C12="",'Données projet'!C12=0%),0,AVERAGE(Calculateur!$CN$3:$CN$33)*B9)</f>
        <v>0.54916279456829631</v>
      </c>
      <c r="I9" s="158">
        <f>H9*(100%-'Données projet'!$C$24)*(100%-'Données projet'!$C$25)*(100%-'Données projet'!$C$26)*(100%-'Données projet'!$C$27)</f>
        <v>0.49424651511146667</v>
      </c>
      <c r="J9" s="159">
        <f>IF(OR('Données projet'!B12="",'Données projet'!C12="",'Données projet'!C12=0%),0,SUM(Calculateur!$CG$3:$CG$33)*VLOOKUP('Données projet'!$B$12,Paramètres!$A$1:$I$89,9,0)*B9)</f>
        <v>7.7884500000000001</v>
      </c>
      <c r="K9" s="160">
        <f>J9*(100%-'Données projet'!$C$24)*(100%-'Données projet'!$C$25)*(100%-'Données projet'!$C$26)*(100%-'Données projet'!$C$27)</f>
        <v>7.0096050000000005</v>
      </c>
      <c r="L9" s="161">
        <f t="shared" ca="1" si="2"/>
        <v>73.044580224221619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Merisier</v>
      </c>
      <c r="B10" s="163">
        <f>'Données projet'!D13</f>
        <v>0.22739999999999999</v>
      </c>
      <c r="C10" s="156">
        <f ca="1">IF(OR('Données projet'!B13="",'Données projet'!C13="",'Données projet'!C13=0%),0,Calculateur!CY3)</f>
        <v>288.82868507674738</v>
      </c>
      <c r="D10" s="156">
        <f>IF(OR('Données projet'!B13="",'Données projet'!C13="",'Données projet'!C13=0%),0,Calculateur!CZ3)</f>
        <v>283.48738729114024</v>
      </c>
      <c r="E10" s="156">
        <f t="shared" ca="1" si="0"/>
        <v>283.48738729114024</v>
      </c>
      <c r="F10" s="156">
        <f t="shared" ca="1" si="1"/>
        <v>64.465031870005291</v>
      </c>
      <c r="G10" s="156">
        <f ca="1">F10*(100%-'Données projet'!$C$24)*(100%-'Données projet'!$C$25)*(100%-'Données projet'!$C$26)*(100%-'Données projet'!$C$27)</f>
        <v>58.01852868300476</v>
      </c>
      <c r="H10" s="164">
        <f>IF(OR('Données projet'!B13="",'Données projet'!C13="",'Données projet'!C13=0%),0,AVERAGE(Calculateur!$DI$3:$DI$33)*B10)</f>
        <v>0.12586976876353334</v>
      </c>
      <c r="I10" s="158">
        <f>H10*(100%-'Données projet'!$C$24)*(100%-'Données projet'!$C$25)*(100%-'Données projet'!$C$26)*(100%-'Données projet'!$C$27)</f>
        <v>0.11328279188718</v>
      </c>
      <c r="J10" s="159">
        <f>IF(OR('Données projet'!B13="",'Données projet'!C13="",'Données projet'!C13=0%),0,SUM(Calculateur!$DB$3:$DB$33)*VLOOKUP('Données projet'!$B$13,Paramètres!$A$1:$I$89,9,0)*B10)</f>
        <v>3.1267499999999999</v>
      </c>
      <c r="K10" s="160">
        <f>J10*(100%-'Données projet'!$C$24)*(100%-'Données projet'!$C$25)*(100%-'Données projet'!$C$26)*(100%-'Données projet'!$C$27)</f>
        <v>2.8140749999999999</v>
      </c>
      <c r="L10" s="161">
        <f t="shared" ca="1" si="2"/>
        <v>60.945886474891942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>Chêne pubescent</v>
      </c>
      <c r="B11" s="163">
        <f>'Données projet'!D14</f>
        <v>7.5800000000000006E-2</v>
      </c>
      <c r="C11" s="156">
        <f ca="1">IF(OR('Données projet'!B14="",'Données projet'!C14="",'Données projet'!C14=0%),0,Calculateur!DT3)</f>
        <v>487.04124684635974</v>
      </c>
      <c r="D11" s="156">
        <f>IF(OR('Données projet'!B14="",'Données projet'!C14="",'Données projet'!C14=0%),0,Calculateur!DU3)</f>
        <v>306.61893266146666</v>
      </c>
      <c r="E11" s="156">
        <f t="shared" ca="1" si="0"/>
        <v>306.61893266146666</v>
      </c>
      <c r="F11" s="156">
        <f t="shared" ca="1" si="1"/>
        <v>23.241715095739174</v>
      </c>
      <c r="G11" s="156">
        <f ca="1">F11*(100%-'Données projet'!$C$24)*(100%-'Données projet'!$C$25)*(100%-'Données projet'!$C$26)*(100%-'Données projet'!$C$27)</f>
        <v>20.917543586165259</v>
      </c>
      <c r="H11" s="164">
        <f>IF(OR('Données projet'!B14="",'Données projet'!C14="",'Données projet'!C14=0%),0,AVERAGE(Calculateur!$ED$3:$ED$33)*B11)</f>
        <v>9.9001168105326814E-3</v>
      </c>
      <c r="I11" s="158">
        <f>H11*(100%-'Données projet'!$C$24)*(100%-'Données projet'!$C$25)*(100%-'Données projet'!$C$26)*(100%-'Données projet'!$C$27)</f>
        <v>8.9101051294794131E-3</v>
      </c>
      <c r="J11" s="159">
        <f>IF(OR('Données projet'!B14="",'Données projet'!C14="",'Données projet'!C14=0%),0,SUM(Calculateur!$DW$3:$DW$33)*VLOOKUP('Données projet'!$B$14,Paramètres!$A$1:$I$89,9,0)*B11)</f>
        <v>1.1749000000000001</v>
      </c>
      <c r="K11" s="160">
        <f>J11*(100%-'Données projet'!$C$24)*(100%-'Données projet'!$C$25)*(100%-'Données projet'!$C$26)*(100%-'Données projet'!$C$27)</f>
        <v>1.0574100000000002</v>
      </c>
      <c r="L11" s="161">
        <f t="shared" ca="1" si="2"/>
        <v>21.98386369129474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>Charme</v>
      </c>
      <c r="B12" s="163">
        <f>'Données projet'!D15</f>
        <v>7.5800000000000006E-2</v>
      </c>
      <c r="C12" s="156">
        <f ca="1">IF(OR('Données projet'!B15="",'Données projet'!C15="",'Données projet'!C15=0%),0,Calculateur!EO3)</f>
        <v>459.64120566196812</v>
      </c>
      <c r="D12" s="156">
        <f>IF(OR('Données projet'!B15="",'Données projet'!C15="",'Données projet'!C15=0%),0,Calculateur!EP3)</f>
        <v>290.39826583283588</v>
      </c>
      <c r="E12" s="156">
        <f t="shared" ca="1" si="0"/>
        <v>290.39826583283588</v>
      </c>
      <c r="F12" s="156">
        <f t="shared" ca="1" si="1"/>
        <v>22.012188550128961</v>
      </c>
      <c r="G12" s="156">
        <f ca="1">F12*(100%-'Données projet'!$C$24)*(100%-'Données projet'!$C$25)*(100%-'Données projet'!$C$26)*(100%-'Données projet'!$C$27)</f>
        <v>19.810969695116064</v>
      </c>
      <c r="H12" s="164">
        <f>IF(OR('Données projet'!B15="",'Données projet'!C15="",'Données projet'!C15=0%),0,AVERAGE(Calculateur!$EY$3:$EY$33)*B12)</f>
        <v>9.2908788529614365E-3</v>
      </c>
      <c r="I12" s="158">
        <f>H12*(100%-'Données projet'!$C$24)*(100%-'Données projet'!$C$25)*(100%-'Données projet'!$C$26)*(100%-'Données projet'!$C$27)</f>
        <v>8.3617909676652925E-3</v>
      </c>
      <c r="J12" s="159">
        <f>IF(OR('Données projet'!B15="",'Données projet'!C15="",'Données projet'!C15=0%),0,SUM(Calculateur!$ER$3:$ER$33)*VLOOKUP('Données projet'!$B$15,Paramètres!$A$1:$I$89,9,0)*B12)</f>
        <v>1.1749000000000001</v>
      </c>
      <c r="K12" s="160">
        <f>J12*(100%-'Données projet'!$C$24)*(100%-'Données projet'!$C$25)*(100%-'Données projet'!$C$26)*(100%-'Données projet'!$C$27)</f>
        <v>1.0574100000000002</v>
      </c>
      <c r="L12" s="161">
        <f t="shared" ca="1" si="2"/>
        <v>20.876741486083731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>Tilleul</v>
      </c>
      <c r="B13" s="163">
        <f>'Données projet'!D16</f>
        <v>7.5800000000000006E-2</v>
      </c>
      <c r="C13" s="156">
        <f ca="1">IF(OR('Données projet'!B16="",'Données projet'!C16="",'Données projet'!C16=0%),0,Calculateur!FJ3)</f>
        <v>335.83558218229564</v>
      </c>
      <c r="D13" s="156">
        <f>IF(OR('Données projet'!B16="",'Données projet'!C16="",'Données projet'!C16=0%),0,Calculateur!FK3)</f>
        <v>217.08423061559648</v>
      </c>
      <c r="E13" s="156">
        <f t="shared" ca="1" si="0"/>
        <v>217.08423061559648</v>
      </c>
      <c r="F13" s="156">
        <f t="shared" ca="1" si="1"/>
        <v>16.454984680662214</v>
      </c>
      <c r="G13" s="156">
        <f ca="1">F13*(100%-'Données projet'!$C$24)*(100%-'Données projet'!$C$25)*(100%-'Données projet'!$C$26)*(100%-'Données projet'!$C$27)</f>
        <v>14.809486212595994</v>
      </c>
      <c r="H13" s="164">
        <f>IF(OR('Données projet'!B16="",'Données projet'!C16="",'Données projet'!C16=0%),0,AVERAGE(Calculateur!$FT$3:$FT$33)*B13)</f>
        <v>0.1707476899927092</v>
      </c>
      <c r="I13" s="158">
        <f>H13*(100%-'Données projet'!$C$24)*(100%-'Données projet'!$C$25)*(100%-'Données projet'!$C$26)*(100%-'Données projet'!$C$27)</f>
        <v>0.15367292099343829</v>
      </c>
      <c r="J13" s="159">
        <f>IF(OR('Données projet'!C16="",'Données projet'!C16=0%),0,SUM(Calculateur!$FM$3:$FM$33)*VLOOKUP('Données projet'!$B$16,Paramètres!$A$1:$I$89,9,0)*B13)</f>
        <v>1.1749000000000001</v>
      </c>
      <c r="K13" s="160">
        <f>J13*(100%-'Données projet'!$C$24)*(100%-'Données projet'!$C$25)*(100%-'Données projet'!$C$26)*(100%-'Données projet'!$C$27)</f>
        <v>1.0574100000000002</v>
      </c>
      <c r="L13" s="161">
        <f t="shared" ca="1" si="2"/>
        <v>16.020569133589433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2186.4960293838344</v>
      </c>
      <c r="G16" s="175">
        <f t="shared" ca="1" si="3"/>
        <v>1967.8464264454515</v>
      </c>
      <c r="H16" s="176">
        <f t="shared" si="3"/>
        <v>34.1437679025439</v>
      </c>
      <c r="I16" s="176">
        <f t="shared" si="3"/>
        <v>30.729391112289509</v>
      </c>
      <c r="J16" s="177">
        <f t="shared" si="3"/>
        <v>167.85910000000004</v>
      </c>
      <c r="K16" s="177">
        <f t="shared" si="3"/>
        <v>151.07319000000001</v>
      </c>
      <c r="L16" s="178">
        <f t="shared" ca="1" si="3"/>
        <v>2149.6490075577408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rouge d'Amérique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Chêne sessile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Erable sycomore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Châtaignier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Merisier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>Chêne pubescent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>Charme</v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>Tilleul</v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E1" zoomScale="90" zoomScaleNormal="90" workbookViewId="0">
      <selection activeCell="C240" sqref="C240:C259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rouge d'Amérique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2925.6265925289022</v>
      </c>
      <c r="U10" s="190">
        <f>'Données projet'!D9</f>
        <v>1.2128000000000001</v>
      </c>
      <c r="V10" s="189">
        <f>U10*T10</f>
        <v>3548.199931419053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sessile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1932.2291310091257</v>
      </c>
      <c r="U11" s="190">
        <f>'Données projet'!D10</f>
        <v>4.2448000000000006</v>
      </c>
      <c r="V11" s="189">
        <f t="shared" ref="V11" si="0">U11*T11</f>
        <v>8201.9262153075379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Erable sycomore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2918.3071915779888</v>
      </c>
      <c r="U12" s="190">
        <f>'Données projet'!D11</f>
        <v>1.2128000000000001</v>
      </c>
      <c r="V12" s="189">
        <f t="shared" ref="V12:V19" si="1">U12*T12</f>
        <v>3539.3229619457852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Châtaignier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2918.3071915779888</v>
      </c>
      <c r="U13" s="190">
        <f>'Données projet'!D12</f>
        <v>0.22739999999999999</v>
      </c>
      <c r="V13" s="189">
        <f t="shared" si="1"/>
        <v>663.62305536483461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rouge d'Amérique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Merisier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1047.4312732942205</v>
      </c>
      <c r="U14" s="190">
        <f>'Données projet'!D13</f>
        <v>0.22739999999999999</v>
      </c>
      <c r="V14" s="189">
        <f t="shared" si="1"/>
        <v>238.18587154710573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Chêne pubescent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2070.4560017300805</v>
      </c>
      <c r="U15" s="190">
        <f>'Données projet'!D14</f>
        <v>7.5800000000000006E-2</v>
      </c>
      <c r="V15" s="189">
        <f t="shared" si="1"/>
        <v>156.9405649311401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>Charme</v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902.103941500014</v>
      </c>
      <c r="U16" s="190">
        <f>'Données projet'!D15</f>
        <v>7.5800000000000006E-2</v>
      </c>
      <c r="V16" s="189">
        <f t="shared" si="1"/>
        <v>68.379478765701066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>Tilleul</v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902.103941500014</v>
      </c>
      <c r="U17" s="190">
        <f>'Données projet'!D16</f>
        <v>7.5800000000000006E-2</v>
      </c>
      <c r="V17" s="189">
        <f t="shared" si="1"/>
        <v>68.379478765701066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7322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420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450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15</v>
      </c>
      <c r="B23" s="193">
        <f>'Données projet'!D36</f>
        <v>21</v>
      </c>
      <c r="C23" s="206">
        <v>12</v>
      </c>
      <c r="D23" s="194">
        <f>B23*C23</f>
        <v>252</v>
      </c>
      <c r="E23" s="206"/>
      <c r="F23" s="261"/>
      <c r="H23" s="203">
        <v>3</v>
      </c>
      <c r="I23" s="204">
        <v>480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-51293.819934438805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20</v>
      </c>
      <c r="B24" s="193">
        <f>'Données projet'!D37</f>
        <v>43</v>
      </c>
      <c r="C24" s="206">
        <v>15</v>
      </c>
      <c r="D24" s="194">
        <f t="shared" ref="D24:D42" si="2">B24*C24</f>
        <v>645</v>
      </c>
      <c r="E24" s="206"/>
      <c r="F24" s="264"/>
      <c r="H24" s="203">
        <v>5</v>
      </c>
      <c r="I24" s="204">
        <v>480</v>
      </c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25</v>
      </c>
      <c r="B25" s="193">
        <f>'Données projet'!D38</f>
        <v>44</v>
      </c>
      <c r="C25" s="206">
        <v>20</v>
      </c>
      <c r="D25" s="194">
        <f t="shared" si="2"/>
        <v>880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6">
        <f ca="1">T23-T24</f>
        <v>-51293.819934438805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44</v>
      </c>
      <c r="C26" s="206">
        <v>20</v>
      </c>
      <c r="D26" s="194">
        <f t="shared" si="2"/>
        <v>880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35</v>
      </c>
      <c r="B27" s="193">
        <f>'Données projet'!D40</f>
        <v>42</v>
      </c>
      <c r="C27" s="206">
        <v>30</v>
      </c>
      <c r="D27" s="194">
        <f t="shared" si="2"/>
        <v>1260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40</v>
      </c>
      <c r="B28" s="193">
        <f>'Données projet'!D41</f>
        <v>39</v>
      </c>
      <c r="C28" s="206">
        <v>30</v>
      </c>
      <c r="D28" s="194">
        <f t="shared" si="2"/>
        <v>1170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45</v>
      </c>
      <c r="B29" s="193">
        <f>'Données projet'!D42</f>
        <v>36</v>
      </c>
      <c r="C29" s="206">
        <v>30</v>
      </c>
      <c r="D29" s="194">
        <f t="shared" si="2"/>
        <v>1080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50</v>
      </c>
      <c r="B30" s="193">
        <f>'Données projet'!D43</f>
        <v>33</v>
      </c>
      <c r="C30" s="206">
        <v>40</v>
      </c>
      <c r="D30" s="194">
        <f t="shared" si="2"/>
        <v>1320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55</v>
      </c>
      <c r="B31" s="193">
        <f>'Données projet'!D44</f>
        <v>29</v>
      </c>
      <c r="C31" s="206">
        <v>40</v>
      </c>
      <c r="D31" s="194">
        <f t="shared" si="2"/>
        <v>1160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60</v>
      </c>
      <c r="B32" s="193">
        <f>'Données projet'!D45</f>
        <v>26</v>
      </c>
      <c r="C32" s="206">
        <v>60</v>
      </c>
      <c r="D32" s="194">
        <f t="shared" si="2"/>
        <v>1560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65</v>
      </c>
      <c r="B33" s="193">
        <f>'Données projet'!D46</f>
        <v>23</v>
      </c>
      <c r="C33" s="206">
        <v>80</v>
      </c>
      <c r="D33" s="194">
        <f t="shared" si="2"/>
        <v>1840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70</v>
      </c>
      <c r="B34" s="193">
        <f>'Données projet'!D47</f>
        <v>249</v>
      </c>
      <c r="C34" s="206">
        <v>80</v>
      </c>
      <c r="D34" s="194">
        <f t="shared" si="2"/>
        <v>19920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Chêne sessile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6</v>
      </c>
      <c r="C54" s="206">
        <v>12</v>
      </c>
      <c r="D54" s="191">
        <f>B54*C54</f>
        <v>72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25</v>
      </c>
      <c r="B55" s="193">
        <f>'Données projet'!D63</f>
        <v>28</v>
      </c>
      <c r="C55" s="206">
        <v>15</v>
      </c>
      <c r="D55" s="191">
        <f t="shared" ref="D55:D73" si="4">B55*C55</f>
        <v>420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30</v>
      </c>
      <c r="B56" s="193">
        <f>'Données projet'!D64</f>
        <v>28</v>
      </c>
      <c r="C56" s="206">
        <v>20</v>
      </c>
      <c r="D56" s="191">
        <f t="shared" si="4"/>
        <v>560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35</v>
      </c>
      <c r="B57" s="193">
        <f>'Données projet'!D65</f>
        <v>28</v>
      </c>
      <c r="C57" s="206">
        <v>20</v>
      </c>
      <c r="D57" s="191">
        <f t="shared" si="4"/>
        <v>560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40</v>
      </c>
      <c r="B58" s="193">
        <f>'Données projet'!D66</f>
        <v>28</v>
      </c>
      <c r="C58" s="206">
        <v>30</v>
      </c>
      <c r="D58" s="191">
        <f t="shared" si="4"/>
        <v>840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45</v>
      </c>
      <c r="B59" s="193">
        <f>'Données projet'!D67</f>
        <v>28</v>
      </c>
      <c r="C59" s="206">
        <v>30</v>
      </c>
      <c r="D59" s="191">
        <f t="shared" si="4"/>
        <v>840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50</v>
      </c>
      <c r="B60" s="193">
        <f>'Données projet'!D68</f>
        <v>28</v>
      </c>
      <c r="C60" s="206">
        <v>30</v>
      </c>
      <c r="D60" s="191">
        <f t="shared" si="4"/>
        <v>840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55</v>
      </c>
      <c r="B61" s="193">
        <f>'Données projet'!D69</f>
        <v>28</v>
      </c>
      <c r="C61" s="206">
        <v>40</v>
      </c>
      <c r="D61" s="191">
        <f t="shared" si="4"/>
        <v>1120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60</v>
      </c>
      <c r="B62" s="193">
        <f>'Données projet'!D70</f>
        <v>28</v>
      </c>
      <c r="C62" s="206">
        <v>40</v>
      </c>
      <c r="D62" s="191">
        <f t="shared" si="4"/>
        <v>1120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65</v>
      </c>
      <c r="B63" s="193">
        <f>'Données projet'!D71</f>
        <v>28</v>
      </c>
      <c r="C63" s="206">
        <v>60</v>
      </c>
      <c r="D63" s="191">
        <f t="shared" si="4"/>
        <v>1680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70</v>
      </c>
      <c r="B64" s="193">
        <f>'Données projet'!D72</f>
        <v>28</v>
      </c>
      <c r="C64" s="206">
        <v>80</v>
      </c>
      <c r="D64" s="191">
        <f t="shared" si="4"/>
        <v>2240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75</v>
      </c>
      <c r="B65" s="193">
        <f>'Données projet'!D73</f>
        <v>28</v>
      </c>
      <c r="C65" s="206">
        <v>80</v>
      </c>
      <c r="D65" s="191">
        <f t="shared" si="4"/>
        <v>2240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80</v>
      </c>
      <c r="B66" s="193">
        <f>'Données projet'!D74</f>
        <v>28</v>
      </c>
      <c r="C66" s="204">
        <v>80</v>
      </c>
      <c r="D66" s="191">
        <f t="shared" si="4"/>
        <v>2240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85</v>
      </c>
      <c r="B67" s="193">
        <f>'Données projet'!D75</f>
        <v>28</v>
      </c>
      <c r="C67" s="204">
        <v>80</v>
      </c>
      <c r="D67" s="191">
        <f t="shared" si="4"/>
        <v>2240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90</v>
      </c>
      <c r="B68" s="193">
        <f>'Données projet'!D76</f>
        <v>28</v>
      </c>
      <c r="C68" s="204">
        <v>80</v>
      </c>
      <c r="D68" s="191">
        <f t="shared" si="4"/>
        <v>2240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95</v>
      </c>
      <c r="B69" s="193">
        <f>'Données projet'!D77</f>
        <v>28</v>
      </c>
      <c r="C69" s="204">
        <v>100</v>
      </c>
      <c r="D69" s="191">
        <f t="shared" si="4"/>
        <v>2800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100</v>
      </c>
      <c r="B70" s="193">
        <f>'Données projet'!D78</f>
        <v>27</v>
      </c>
      <c r="C70" s="204">
        <v>100</v>
      </c>
      <c r="D70" s="191">
        <f t="shared" si="4"/>
        <v>2700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105</v>
      </c>
      <c r="B71" s="193">
        <f>'Données projet'!D79</f>
        <v>26</v>
      </c>
      <c r="C71" s="204">
        <v>150</v>
      </c>
      <c r="D71" s="191">
        <f t="shared" si="4"/>
        <v>3900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110</v>
      </c>
      <c r="B72" s="193">
        <f>'Données projet'!D80</f>
        <v>25</v>
      </c>
      <c r="C72" s="204">
        <v>200</v>
      </c>
      <c r="D72" s="191">
        <f t="shared" si="4"/>
        <v>5000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115</v>
      </c>
      <c r="B73" s="193">
        <f>'Données projet'!D81</f>
        <v>331</v>
      </c>
      <c r="C73" s="204">
        <v>240</v>
      </c>
      <c r="D73" s="191">
        <f t="shared" si="4"/>
        <v>79440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Erable sycomore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10</v>
      </c>
      <c r="B85" s="193">
        <f>'Données projet'!D88</f>
        <v>0</v>
      </c>
      <c r="C85" s="204"/>
      <c r="D85" s="191">
        <f t="shared" ref="D85:D99" si="6"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15</v>
      </c>
      <c r="B86" s="193">
        <f>'Données projet'!D89</f>
        <v>32</v>
      </c>
      <c r="C86" s="204">
        <v>15</v>
      </c>
      <c r="D86" s="191">
        <f t="shared" si="6"/>
        <v>480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20</v>
      </c>
      <c r="B87" s="193">
        <f>'Données projet'!D90</f>
        <v>35</v>
      </c>
      <c r="C87" s="204">
        <v>20</v>
      </c>
      <c r="D87" s="191">
        <f t="shared" si="6"/>
        <v>700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25</v>
      </c>
      <c r="B88" s="193">
        <f>'Données projet'!D91</f>
        <v>35</v>
      </c>
      <c r="C88" s="204">
        <v>20</v>
      </c>
      <c r="D88" s="191">
        <f t="shared" si="6"/>
        <v>700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30</v>
      </c>
      <c r="B89" s="193">
        <f>'Données projet'!D92</f>
        <v>35</v>
      </c>
      <c r="C89" s="204">
        <v>30</v>
      </c>
      <c r="D89" s="191">
        <f t="shared" si="6"/>
        <v>1050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35</v>
      </c>
      <c r="B90" s="193">
        <f>'Données projet'!D93</f>
        <v>35</v>
      </c>
      <c r="C90" s="204">
        <v>30</v>
      </c>
      <c r="D90" s="191">
        <f t="shared" si="6"/>
        <v>1050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40</v>
      </c>
      <c r="B91" s="193">
        <f>'Données projet'!D94</f>
        <v>35</v>
      </c>
      <c r="C91" s="204">
        <v>30</v>
      </c>
      <c r="D91" s="191">
        <f t="shared" si="6"/>
        <v>1050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45</v>
      </c>
      <c r="B92" s="193">
        <f>'Données projet'!D95</f>
        <v>24</v>
      </c>
      <c r="C92" s="204">
        <v>40</v>
      </c>
      <c r="D92" s="191">
        <f t="shared" si="6"/>
        <v>960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50</v>
      </c>
      <c r="B93" s="193">
        <f>'Données projet'!D96</f>
        <v>19</v>
      </c>
      <c r="C93" s="204">
        <v>40</v>
      </c>
      <c r="D93" s="191">
        <f t="shared" si="6"/>
        <v>760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55</v>
      </c>
      <c r="B94" s="193">
        <f>'Données projet'!D97</f>
        <v>16</v>
      </c>
      <c r="C94" s="204">
        <v>60</v>
      </c>
      <c r="D94" s="191">
        <f t="shared" si="6"/>
        <v>960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60</v>
      </c>
      <c r="B95" s="193">
        <f>'Données projet'!D98</f>
        <v>14</v>
      </c>
      <c r="C95" s="204">
        <v>60</v>
      </c>
      <c r="D95" s="191">
        <f t="shared" si="6"/>
        <v>840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65</v>
      </c>
      <c r="B96" s="193">
        <f>'Données projet'!D99</f>
        <v>13</v>
      </c>
      <c r="C96" s="204">
        <v>60</v>
      </c>
      <c r="D96" s="191">
        <f t="shared" si="6"/>
        <v>780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70</v>
      </c>
      <c r="B97" s="193">
        <f>'Données projet'!D100</f>
        <v>12</v>
      </c>
      <c r="C97" s="204">
        <v>80</v>
      </c>
      <c r="D97" s="191">
        <f t="shared" si="6"/>
        <v>960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75</v>
      </c>
      <c r="B98" s="193">
        <f>'Données projet'!D101</f>
        <v>11</v>
      </c>
      <c r="C98" s="204">
        <v>80</v>
      </c>
      <c r="D98" s="191">
        <f t="shared" si="6"/>
        <v>880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80</v>
      </c>
      <c r="B99" s="193">
        <f>'Données projet'!D102</f>
        <v>331</v>
      </c>
      <c r="C99" s="204">
        <v>100</v>
      </c>
      <c r="D99" s="191">
        <f t="shared" si="6"/>
        <v>33100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ref="D100:D104" si="8">B100*C100</f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8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8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8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str">
        <f>IF(O102+1&lt;=MIN('Données projet'!$E$9:$E$18),O102+1,"STOP")</f>
        <v>STOP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8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Châtaignier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10</v>
      </c>
      <c r="B116" s="193">
        <f>'Données projet'!D114</f>
        <v>0</v>
      </c>
      <c r="C116" s="204"/>
      <c r="D116" s="191">
        <f t="shared" ref="D116:D130" si="9"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15</v>
      </c>
      <c r="B117" s="193">
        <f>'Données projet'!D115</f>
        <v>32</v>
      </c>
      <c r="C117" s="204">
        <v>15</v>
      </c>
      <c r="D117" s="191">
        <f t="shared" si="9"/>
        <v>480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20</v>
      </c>
      <c r="B118" s="193">
        <f>'Données projet'!D116</f>
        <v>35</v>
      </c>
      <c r="C118" s="204">
        <v>20</v>
      </c>
      <c r="D118" s="191">
        <f t="shared" si="9"/>
        <v>700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25</v>
      </c>
      <c r="B119" s="193">
        <f>'Données projet'!D117</f>
        <v>35</v>
      </c>
      <c r="C119" s="204">
        <v>20</v>
      </c>
      <c r="D119" s="191">
        <f t="shared" si="9"/>
        <v>700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30</v>
      </c>
      <c r="B120" s="193">
        <f>'Données projet'!D118</f>
        <v>35</v>
      </c>
      <c r="C120" s="204">
        <v>30</v>
      </c>
      <c r="D120" s="191">
        <f t="shared" si="9"/>
        <v>1050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35</v>
      </c>
      <c r="B121" s="193">
        <f>'Données projet'!D119</f>
        <v>35</v>
      </c>
      <c r="C121" s="204">
        <v>30</v>
      </c>
      <c r="D121" s="191">
        <f t="shared" si="9"/>
        <v>1050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40</v>
      </c>
      <c r="B122" s="193">
        <f>'Données projet'!D120</f>
        <v>35</v>
      </c>
      <c r="C122" s="204">
        <v>30</v>
      </c>
      <c r="D122" s="191">
        <f t="shared" si="9"/>
        <v>1050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45</v>
      </c>
      <c r="B123" s="193">
        <f>'Données projet'!D121</f>
        <v>24</v>
      </c>
      <c r="C123" s="204">
        <v>40</v>
      </c>
      <c r="D123" s="191">
        <f t="shared" si="9"/>
        <v>960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50</v>
      </c>
      <c r="B124" s="193">
        <f>'Données projet'!D122</f>
        <v>19</v>
      </c>
      <c r="C124" s="204">
        <v>40</v>
      </c>
      <c r="D124" s="191">
        <f t="shared" si="9"/>
        <v>760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55</v>
      </c>
      <c r="B125" s="193">
        <f>'Données projet'!D123</f>
        <v>16</v>
      </c>
      <c r="C125" s="204">
        <v>60</v>
      </c>
      <c r="D125" s="191">
        <f t="shared" si="9"/>
        <v>960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60</v>
      </c>
      <c r="B126" s="193">
        <f>'Données projet'!D124</f>
        <v>14</v>
      </c>
      <c r="C126" s="204">
        <v>60</v>
      </c>
      <c r="D126" s="191">
        <f t="shared" si="9"/>
        <v>840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65</v>
      </c>
      <c r="B127" s="193">
        <f>'Données projet'!D125</f>
        <v>13</v>
      </c>
      <c r="C127" s="204">
        <v>60</v>
      </c>
      <c r="D127" s="191">
        <f t="shared" si="9"/>
        <v>780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70</v>
      </c>
      <c r="B128" s="193">
        <f>'Données projet'!D126</f>
        <v>12</v>
      </c>
      <c r="C128" s="204">
        <v>80</v>
      </c>
      <c r="D128" s="191">
        <f t="shared" si="9"/>
        <v>960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75</v>
      </c>
      <c r="B129" s="193">
        <f>'Données projet'!D127</f>
        <v>11</v>
      </c>
      <c r="C129" s="204">
        <v>80</v>
      </c>
      <c r="D129" s="191">
        <f t="shared" si="9"/>
        <v>880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10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80</v>
      </c>
      <c r="B130" s="193">
        <f>'Données projet'!D128</f>
        <v>331</v>
      </c>
      <c r="C130" s="204">
        <v>100</v>
      </c>
      <c r="D130" s="191">
        <f t="shared" si="9"/>
        <v>33100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10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ref="D131:D135" si="11">B131*C131</f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10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11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10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11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11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11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Merisier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15</v>
      </c>
      <c r="B147" s="187">
        <f>'Données projet'!D140</f>
        <v>3</v>
      </c>
      <c r="C147" s="204">
        <v>5</v>
      </c>
      <c r="D147" s="194">
        <f>B147*C147</f>
        <v>15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20</v>
      </c>
      <c r="B148" s="187">
        <f>'Données projet'!D141</f>
        <v>25</v>
      </c>
      <c r="C148" s="204">
        <v>7</v>
      </c>
      <c r="D148" s="194">
        <f t="shared" ref="D148:D166" si="12">B148*C148</f>
        <v>175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25</v>
      </c>
      <c r="B149" s="187">
        <f>'Données projet'!D142</f>
        <v>27</v>
      </c>
      <c r="C149" s="204">
        <v>9</v>
      </c>
      <c r="D149" s="194">
        <f t="shared" si="12"/>
        <v>243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31</v>
      </c>
      <c r="B150" s="187">
        <f>'Données projet'!D143</f>
        <v>36</v>
      </c>
      <c r="C150" s="204">
        <v>9</v>
      </c>
      <c r="D150" s="194">
        <f t="shared" si="12"/>
        <v>324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37</v>
      </c>
      <c r="B151" s="187">
        <f>'Données projet'!D144</f>
        <v>36</v>
      </c>
      <c r="C151" s="206">
        <v>9</v>
      </c>
      <c r="D151" s="194">
        <f t="shared" si="12"/>
        <v>324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44</v>
      </c>
      <c r="B152" s="187">
        <f>'Données projet'!D145</f>
        <v>43</v>
      </c>
      <c r="C152" s="206">
        <v>14</v>
      </c>
      <c r="D152" s="194">
        <f t="shared" si="12"/>
        <v>602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52</v>
      </c>
      <c r="B153" s="187">
        <f>'Données projet'!D146</f>
        <v>48</v>
      </c>
      <c r="C153" s="206">
        <v>20</v>
      </c>
      <c r="D153" s="194">
        <f t="shared" si="12"/>
        <v>960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60</v>
      </c>
      <c r="B154" s="187">
        <f>'Données projet'!D147</f>
        <v>47</v>
      </c>
      <c r="C154" s="206">
        <v>25</v>
      </c>
      <c r="D154" s="194">
        <f t="shared" si="12"/>
        <v>1175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69</v>
      </c>
      <c r="B155" s="187">
        <f>'Données projet'!D148</f>
        <v>328</v>
      </c>
      <c r="C155" s="206">
        <v>30</v>
      </c>
      <c r="D155" s="194">
        <f t="shared" si="12"/>
        <v>9840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2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2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2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2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2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2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2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2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2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2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2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>Chêne pubescent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20</v>
      </c>
      <c r="B178" s="193">
        <f>'Données projet'!D166</f>
        <v>6</v>
      </c>
      <c r="C178" s="206">
        <v>12</v>
      </c>
      <c r="D178" s="191">
        <f>B178*C178</f>
        <v>72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25</v>
      </c>
      <c r="B179" s="193">
        <f>'Données projet'!D167</f>
        <v>28</v>
      </c>
      <c r="C179" s="206">
        <v>15</v>
      </c>
      <c r="D179" s="191">
        <f t="shared" ref="D179:D197" si="13">B179*C179</f>
        <v>420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30</v>
      </c>
      <c r="B180" s="193">
        <f>'Données projet'!D168</f>
        <v>28</v>
      </c>
      <c r="C180" s="206">
        <v>20</v>
      </c>
      <c r="D180" s="191">
        <f t="shared" si="13"/>
        <v>560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35</v>
      </c>
      <c r="B181" s="193">
        <f>'Données projet'!D169</f>
        <v>28</v>
      </c>
      <c r="C181" s="206">
        <v>20</v>
      </c>
      <c r="D181" s="191">
        <f t="shared" si="13"/>
        <v>560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40</v>
      </c>
      <c r="B182" s="193">
        <f>'Données projet'!D170</f>
        <v>28</v>
      </c>
      <c r="C182" s="206">
        <v>30</v>
      </c>
      <c r="D182" s="191">
        <f t="shared" si="13"/>
        <v>840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45</v>
      </c>
      <c r="B183" s="193">
        <f>'Données projet'!D171</f>
        <v>28</v>
      </c>
      <c r="C183" s="206">
        <v>30</v>
      </c>
      <c r="D183" s="191">
        <f t="shared" si="13"/>
        <v>840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50</v>
      </c>
      <c r="B184" s="193">
        <f>'Données projet'!D172</f>
        <v>28</v>
      </c>
      <c r="C184" s="206">
        <v>30</v>
      </c>
      <c r="D184" s="191">
        <f t="shared" si="13"/>
        <v>840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55</v>
      </c>
      <c r="B185" s="193">
        <f>'Données projet'!D173</f>
        <v>28</v>
      </c>
      <c r="C185" s="206">
        <v>40</v>
      </c>
      <c r="D185" s="191">
        <f t="shared" si="13"/>
        <v>1120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60</v>
      </c>
      <c r="B186" s="193">
        <f>'Données projet'!D174</f>
        <v>28</v>
      </c>
      <c r="C186" s="206">
        <v>40</v>
      </c>
      <c r="D186" s="191">
        <f t="shared" si="13"/>
        <v>1120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65</v>
      </c>
      <c r="B187" s="193">
        <f>'Données projet'!D175</f>
        <v>28</v>
      </c>
      <c r="C187" s="206">
        <v>60</v>
      </c>
      <c r="D187" s="191">
        <f t="shared" si="13"/>
        <v>1680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70</v>
      </c>
      <c r="B188" s="193">
        <f>'Données projet'!D176</f>
        <v>28</v>
      </c>
      <c r="C188" s="206">
        <v>80</v>
      </c>
      <c r="D188" s="191">
        <f t="shared" si="13"/>
        <v>2240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75</v>
      </c>
      <c r="B189" s="193">
        <f>'Données projet'!D177</f>
        <v>28</v>
      </c>
      <c r="C189" s="206">
        <v>80</v>
      </c>
      <c r="D189" s="191">
        <f t="shared" si="13"/>
        <v>2240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80</v>
      </c>
      <c r="B190" s="193">
        <f>'Données projet'!D178</f>
        <v>28</v>
      </c>
      <c r="C190" s="204">
        <v>80</v>
      </c>
      <c r="D190" s="191">
        <f t="shared" si="13"/>
        <v>2240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85</v>
      </c>
      <c r="B191" s="193">
        <f>'Données projet'!D179</f>
        <v>28</v>
      </c>
      <c r="C191" s="204">
        <v>80</v>
      </c>
      <c r="D191" s="191">
        <f t="shared" si="13"/>
        <v>2240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90</v>
      </c>
      <c r="B192" s="193">
        <f>'Données projet'!D180</f>
        <v>28</v>
      </c>
      <c r="C192" s="204">
        <v>80</v>
      </c>
      <c r="D192" s="191">
        <f t="shared" si="13"/>
        <v>2240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95</v>
      </c>
      <c r="B193" s="193">
        <f>'Données projet'!D181</f>
        <v>28</v>
      </c>
      <c r="C193" s="204">
        <v>100</v>
      </c>
      <c r="D193" s="191">
        <f t="shared" si="13"/>
        <v>2800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100</v>
      </c>
      <c r="B194" s="193">
        <f>'Données projet'!D182</f>
        <v>27</v>
      </c>
      <c r="C194" s="204">
        <v>100</v>
      </c>
      <c r="D194" s="191">
        <f t="shared" si="13"/>
        <v>2700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105</v>
      </c>
      <c r="B195" s="193">
        <f>'Données projet'!D183</f>
        <v>26</v>
      </c>
      <c r="C195" s="204">
        <v>150</v>
      </c>
      <c r="D195" s="191">
        <f t="shared" si="13"/>
        <v>3900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110</v>
      </c>
      <c r="B196" s="193">
        <f>'Données projet'!D184</f>
        <v>25</v>
      </c>
      <c r="C196" s="204">
        <v>200</v>
      </c>
      <c r="D196" s="191">
        <f t="shared" si="13"/>
        <v>5000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115</v>
      </c>
      <c r="B197" s="193">
        <f>'Données projet'!D185</f>
        <v>330</v>
      </c>
      <c r="C197" s="204">
        <v>240</v>
      </c>
      <c r="D197" s="191">
        <f t="shared" si="13"/>
        <v>79200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>Charme</v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20</v>
      </c>
      <c r="B209" s="193">
        <f>'Données projet'!D192</f>
        <v>6</v>
      </c>
      <c r="C209" s="206">
        <v>4</v>
      </c>
      <c r="D209" s="191">
        <f>B209*C209</f>
        <v>24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25</v>
      </c>
      <c r="B210" s="193">
        <f>'Données projet'!D193</f>
        <v>28</v>
      </c>
      <c r="C210" s="206">
        <v>8</v>
      </c>
      <c r="D210" s="191">
        <f t="shared" ref="D210:D228" si="14">B210*C210</f>
        <v>224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30</v>
      </c>
      <c r="B211" s="193">
        <f>'Données projet'!D194</f>
        <v>28</v>
      </c>
      <c r="C211" s="206">
        <v>10</v>
      </c>
      <c r="D211" s="191">
        <f t="shared" si="14"/>
        <v>280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35</v>
      </c>
      <c r="B212" s="193">
        <f>'Données projet'!D195</f>
        <v>28</v>
      </c>
      <c r="C212" s="206">
        <v>10</v>
      </c>
      <c r="D212" s="191">
        <f t="shared" si="14"/>
        <v>280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40</v>
      </c>
      <c r="B213" s="193">
        <f>'Données projet'!D196</f>
        <v>28</v>
      </c>
      <c r="C213" s="206">
        <v>10</v>
      </c>
      <c r="D213" s="191">
        <f t="shared" si="14"/>
        <v>280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45</v>
      </c>
      <c r="B214" s="193">
        <f>'Données projet'!D197</f>
        <v>28</v>
      </c>
      <c r="C214" s="206">
        <v>10</v>
      </c>
      <c r="D214" s="191">
        <f t="shared" si="14"/>
        <v>280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50</v>
      </c>
      <c r="B215" s="193">
        <f>'Données projet'!D198</f>
        <v>28</v>
      </c>
      <c r="C215" s="206">
        <v>15</v>
      </c>
      <c r="D215" s="191">
        <f t="shared" si="14"/>
        <v>420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55</v>
      </c>
      <c r="B216" s="193">
        <f>'Données projet'!D199</f>
        <v>28</v>
      </c>
      <c r="C216" s="206">
        <v>15</v>
      </c>
      <c r="D216" s="191">
        <f t="shared" si="14"/>
        <v>420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60</v>
      </c>
      <c r="B217" s="193">
        <f>'Données projet'!D200</f>
        <v>28</v>
      </c>
      <c r="C217" s="206">
        <v>15</v>
      </c>
      <c r="D217" s="191">
        <f t="shared" si="14"/>
        <v>420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65</v>
      </c>
      <c r="B218" s="193">
        <f>'Données projet'!D201</f>
        <v>28</v>
      </c>
      <c r="C218" s="206">
        <v>15</v>
      </c>
      <c r="D218" s="191">
        <f t="shared" si="14"/>
        <v>420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70</v>
      </c>
      <c r="B219" s="193">
        <f>'Données projet'!D202</f>
        <v>28</v>
      </c>
      <c r="C219" s="206">
        <v>20</v>
      </c>
      <c r="D219" s="191">
        <f t="shared" si="14"/>
        <v>560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75</v>
      </c>
      <c r="B220" s="193">
        <f>'Données projet'!D203</f>
        <v>28</v>
      </c>
      <c r="C220" s="206">
        <v>20</v>
      </c>
      <c r="D220" s="191">
        <f t="shared" si="14"/>
        <v>560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80</v>
      </c>
      <c r="B221" s="193">
        <f>'Données projet'!D204</f>
        <v>28</v>
      </c>
      <c r="C221" s="206">
        <v>20</v>
      </c>
      <c r="D221" s="191">
        <f t="shared" si="14"/>
        <v>560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85</v>
      </c>
      <c r="B222" s="193">
        <f>'Données projet'!D205</f>
        <v>28</v>
      </c>
      <c r="C222" s="206">
        <v>20</v>
      </c>
      <c r="D222" s="191">
        <f t="shared" si="14"/>
        <v>560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90</v>
      </c>
      <c r="B223" s="193">
        <f>'Données projet'!D206</f>
        <v>28</v>
      </c>
      <c r="C223" s="206">
        <v>30</v>
      </c>
      <c r="D223" s="191">
        <f t="shared" si="14"/>
        <v>840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95</v>
      </c>
      <c r="B224" s="193">
        <f>'Données projet'!D207</f>
        <v>28</v>
      </c>
      <c r="C224" s="206">
        <v>30</v>
      </c>
      <c r="D224" s="191">
        <f t="shared" si="14"/>
        <v>840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100</v>
      </c>
      <c r="B225" s="193">
        <f>'Données projet'!D208</f>
        <v>27</v>
      </c>
      <c r="C225" s="206">
        <v>40</v>
      </c>
      <c r="D225" s="191">
        <f t="shared" si="14"/>
        <v>1080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105</v>
      </c>
      <c r="B226" s="193">
        <f>'Données projet'!D209</f>
        <v>26</v>
      </c>
      <c r="C226" s="206">
        <v>50</v>
      </c>
      <c r="D226" s="191">
        <f t="shared" si="14"/>
        <v>1300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110</v>
      </c>
      <c r="B227" s="193">
        <f>'Données projet'!D210</f>
        <v>25</v>
      </c>
      <c r="C227" s="206">
        <v>70</v>
      </c>
      <c r="D227" s="191">
        <f t="shared" si="14"/>
        <v>1750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115</v>
      </c>
      <c r="B228" s="193">
        <f>'Données projet'!D211</f>
        <v>330</v>
      </c>
      <c r="C228" s="206">
        <v>150</v>
      </c>
      <c r="D228" s="191">
        <f t="shared" si="14"/>
        <v>49500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>Tilleul</v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20</v>
      </c>
      <c r="B240" s="193">
        <f>'Données projet'!D218</f>
        <v>6</v>
      </c>
      <c r="C240" s="206">
        <v>4</v>
      </c>
      <c r="D240" s="191">
        <f>B240*C240</f>
        <v>24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25</v>
      </c>
      <c r="B241" s="193">
        <f>'Données projet'!D219</f>
        <v>28</v>
      </c>
      <c r="C241" s="206">
        <v>8</v>
      </c>
      <c r="D241" s="191">
        <f t="shared" ref="D241:D259" si="15">B241*C241</f>
        <v>224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30</v>
      </c>
      <c r="B242" s="193">
        <f>'Données projet'!D220</f>
        <v>28</v>
      </c>
      <c r="C242" s="206">
        <v>10</v>
      </c>
      <c r="D242" s="191">
        <f t="shared" si="15"/>
        <v>280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35</v>
      </c>
      <c r="B243" s="193">
        <f>'Données projet'!D221</f>
        <v>28</v>
      </c>
      <c r="C243" s="206">
        <v>10</v>
      </c>
      <c r="D243" s="191">
        <f t="shared" si="15"/>
        <v>280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40</v>
      </c>
      <c r="B244" s="193">
        <f>'Données projet'!D222</f>
        <v>28</v>
      </c>
      <c r="C244" s="206">
        <v>10</v>
      </c>
      <c r="D244" s="191">
        <f t="shared" si="15"/>
        <v>280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45</v>
      </c>
      <c r="B245" s="193">
        <f>'Données projet'!D223</f>
        <v>28</v>
      </c>
      <c r="C245" s="206">
        <v>10</v>
      </c>
      <c r="D245" s="191">
        <f t="shared" si="15"/>
        <v>280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50</v>
      </c>
      <c r="B246" s="193">
        <f>'Données projet'!D224</f>
        <v>28</v>
      </c>
      <c r="C246" s="206">
        <v>15</v>
      </c>
      <c r="D246" s="191">
        <f t="shared" si="15"/>
        <v>420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55</v>
      </c>
      <c r="B247" s="193">
        <f>'Données projet'!D225</f>
        <v>28</v>
      </c>
      <c r="C247" s="206">
        <v>15</v>
      </c>
      <c r="D247" s="191">
        <f t="shared" si="15"/>
        <v>420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60</v>
      </c>
      <c r="B248" s="193">
        <f>'Données projet'!D226</f>
        <v>28</v>
      </c>
      <c r="C248" s="206">
        <v>15</v>
      </c>
      <c r="D248" s="191">
        <f t="shared" si="15"/>
        <v>420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65</v>
      </c>
      <c r="B249" s="193">
        <f>'Données projet'!D227</f>
        <v>28</v>
      </c>
      <c r="C249" s="206">
        <v>15</v>
      </c>
      <c r="D249" s="191">
        <f t="shared" si="15"/>
        <v>420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70</v>
      </c>
      <c r="B250" s="193">
        <f>'Données projet'!D228</f>
        <v>28</v>
      </c>
      <c r="C250" s="206">
        <v>20</v>
      </c>
      <c r="D250" s="191">
        <f t="shared" si="15"/>
        <v>560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75</v>
      </c>
      <c r="B251" s="193">
        <f>'Données projet'!D229</f>
        <v>28</v>
      </c>
      <c r="C251" s="206">
        <v>20</v>
      </c>
      <c r="D251" s="191">
        <f t="shared" si="15"/>
        <v>560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80</v>
      </c>
      <c r="B252" s="193">
        <f>'Données projet'!D230</f>
        <v>28</v>
      </c>
      <c r="C252" s="206">
        <v>20</v>
      </c>
      <c r="D252" s="191">
        <f t="shared" si="15"/>
        <v>560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85</v>
      </c>
      <c r="B253" s="193">
        <f>'Données projet'!D231</f>
        <v>28</v>
      </c>
      <c r="C253" s="206">
        <v>20</v>
      </c>
      <c r="D253" s="191">
        <f t="shared" si="15"/>
        <v>560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90</v>
      </c>
      <c r="B254" s="193">
        <f>'Données projet'!D232</f>
        <v>28</v>
      </c>
      <c r="C254" s="206">
        <v>30</v>
      </c>
      <c r="D254" s="191">
        <f t="shared" si="15"/>
        <v>840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95</v>
      </c>
      <c r="B255" s="193">
        <f>'Données projet'!D233</f>
        <v>28</v>
      </c>
      <c r="C255" s="206">
        <v>30</v>
      </c>
      <c r="D255" s="191">
        <f t="shared" si="15"/>
        <v>840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100</v>
      </c>
      <c r="B256" s="193">
        <f>'Données projet'!D234</f>
        <v>27</v>
      </c>
      <c r="C256" s="206">
        <v>40</v>
      </c>
      <c r="D256" s="191">
        <f t="shared" si="15"/>
        <v>1080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105</v>
      </c>
      <c r="B257" s="193">
        <f>'Données projet'!D235</f>
        <v>26</v>
      </c>
      <c r="C257" s="206">
        <v>50</v>
      </c>
      <c r="D257" s="191">
        <f t="shared" si="15"/>
        <v>1300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110</v>
      </c>
      <c r="B258" s="193">
        <f>'Données projet'!D236</f>
        <v>25</v>
      </c>
      <c r="C258" s="206">
        <v>70</v>
      </c>
      <c r="D258" s="191">
        <f t="shared" si="15"/>
        <v>1750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115</v>
      </c>
      <c r="B259" s="193">
        <f>'Données projet'!D237</f>
        <v>330</v>
      </c>
      <c r="C259" s="206">
        <v>150</v>
      </c>
      <c r="D259" s="191">
        <f t="shared" si="15"/>
        <v>49500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6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6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6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6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6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6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6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6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6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6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6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6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6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6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6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6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6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6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6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7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7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7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7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7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7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7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7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7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7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7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7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7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7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7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7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7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7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7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2024-08-20T08:59:56Z</dcterms:modified>
</cp:coreProperties>
</file>