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34" documentId="8_{6E247761-6941-4D9F-A2B5-BCBBF62E0532}" xr6:coauthVersionLast="47" xr6:coauthVersionMax="47" xr10:uidLastSave="{F40B9EA6-B3B5-4F44-8A6D-9CB926C134F5}"/>
  <bookViews>
    <workbookView xWindow="14295" yWindow="0" windowWidth="14340" windowHeight="1558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5" i="6" l="1"/>
  <c r="E234" i="6"/>
  <c r="E14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78" i="6"/>
  <c r="C158" i="6"/>
  <c r="C148" i="6"/>
  <c r="C149" i="6"/>
  <c r="C150" i="6"/>
  <c r="C151" i="6"/>
  <c r="C152" i="6"/>
  <c r="C153" i="6"/>
  <c r="C154" i="6"/>
  <c r="C155" i="6"/>
  <c r="C156" i="6"/>
  <c r="C157" i="6"/>
  <c r="C147" i="6"/>
  <c r="C86" i="6"/>
  <c r="C87" i="6"/>
  <c r="C88" i="6"/>
  <c r="C89" i="6"/>
  <c r="C90" i="6"/>
  <c r="C91" i="6"/>
  <c r="C85" i="6"/>
  <c r="C56" i="6"/>
  <c r="C57" i="6"/>
  <c r="C58" i="6"/>
  <c r="C59" i="6"/>
  <c r="C60" i="6"/>
  <c r="C61" i="6"/>
  <c r="C54" i="6"/>
  <c r="C55" i="6"/>
  <c r="E79" i="6"/>
  <c r="E48" i="6"/>
  <c r="E17" i="6"/>
  <c r="I20" i="6"/>
  <c r="C24" i="6"/>
  <c r="C25" i="6"/>
  <c r="C26" i="6"/>
  <c r="C27" i="6"/>
  <c r="C28" i="6"/>
  <c r="C29" i="6"/>
  <c r="C23" i="6"/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6" i="6"/>
  <c r="C287" i="6"/>
  <c r="C288" i="6"/>
  <c r="C289" i="6"/>
  <c r="C290" i="6"/>
  <c r="C255" i="6"/>
  <c r="C256" i="6"/>
  <c r="C257" i="6"/>
  <c r="C258" i="6"/>
  <c r="C259" i="6"/>
  <c r="C222" i="6"/>
  <c r="C223" i="6"/>
  <c r="C224" i="6"/>
  <c r="C225" i="6"/>
  <c r="C226" i="6"/>
  <c r="C227" i="6"/>
  <c r="C228" i="6"/>
  <c r="C190" i="6"/>
  <c r="C191" i="6"/>
  <c r="C192" i="6"/>
  <c r="C193" i="6"/>
  <c r="C194" i="6"/>
  <c r="C195" i="6"/>
  <c r="C196" i="6"/>
  <c r="C197" i="6"/>
  <c r="C159" i="6"/>
  <c r="C160" i="6"/>
  <c r="C161" i="6"/>
  <c r="C162" i="6"/>
  <c r="C163" i="6"/>
  <c r="C164" i="6"/>
  <c r="C165" i="6"/>
  <c r="C16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62" i="6"/>
  <c r="C63" i="6"/>
  <c r="C64" i="6"/>
  <c r="C65" i="6"/>
  <c r="C66" i="6"/>
  <c r="C67" i="6"/>
  <c r="C68" i="6"/>
  <c r="C69" i="6"/>
  <c r="C70" i="6"/>
  <c r="C71" i="6"/>
  <c r="C72" i="6"/>
  <c r="C73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EC4" i="2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A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C14" i="2"/>
  <c r="EB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B33" i="2"/>
  <c r="HG33" i="2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EV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W113" i="2"/>
  <c r="EX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C122" i="2"/>
  <c r="EW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EX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DI154" i="2"/>
  <c r="EW155" i="2"/>
  <c r="EA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EY155" i="2"/>
  <c r="EX156" i="2"/>
  <c r="HI156" i="2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CN156" i="2"/>
  <c r="EB157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HH158" i="2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ED159" i="2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B161" i="2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G162" i="2"/>
  <c r="EY161" i="2"/>
  <c r="EC162" i="2"/>
  <c r="DI161" i="2"/>
  <c r="EW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G163" i="2"/>
  <c r="HH163" i="2"/>
  <c r="EY162" i="2"/>
  <c r="EA163" i="2"/>
  <c r="EV163" i="2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FS164" i="2"/>
  <c r="EV164" i="2"/>
  <c r="ED163" i="2"/>
  <c r="EY163" i="2"/>
  <c r="EA164" i="2"/>
  <c r="DH164" i="2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EA167" i="2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HH168" i="2"/>
  <c r="DG168" i="2"/>
  <c r="DI167" i="2"/>
  <c r="EW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X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D171" i="2"/>
  <c r="EY171" i="2"/>
  <c r="EB172" i="2"/>
  <c r="EA172" i="2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A175" i="2"/>
  <c r="ED174" i="2"/>
  <c r="EB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EC177" i="2"/>
  <c r="HH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FQ178" i="2"/>
  <c r="EB178" i="2"/>
  <c r="EA178" i="2"/>
  <c r="EW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HG179" i="2"/>
  <c r="EV179" i="2"/>
  <c r="DF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Y184" i="2"/>
  <c r="HH185" i="2"/>
  <c r="EA185" i="2"/>
  <c r="HG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A186" i="2"/>
  <c r="FR186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B190" i="2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D190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Y191" i="2"/>
  <c r="HH192" i="2"/>
  <c r="EV192" i="2"/>
  <c r="HI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EB193" i="2"/>
  <c r="DI192" i="2"/>
  <c r="FQ193" i="2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D193" i="2"/>
  <c r="CN193" i="2"/>
  <c r="EB194" i="2"/>
  <c r="EA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X195" i="2"/>
  <c r="EB195" i="2"/>
  <c r="EA195" i="2"/>
  <c r="EY194" i="2"/>
  <c r="DH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HG197" i="2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V199" i="2"/>
  <c r="EW199" i="2"/>
  <c r="EY198" i="2"/>
  <c r="HG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D200" i="2" l="1"/>
  <c r="EY200" i="2"/>
  <c r="EA201" i="2"/>
  <c r="EB201" i="2"/>
  <c r="FS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S202" i="2"/>
  <c r="EW202" i="2"/>
  <c r="FR202" i="2"/>
  <c r="FZ6" i="2"/>
  <c r="EX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46" i="2" a="1"/>
  <c r="FY146" i="2" s="1"/>
  <c r="FY35" i="2" a="1"/>
  <c r="FY35" i="2" s="1"/>
  <c r="FY18" i="2" a="1"/>
  <c r="FY18" i="2" s="1"/>
  <c r="FY71" i="2" a="1"/>
  <c r="FY71" i="2" s="1"/>
  <c r="FY69" i="2" a="1"/>
  <c r="FY69" i="2" s="1"/>
  <c r="FY102" i="2" a="1"/>
  <c r="FY102" i="2" s="1"/>
  <c r="FY191" i="2" a="1"/>
  <c r="FY191" i="2" s="1"/>
  <c r="FY143" i="2" a="1"/>
  <c r="FY143" i="2" s="1"/>
  <c r="FY186" i="2" a="1"/>
  <c r="FY186" i="2" s="1"/>
  <c r="FY152" i="2" a="1"/>
  <c r="FY152" i="2" s="1"/>
  <c r="FY92" i="2" a="1"/>
  <c r="FY92" i="2" s="1"/>
  <c r="FY116" i="2" a="1"/>
  <c r="FY116" i="2" s="1"/>
  <c r="FY78" i="2" a="1"/>
  <c r="FY78" i="2" s="1"/>
  <c r="FY28" i="2" a="1"/>
  <c r="FY28" i="2" s="1"/>
  <c r="FY55" i="2" a="1"/>
  <c r="FY55" i="2" s="1"/>
  <c r="FY178" i="2" a="1"/>
  <c r="FY178" i="2" s="1"/>
  <c r="FY62" i="2" a="1"/>
  <c r="FY62" i="2" s="1"/>
  <c r="FY169" i="2" a="1"/>
  <c r="FY169" i="2" s="1"/>
  <c r="FY149" i="2" a="1"/>
  <c r="FY149" i="2" s="1"/>
  <c r="FY164" i="2" a="1"/>
  <c r="FY16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41" i="2" a="1"/>
  <c r="DN41" i="2" s="1"/>
  <c r="DN170" i="2" a="1"/>
  <c r="DN170" i="2" s="1"/>
  <c r="DN150" i="2" a="1"/>
  <c r="DN150" i="2" s="1"/>
  <c r="AH151" i="2" a="1"/>
  <c r="AH151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115" i="2" a="1"/>
  <c r="FY115" i="2" s="1"/>
  <c r="FY182" i="2" a="1"/>
  <c r="FY182" i="2" s="1"/>
  <c r="FY42" i="2" a="1"/>
  <c r="FY42" i="2" s="1"/>
  <c r="FY30" i="2" a="1"/>
  <c r="FY30" i="2" s="1"/>
  <c r="FY167" i="2" a="1"/>
  <c r="FY167" i="2" s="1"/>
  <c r="FY121" i="2" a="1"/>
  <c r="FY121" i="2" s="1"/>
  <c r="FD188" i="2" a="1"/>
  <c r="FD188" i="2" s="1"/>
  <c r="FD189" i="2" a="1"/>
  <c r="FD189" i="2" s="1"/>
  <c r="FD159" i="2" a="1"/>
  <c r="FD159" i="2" s="1"/>
  <c r="FD19" i="2" a="1"/>
  <c r="FD1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4" i="2" a="1"/>
  <c r="DN164" i="2" s="1"/>
  <c r="DN70" i="2" a="1"/>
  <c r="DN70" i="2" s="1"/>
  <c r="DN6" i="2" a="1"/>
  <c r="DN6" i="2" s="1"/>
  <c r="DO6" i="2" s="1"/>
  <c r="BX107" i="2" a="1"/>
  <c r="BX107" i="2" s="1"/>
  <c r="FD82" i="2" a="1"/>
  <c r="FD82" i="2" s="1"/>
  <c r="HJ202" i="2"/>
  <c r="AX200" i="2"/>
  <c r="FD107" i="2" l="1" a="1"/>
  <c r="FD107" i="2" s="1"/>
  <c r="FD59" i="2" a="1"/>
  <c r="FD59" i="2" s="1"/>
  <c r="FD194" i="2" a="1"/>
  <c r="FD194" i="2" s="1"/>
  <c r="FD64" i="2" a="1"/>
  <c r="FD64" i="2" s="1"/>
  <c r="FD160" i="2" a="1"/>
  <c r="FD160" i="2" s="1"/>
  <c r="FD167" i="2" a="1"/>
  <c r="FD167" i="2" s="1"/>
  <c r="FD48" i="2" a="1"/>
  <c r="FD48" i="2" s="1"/>
  <c r="FD144" i="2" a="1"/>
  <c r="FD144" i="2" s="1"/>
  <c r="FD187" i="2" a="1"/>
  <c r="FD187" i="2" s="1"/>
  <c r="FD137" i="2" a="1"/>
  <c r="FD137" i="2" s="1"/>
  <c r="FD43" i="2" a="1"/>
  <c r="FD43" i="2" s="1"/>
  <c r="FD44" i="2" a="1"/>
  <c r="FD44" i="2" s="1"/>
  <c r="FS203" i="2"/>
  <c r="FD21" i="2" a="1"/>
  <c r="FD21" i="2" s="1"/>
  <c r="FD131" i="2" a="1"/>
  <c r="FD131" i="2" s="1"/>
  <c r="FD14" i="2" a="1"/>
  <c r="FD14" i="2" s="1"/>
  <c r="FD60" i="2" a="1"/>
  <c r="FD60" i="2" s="1"/>
  <c r="FY142" i="2" a="1"/>
  <c r="FY142" i="2" s="1"/>
  <c r="FY196" i="2" a="1"/>
  <c r="FY196" i="2" s="1"/>
  <c r="FY86" i="2" a="1"/>
  <c r="FY86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40" i="2" a="1"/>
  <c r="FY140" i="2" s="1"/>
  <c r="FY32" i="2" a="1"/>
  <c r="FY32" i="2" s="1"/>
  <c r="FY80" i="2" a="1"/>
  <c r="FY80" i="2" s="1"/>
  <c r="FY82" i="2" a="1"/>
  <c r="FY82" i="2" s="1"/>
  <c r="FY58" i="2" a="1"/>
  <c r="FY58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29" i="2" a="1"/>
  <c r="FY29" i="2" s="1"/>
  <c r="FY22" i="2" a="1"/>
  <c r="FY22" i="2" s="1"/>
  <c r="FY57" i="2" a="1"/>
  <c r="FY57" i="2" s="1"/>
  <c r="FY54" i="2" a="1"/>
  <c r="FY54" i="2" s="1"/>
  <c r="EI150" i="2" a="1"/>
  <c r="EI150" i="2" s="1"/>
  <c r="EI128" i="2" a="1"/>
  <c r="EI128" i="2" s="1"/>
  <c r="EI109" i="2" a="1"/>
  <c r="EI109" i="2" s="1"/>
  <c r="EI67" i="2" a="1"/>
  <c r="EI67" i="2" s="1"/>
  <c r="EI166" i="2" a="1"/>
  <c r="EI166" i="2" s="1"/>
  <c r="EI71" i="2" a="1"/>
  <c r="EI71" i="2" s="1"/>
  <c r="EI195" i="2" a="1"/>
  <c r="EI195" i="2" s="1"/>
  <c r="EI142" i="2" a="1"/>
  <c r="EI142" i="2" s="1"/>
  <c r="EI170" i="2" a="1"/>
  <c r="EI170" i="2" s="1"/>
  <c r="EI57" i="2" a="1"/>
  <c r="EI57" i="2" s="1"/>
  <c r="EI38" i="2" a="1"/>
  <c r="EI38" i="2" s="1"/>
  <c r="EI29" i="2" a="1"/>
  <c r="EI29" i="2" s="1"/>
  <c r="EI198" i="2" a="1"/>
  <c r="EI198" i="2" s="1"/>
  <c r="EI35" i="2" a="1"/>
  <c r="EI35" i="2" s="1"/>
  <c r="EI16" i="2" a="1"/>
  <c r="EI16" i="2" s="1"/>
  <c r="EI34" i="2" a="1"/>
  <c r="EI34" i="2" s="1"/>
  <c r="EI36" i="2" a="1"/>
  <c r="EI36" i="2" s="1"/>
  <c r="EI145" i="2" a="1"/>
  <c r="EI145" i="2" s="1"/>
  <c r="EI106" i="2" a="1"/>
  <c r="EI106" i="2" s="1"/>
  <c r="EI37" i="2" a="1"/>
  <c r="EI37" i="2" s="1"/>
  <c r="EI20" i="2" a="1"/>
  <c r="EI20" i="2" s="1"/>
  <c r="EI178" i="2" a="1"/>
  <c r="EI178" i="2" s="1"/>
  <c r="EI139" i="2" a="1"/>
  <c r="EI139" i="2" s="1"/>
  <c r="EI113" i="2" a="1"/>
  <c r="EI113" i="2" s="1"/>
  <c r="EI165" i="2" a="1"/>
  <c r="EI165" i="2" s="1"/>
  <c r="EI87" i="2" a="1"/>
  <c r="EI87" i="2" s="1"/>
  <c r="EI162" i="2" a="1"/>
  <c r="EI162" i="2" s="1"/>
  <c r="EI153" i="2" a="1"/>
  <c r="EI153" i="2" s="1"/>
  <c r="DN45" i="2" a="1"/>
  <c r="DN45" i="2" s="1"/>
  <c r="DN176" i="2" a="1"/>
  <c r="DN176" i="2" s="1"/>
  <c r="DN31" i="2" a="1"/>
  <c r="DN31" i="2" s="1"/>
  <c r="DN80" i="2" a="1"/>
  <c r="DN80" i="2" s="1"/>
  <c r="DN103" i="2" a="1"/>
  <c r="DN103" i="2" s="1"/>
  <c r="DN188" i="2" a="1"/>
  <c r="DN188" i="2" s="1"/>
  <c r="DN113" i="2" a="1"/>
  <c r="DN113" i="2" s="1"/>
  <c r="DN137" i="2" a="1"/>
  <c r="DN137" i="2" s="1"/>
  <c r="DN187" i="2" a="1"/>
  <c r="DN187" i="2" s="1"/>
  <c r="DN132" i="2" a="1"/>
  <c r="DN132" i="2" s="1"/>
  <c r="DN190" i="2" a="1"/>
  <c r="DN190" i="2" s="1"/>
  <c r="DN167" i="2" a="1"/>
  <c r="DN167" i="2" s="1"/>
  <c r="DN168" i="2" a="1"/>
  <c r="DN168" i="2" s="1"/>
  <c r="DN86" i="2" a="1"/>
  <c r="DN86" i="2" s="1"/>
  <c r="DN25" i="2" a="1"/>
  <c r="DN25" i="2" s="1"/>
  <c r="DN124" i="2" a="1"/>
  <c r="DN124" i="2" s="1"/>
  <c r="DN30" i="2" a="1"/>
  <c r="DN30" i="2" s="1"/>
  <c r="DN65" i="2" a="1"/>
  <c r="DN65" i="2" s="1"/>
  <c r="DN49" i="2" a="1"/>
  <c r="DN49" i="2" s="1"/>
  <c r="DN153" i="2" a="1"/>
  <c r="DN153" i="2" s="1"/>
  <c r="DN29" i="2" a="1"/>
  <c r="DN29" i="2" s="1"/>
  <c r="DN55" i="2" a="1"/>
  <c r="DN55" i="2" s="1"/>
  <c r="DN16" i="2" a="1"/>
  <c r="DN16" i="2" s="1"/>
  <c r="DN135" i="2" a="1"/>
  <c r="DN135" i="2" s="1"/>
  <c r="DN63" i="2" a="1"/>
  <c r="DN6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155" i="2" a="1"/>
  <c r="DN155" i="2" s="1"/>
  <c r="DN56" i="2" a="1"/>
  <c r="DN56" i="2" s="1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DN123" i="2" a="1"/>
  <c r="DN12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CS24" i="2" a="1"/>
  <c r="CS24" i="2" s="1"/>
  <c r="CS114" i="2" a="1"/>
  <c r="CS114" i="2" s="1"/>
  <c r="FY133" i="2" a="1"/>
  <c r="FY133" i="2" s="1"/>
  <c r="FY165" i="2" a="1"/>
  <c r="FY165" i="2" s="1"/>
  <c r="FY90" i="2" a="1"/>
  <c r="FY90" i="2" s="1"/>
  <c r="FY109" i="2" a="1"/>
  <c r="FY109" i="2" s="1"/>
  <c r="HG203" i="2"/>
  <c r="FY79" i="2" a="1"/>
  <c r="FY79" i="2" s="1"/>
  <c r="FY47" i="2" a="1"/>
  <c r="FY47" i="2" s="1"/>
  <c r="BP203" i="2"/>
  <c r="CS56" i="2" a="1"/>
  <c r="CS56" i="2" s="1"/>
  <c r="CS38" i="2" a="1"/>
  <c r="CS38" i="2" s="1"/>
  <c r="CS116" i="2" a="1"/>
  <c r="CS116" i="2" s="1"/>
  <c r="CS66" i="2" a="1"/>
  <c r="CS66" i="2" s="1"/>
  <c r="CS72" i="2" a="1"/>
  <c r="CS72" i="2" s="1"/>
  <c r="CS105" i="2" a="1"/>
  <c r="CS105" i="2" s="1"/>
  <c r="CS77" i="2" a="1"/>
  <c r="CS77" i="2" s="1"/>
  <c r="CS137" i="2" a="1"/>
  <c r="CS137" i="2" s="1"/>
  <c r="CS129" i="2" a="1"/>
  <c r="CS129" i="2" s="1"/>
  <c r="CS134" i="2" a="1"/>
  <c r="CS134" i="2" s="1"/>
  <c r="CS185" i="2" a="1"/>
  <c r="CS185" i="2" s="1"/>
  <c r="CS161" i="2" a="1"/>
  <c r="CS161" i="2" s="1"/>
  <c r="CS52" i="2" a="1"/>
  <c r="CS52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CN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64" i="2" l="1"/>
  <c r="FJ35" i="2"/>
  <c r="FJ127" i="2"/>
  <c r="FJ7" i="2"/>
  <c r="FJ148" i="2"/>
  <c r="FJ128" i="2"/>
  <c r="FJ94" i="2"/>
  <c r="FJ31" i="2"/>
  <c r="FJ139" i="2"/>
  <c r="FJ187" i="2"/>
  <c r="FJ145" i="2"/>
  <c r="FJ202" i="2"/>
  <c r="FJ137" i="2"/>
  <c r="FJ199" i="2"/>
  <c r="FJ19" i="2"/>
  <c r="FJ78" i="2"/>
  <c r="FJ171" i="2"/>
  <c r="FJ25" i="2"/>
  <c r="FJ41" i="2"/>
  <c r="FJ22" i="2"/>
  <c r="FJ192" i="2"/>
  <c r="FJ121" i="2"/>
  <c r="FJ108" i="2"/>
  <c r="FJ165" i="2"/>
  <c r="FJ14" i="2"/>
  <c r="FJ114" i="2"/>
  <c r="FJ116" i="2"/>
  <c r="FJ69" i="2"/>
  <c r="FJ177" i="2"/>
  <c r="FJ175" i="2"/>
  <c r="FJ8" i="2"/>
  <c r="FJ120" i="2"/>
  <c r="FJ152" i="2"/>
  <c r="FJ33" i="2"/>
  <c r="FJ84" i="2"/>
  <c r="FJ138" i="2"/>
  <c r="FJ170" i="2"/>
  <c r="FJ13" i="2"/>
  <c r="FJ195" i="2"/>
  <c r="FJ144" i="2"/>
  <c r="FJ201" i="2"/>
  <c r="FJ73" i="2"/>
  <c r="FJ129" i="2"/>
  <c r="FJ49" i="2"/>
  <c r="FJ61" i="2"/>
  <c r="FJ102" i="2"/>
  <c r="FJ42" i="2"/>
  <c r="FJ130" i="2"/>
  <c r="FJ118" i="2"/>
  <c r="FJ185" i="2"/>
  <c r="FJ193" i="2"/>
  <c r="FJ43" i="2"/>
  <c r="FJ45" i="2"/>
  <c r="FJ155" i="2"/>
  <c r="FJ32" i="2"/>
  <c r="FJ135" i="2"/>
  <c r="FJ93" i="2"/>
  <c r="FJ75" i="2"/>
  <c r="FJ57" i="2"/>
  <c r="FJ124" i="2"/>
  <c r="FJ60" i="2"/>
  <c r="FJ58" i="2"/>
  <c r="FJ104" i="2"/>
  <c r="FJ181" i="2"/>
  <c r="FJ37" i="2"/>
  <c r="FJ119" i="2"/>
  <c r="FJ197" i="2"/>
  <c r="FJ9" i="2"/>
  <c r="FJ161" i="2"/>
  <c r="FJ83" i="2"/>
  <c r="FJ36" i="2"/>
  <c r="FJ55" i="2"/>
  <c r="FJ24" i="2"/>
  <c r="FJ74" i="2"/>
  <c r="FJ82" i="2"/>
  <c r="FJ48" i="2"/>
  <c r="FJ196" i="2"/>
  <c r="FJ97" i="2"/>
  <c r="FJ27" i="2"/>
  <c r="FJ203" i="2"/>
  <c r="FJ110" i="2"/>
  <c r="FJ11" i="2"/>
  <c r="FJ40" i="2"/>
  <c r="FJ18" i="2"/>
  <c r="FJ183" i="2"/>
  <c r="FJ64" i="2"/>
  <c r="FJ112" i="2"/>
  <c r="FJ6" i="2"/>
  <c r="FJ179" i="2"/>
  <c r="FJ168" i="2"/>
  <c r="FJ136" i="2"/>
  <c r="FJ188" i="2"/>
  <c r="FJ3" i="2"/>
  <c r="C13" i="4" s="1"/>
  <c r="E13" i="4" s="1"/>
  <c r="F13" i="4" s="1"/>
  <c r="G13" i="4" s="1"/>
  <c r="L13" i="4" s="1"/>
  <c r="FJ172" i="2"/>
  <c r="FJ146" i="2"/>
  <c r="FJ17" i="2"/>
  <c r="FJ30" i="2"/>
  <c r="FJ56" i="2"/>
  <c r="FJ123" i="2"/>
  <c r="FJ157" i="2"/>
  <c r="FJ167" i="2"/>
  <c r="FE84" i="2"/>
  <c r="FF83" i="2"/>
  <c r="FG83" i="2" s="1"/>
  <c r="FH83" i="2" s="1"/>
  <c r="FI83" i="2" s="1"/>
  <c r="FJ65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90" i="2" l="1"/>
  <c r="FJ85" i="2"/>
  <c r="FJ80" i="2"/>
  <c r="FJ23" i="2"/>
  <c r="FJ184" i="2"/>
  <c r="FJ166" i="2"/>
  <c r="FJ51" i="2"/>
  <c r="FJ95" i="2"/>
  <c r="FJ133" i="2"/>
  <c r="FJ162" i="2"/>
  <c r="FJ12" i="2"/>
  <c r="FJ151" i="2"/>
  <c r="FJ163" i="2"/>
  <c r="FJ90" i="2"/>
  <c r="FJ20" i="2"/>
  <c r="FJ149" i="2"/>
  <c r="FJ186" i="2"/>
  <c r="FJ160" i="2"/>
  <c r="FJ174" i="2"/>
  <c r="FJ115" i="2"/>
  <c r="FJ189" i="2"/>
  <c r="FJ29" i="2"/>
  <c r="FJ156" i="2"/>
  <c r="FJ103" i="2"/>
  <c r="FJ63" i="2"/>
  <c r="FJ141" i="2"/>
  <c r="FJ109" i="2"/>
  <c r="FJ147" i="2"/>
  <c r="FJ38" i="2"/>
  <c r="FJ117" i="2"/>
  <c r="FJ71" i="2"/>
  <c r="FJ26" i="2"/>
  <c r="FJ89" i="2"/>
  <c r="FJ96" i="2"/>
  <c r="FJ15" i="2"/>
  <c r="FJ111" i="2"/>
  <c r="FJ150" i="2"/>
  <c r="FJ44" i="2"/>
  <c r="FJ68" i="2"/>
  <c r="FJ158" i="2"/>
  <c r="FJ72" i="2"/>
  <c r="FJ67" i="2"/>
  <c r="FJ86" i="2"/>
  <c r="FJ191" i="2"/>
  <c r="FJ100" i="2"/>
  <c r="FJ200" i="2"/>
  <c r="FJ159" i="2"/>
  <c r="FJ76" i="2"/>
  <c r="FJ198" i="2"/>
  <c r="FJ10" i="2"/>
  <c r="GE11" i="2"/>
  <c r="GE10" i="2"/>
  <c r="GE196" i="2"/>
  <c r="GE78" i="2"/>
  <c r="GE147" i="2"/>
  <c r="GE146" i="2"/>
  <c r="GE75" i="2"/>
  <c r="GE170" i="2"/>
  <c r="GE179" i="2"/>
  <c r="GE128" i="2"/>
  <c r="GE164" i="2"/>
  <c r="GE148" i="2"/>
  <c r="GE185" i="2"/>
  <c r="GE134" i="2"/>
  <c r="GE137" i="2"/>
  <c r="GE56" i="2"/>
  <c r="GE39" i="2"/>
  <c r="GE131" i="2"/>
  <c r="GE155" i="2"/>
  <c r="GE111" i="2"/>
  <c r="GE201" i="2"/>
  <c r="GE166" i="2"/>
  <c r="GE86" i="2"/>
  <c r="GE80" i="2"/>
  <c r="GE142" i="2"/>
  <c r="GE176" i="2"/>
  <c r="GE173" i="2"/>
  <c r="GE186" i="2"/>
  <c r="GE14" i="2"/>
  <c r="GE165" i="2"/>
  <c r="GE144" i="2"/>
  <c r="GE30" i="2"/>
  <c r="GE94" i="2"/>
  <c r="GE92" i="2"/>
  <c r="GE64" i="2"/>
  <c r="GE85" i="2"/>
  <c r="GE43" i="2"/>
  <c r="GE69" i="2"/>
  <c r="GE100" i="2"/>
  <c r="GE40" i="2"/>
  <c r="GE102" i="2"/>
  <c r="GE74" i="2"/>
  <c r="GE108" i="2"/>
  <c r="GE168" i="2"/>
  <c r="GE127" i="2"/>
  <c r="GE96" i="2"/>
  <c r="GE195" i="2"/>
  <c r="GE19" i="2"/>
  <c r="GE175" i="2"/>
  <c r="GE169" i="2"/>
  <c r="GE203" i="2"/>
  <c r="GE125" i="2"/>
  <c r="GE65" i="2"/>
  <c r="GE190" i="2"/>
  <c r="GE93" i="2"/>
  <c r="GE82" i="2"/>
  <c r="GE42" i="2"/>
  <c r="GE113" i="2"/>
  <c r="GE124" i="2"/>
  <c r="GE72" i="2"/>
  <c r="GE83" i="2"/>
  <c r="GE110" i="2"/>
  <c r="GE16" i="2"/>
  <c r="GE5" i="2"/>
  <c r="GE34" i="2"/>
  <c r="GE109" i="2"/>
  <c r="GE139" i="2"/>
  <c r="GE81" i="2"/>
  <c r="GE193" i="2"/>
  <c r="GE57" i="2"/>
  <c r="GE157" i="2"/>
  <c r="GE178" i="2"/>
  <c r="GE18" i="2"/>
  <c r="GE67" i="2"/>
  <c r="GE188" i="2"/>
  <c r="GE143" i="2"/>
  <c r="GE89" i="2"/>
  <c r="GE52" i="2"/>
  <c r="GE6" i="2"/>
  <c r="GE117" i="2"/>
  <c r="GE9" i="2"/>
  <c r="GE35" i="2"/>
  <c r="GE121" i="2"/>
  <c r="GE182" i="2"/>
  <c r="GE149" i="2"/>
  <c r="GE91" i="2"/>
  <c r="GE4" i="2"/>
  <c r="GE191" i="2"/>
  <c r="GE138" i="2"/>
  <c r="GE183" i="2"/>
  <c r="GE180" i="2"/>
  <c r="GE154" i="2"/>
  <c r="GE21" i="2"/>
  <c r="GE103" i="2"/>
  <c r="GE97" i="2"/>
  <c r="GE22" i="2"/>
  <c r="GE200" i="2"/>
  <c r="GE184" i="2"/>
  <c r="GE17" i="2"/>
  <c r="GE112" i="2"/>
  <c r="GE106" i="2"/>
  <c r="GE202" i="2"/>
  <c r="GE47" i="2"/>
  <c r="GE133" i="2"/>
  <c r="GE120" i="2"/>
  <c r="GE48" i="2"/>
  <c r="GE79" i="2"/>
  <c r="GE198" i="2"/>
  <c r="GE197" i="2"/>
  <c r="GE122" i="2"/>
  <c r="GE26" i="2"/>
  <c r="GE27" i="2"/>
  <c r="GE199" i="2"/>
  <c r="GE140" i="2"/>
  <c r="GE46" i="2"/>
  <c r="GE136" i="2"/>
  <c r="GE104" i="2"/>
  <c r="GE150" i="2"/>
  <c r="GE116" i="2"/>
  <c r="GE156" i="2"/>
  <c r="GE95" i="2"/>
  <c r="GE177" i="2"/>
  <c r="GE70" i="2"/>
  <c r="GE107" i="2"/>
  <c r="GE159" i="2"/>
  <c r="GE28" i="2"/>
  <c r="GE12" i="2"/>
  <c r="GE172" i="2"/>
  <c r="GE38" i="2"/>
  <c r="GE98" i="2"/>
  <c r="GE141" i="2"/>
  <c r="GE145" i="2"/>
  <c r="GE15" i="2"/>
  <c r="GE114" i="2"/>
  <c r="GE41" i="2"/>
  <c r="GE53" i="2"/>
  <c r="GE167" i="2"/>
  <c r="GE158" i="2"/>
  <c r="GE73" i="2"/>
  <c r="GE171" i="2"/>
  <c r="GE71" i="2"/>
  <c r="GE84" i="2"/>
  <c r="GE77" i="2"/>
  <c r="GE54" i="2"/>
  <c r="GE162" i="2"/>
  <c r="GE13" i="2"/>
  <c r="GE115" i="2"/>
  <c r="GE163" i="2"/>
  <c r="GE194" i="2"/>
  <c r="GE25" i="2"/>
  <c r="GE49" i="2"/>
  <c r="GE187" i="2"/>
  <c r="GE153" i="2"/>
  <c r="GE61" i="2"/>
  <c r="GE101" i="2"/>
  <c r="GE192" i="2"/>
  <c r="GE32" i="2"/>
  <c r="GE90" i="2"/>
  <c r="GE174" i="2"/>
  <c r="GE29" i="2"/>
  <c r="GE36" i="2"/>
  <c r="GE76" i="2"/>
  <c r="GE66" i="2"/>
  <c r="GE160" i="2"/>
  <c r="GE129" i="2"/>
  <c r="GE45" i="2"/>
  <c r="GE31" i="2"/>
  <c r="GE44" i="2"/>
  <c r="GE58" i="2"/>
  <c r="GE123" i="2"/>
  <c r="GE87" i="2"/>
  <c r="GE152" i="2"/>
  <c r="GE130" i="2"/>
  <c r="GE51" i="2"/>
  <c r="GE118" i="2"/>
  <c r="GE59" i="2"/>
  <c r="GE62" i="2"/>
  <c r="GE99" i="2"/>
  <c r="GE132" i="2"/>
  <c r="GE63" i="2"/>
  <c r="GE8" i="2"/>
  <c r="GE189" i="2"/>
  <c r="GE23" i="2"/>
  <c r="GE161" i="2"/>
  <c r="GE135" i="2"/>
  <c r="GE33" i="2"/>
  <c r="GE50" i="2"/>
  <c r="GE37" i="2"/>
  <c r="GE24" i="2"/>
  <c r="GE119" i="2"/>
  <c r="GE68" i="2"/>
  <c r="GE55" i="2"/>
  <c r="GE126" i="2"/>
  <c r="GE20" i="2"/>
  <c r="GE151" i="2"/>
  <c r="GE60" i="2"/>
  <c r="GE3" i="2"/>
  <c r="C14" i="4" s="1"/>
  <c r="E14" i="4" s="1"/>
  <c r="F14" i="4" s="1"/>
  <c r="G14" i="4" s="1"/>
  <c r="L14" i="4" s="1"/>
  <c r="GE88" i="2"/>
  <c r="GE181" i="2"/>
  <c r="GE7" i="2"/>
  <c r="GE105" i="2"/>
  <c r="FJ173" i="2"/>
  <c r="FJ132" i="2"/>
  <c r="FJ99" i="2"/>
  <c r="FJ46" i="2"/>
  <c r="FJ178" i="2"/>
  <c r="FJ122" i="2"/>
  <c r="FJ88" i="2"/>
  <c r="FJ106" i="2"/>
  <c r="FJ54" i="2"/>
  <c r="FJ50" i="2"/>
  <c r="FJ4" i="2"/>
  <c r="FJ62" i="2"/>
  <c r="FJ66" i="2"/>
  <c r="FJ91" i="2"/>
  <c r="FJ125" i="2"/>
  <c r="FJ126" i="2"/>
  <c r="FJ143" i="2"/>
  <c r="FJ169" i="2"/>
  <c r="FJ21" i="2"/>
  <c r="FJ87" i="2"/>
  <c r="FJ182" i="2"/>
  <c r="FJ131" i="2"/>
  <c r="FJ154" i="2"/>
  <c r="FJ53" i="2"/>
  <c r="FJ107" i="2"/>
  <c r="FJ70" i="2"/>
  <c r="FJ142" i="2"/>
  <c r="FJ81" i="2"/>
  <c r="FJ16" i="2"/>
  <c r="FJ180" i="2"/>
  <c r="FJ140" i="2"/>
  <c r="FJ59" i="2"/>
  <c r="FJ134" i="2"/>
  <c r="FJ5" i="2"/>
  <c r="FJ98" i="2"/>
  <c r="FJ101" i="2"/>
  <c r="FJ176" i="2"/>
  <c r="FJ153" i="2"/>
  <c r="FJ194" i="2"/>
  <c r="FJ47" i="2"/>
  <c r="FJ105" i="2"/>
  <c r="FJ92" i="2"/>
  <c r="FJ28" i="2"/>
  <c r="FJ52" i="2"/>
  <c r="FJ79" i="2"/>
  <c r="FJ39" i="2"/>
  <c r="FJ77" i="2"/>
  <c r="FJ34" i="2"/>
  <c r="FJ113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60" i="2" l="1"/>
  <c r="CD48" i="2"/>
  <c r="CD105" i="2"/>
  <c r="CD143" i="2"/>
  <c r="CD157" i="2"/>
  <c r="CD41" i="2"/>
  <c r="CD158" i="2"/>
  <c r="CD166" i="2"/>
  <c r="CD78" i="2"/>
  <c r="CD115" i="2"/>
  <c r="CD145" i="2"/>
  <c r="CD203" i="2"/>
  <c r="CD198" i="2"/>
  <c r="CD107" i="2"/>
  <c r="CD171" i="2"/>
  <c r="CD57" i="2"/>
  <c r="CD58" i="2"/>
  <c r="CD136" i="2"/>
  <c r="CD19" i="2"/>
  <c r="CD172" i="2"/>
  <c r="CD33" i="2"/>
  <c r="CD36" i="2"/>
  <c r="CD121" i="2"/>
  <c r="CD187" i="2"/>
  <c r="CD194" i="2"/>
  <c r="CD109" i="2"/>
  <c r="CD70" i="2"/>
  <c r="CD189" i="2"/>
  <c r="CD120" i="2"/>
  <c r="CD141" i="2"/>
  <c r="CD23" i="2"/>
  <c r="CD18" i="2"/>
  <c r="CD138" i="2"/>
  <c r="CD45" i="2"/>
  <c r="CD71" i="2"/>
  <c r="CD117" i="2"/>
  <c r="CD162" i="2"/>
  <c r="CD46" i="2"/>
  <c r="CD159" i="2"/>
  <c r="CD150" i="2"/>
  <c r="CD9" i="2"/>
  <c r="CD156" i="2"/>
  <c r="CD176" i="2"/>
  <c r="CD151" i="2"/>
  <c r="CD61" i="2"/>
  <c r="CD94" i="2"/>
  <c r="CD140" i="2"/>
  <c r="CD197" i="2"/>
  <c r="CD29" i="2"/>
  <c r="CD142" i="2"/>
  <c r="CD95" i="2"/>
  <c r="CD133" i="2"/>
  <c r="CD51" i="2"/>
  <c r="CD131" i="2"/>
  <c r="CD72" i="2"/>
  <c r="CD47" i="2"/>
  <c r="CD77" i="2"/>
  <c r="CD122" i="2"/>
  <c r="CD59" i="2"/>
  <c r="CD124" i="2"/>
  <c r="CD127" i="2"/>
  <c r="CD5" i="2"/>
  <c r="CD193" i="2"/>
  <c r="CD4" i="2"/>
  <c r="CD126" i="2"/>
  <c r="CD37" i="2"/>
  <c r="CD73" i="2"/>
  <c r="CD13" i="2"/>
  <c r="CD165" i="2"/>
  <c r="CD181" i="2"/>
  <c r="CD24" i="2"/>
  <c r="CD65" i="2"/>
  <c r="CD86" i="2"/>
  <c r="CD103" i="2"/>
  <c r="CD87" i="2"/>
  <c r="CD132" i="2"/>
  <c r="CD50" i="2"/>
  <c r="CD160" i="2"/>
  <c r="CD134" i="2"/>
  <c r="CD125" i="2"/>
  <c r="CD163" i="2"/>
  <c r="CD149" i="2"/>
  <c r="CD168" i="2"/>
  <c r="CD63" i="2"/>
  <c r="CD90" i="2"/>
  <c r="CD38" i="2"/>
  <c r="CD26" i="2"/>
  <c r="CD130" i="2"/>
  <c r="CD184" i="2"/>
  <c r="CD106" i="2"/>
  <c r="CD153" i="2"/>
  <c r="CD92" i="2"/>
  <c r="CD15" i="2"/>
  <c r="CD85" i="2"/>
  <c r="CD114" i="2"/>
  <c r="CD201" i="2"/>
  <c r="CD123" i="2"/>
  <c r="CD49" i="2"/>
  <c r="CD104" i="2"/>
  <c r="CD10" i="2"/>
  <c r="CD186" i="2"/>
  <c r="CD56" i="2"/>
  <c r="CD96" i="2"/>
  <c r="CD79" i="2"/>
  <c r="CD148" i="2"/>
  <c r="CD128" i="2"/>
  <c r="CD66" i="2"/>
  <c r="CD185" i="2"/>
  <c r="CD146" i="2"/>
  <c r="CD196" i="2"/>
  <c r="CD7" i="2"/>
  <c r="CD76" i="2"/>
  <c r="CD119" i="2"/>
  <c r="CD67" i="2"/>
  <c r="CD155" i="2"/>
  <c r="CD69" i="2"/>
  <c r="CD20" i="2"/>
  <c r="CD100" i="2"/>
  <c r="CD180" i="2"/>
  <c r="CD39" i="2"/>
  <c r="CD144" i="2"/>
  <c r="CD182" i="2"/>
  <c r="CD167" i="2"/>
  <c r="CD137" i="2"/>
  <c r="CD113" i="2"/>
  <c r="CD161" i="2"/>
  <c r="CD152" i="2"/>
  <c r="CD195" i="2"/>
  <c r="CD98" i="2"/>
  <c r="CD21" i="2"/>
  <c r="CD190" i="2"/>
  <c r="CD154" i="2"/>
  <c r="CD32" i="2"/>
  <c r="CD97" i="2"/>
  <c r="CD83" i="2"/>
  <c r="CD173" i="2"/>
  <c r="CD34" i="2"/>
  <c r="CD101" i="2"/>
  <c r="CD169" i="2"/>
  <c r="CD43" i="2"/>
  <c r="CD42" i="2"/>
  <c r="CD164" i="2"/>
  <c r="CD31" i="2"/>
  <c r="CD188" i="2"/>
  <c r="CD35" i="2"/>
  <c r="CD135" i="2"/>
  <c r="CD6" i="2"/>
  <c r="CD118" i="2"/>
  <c r="CD28" i="2"/>
  <c r="CD53" i="2"/>
  <c r="CD200" i="2"/>
  <c r="CD177" i="2"/>
  <c r="CD82" i="2"/>
  <c r="CD89" i="2"/>
  <c r="CD12" i="2"/>
  <c r="CD116" i="2"/>
  <c r="CD192" i="2"/>
  <c r="CD22" i="2"/>
  <c r="CD108" i="2"/>
  <c r="CD81" i="2"/>
  <c r="CD17" i="2"/>
  <c r="CD91" i="2"/>
  <c r="CD27" i="2"/>
  <c r="CD64" i="2"/>
  <c r="CD52" i="2"/>
  <c r="CD3" i="2"/>
  <c r="C9" i="4" s="1"/>
  <c r="E9" i="4" s="1"/>
  <c r="F9" i="4" s="1"/>
  <c r="G9" i="4" s="1"/>
  <c r="L9" i="4" s="1"/>
  <c r="CD199" i="2"/>
  <c r="CD62" i="2"/>
  <c r="CD25" i="2"/>
  <c r="CD30" i="2"/>
  <c r="CD102" i="2"/>
  <c r="CD99" i="2"/>
  <c r="CD139" i="2"/>
  <c r="CD178" i="2"/>
  <c r="CD80" i="2"/>
  <c r="CD147" i="2"/>
  <c r="CD84" i="2"/>
  <c r="CD202" i="2"/>
  <c r="CD75" i="2"/>
  <c r="CD179" i="2"/>
  <c r="CD55" i="2"/>
  <c r="CD88" i="2"/>
  <c r="CD14" i="2"/>
  <c r="CD93" i="2"/>
  <c r="CD40" i="2"/>
  <c r="CD110" i="2"/>
  <c r="CD112" i="2"/>
  <c r="CD68" i="2"/>
  <c r="CD191" i="2"/>
  <c r="CD129" i="2"/>
  <c r="CD183" i="2"/>
  <c r="CD44" i="2"/>
  <c r="CD170" i="2"/>
  <c r="CD111" i="2"/>
  <c r="CD8" i="2"/>
  <c r="CD174" i="2"/>
  <c r="CD175" i="2"/>
  <c r="CD74" i="2"/>
  <c r="CD16" i="2"/>
  <c r="CD54" i="2"/>
  <c r="CD11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<sst xmlns="http://schemas.openxmlformats.org/spreadsheetml/2006/main" count="1178" uniqueCount="324">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</sst>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1.9307023826681637</c:v>
                </c:pt>
                <c:pt idx="2">
                  <c:v>2.5649020270235678</c:v>
                </c:pt>
                <c:pt idx="3">
                  <c:v>3.4082917127715717</c:v>
                </c:pt>
                <c:pt idx="4">
                  <c:v>4.530142308406865</c:v>
                </c:pt>
                <c:pt idx="5">
                  <c:v>6.0227464916995492</c:v>
                </c:pt>
                <c:pt idx="6">
                  <c:v>8.0090957090727475</c:v>
                </c:pt>
                <c:pt idx="7">
                  <c:v>10.653125055469326</c:v>
                </c:pt>
                <c:pt idx="8">
                  <c:v>14.17338746505834</c:v>
                </c:pt>
                <c:pt idx="9">
                  <c:v>18.861308292050449</c:v>
                </c:pt>
                <c:pt idx="10">
                  <c:v>25.105558699245321</c:v>
                </c:pt>
                <c:pt idx="11">
                  <c:v>33.424604244400854</c:v>
                </c:pt>
                <c:pt idx="12">
                  <c:v>44.510177808361867</c:v>
                </c:pt>
                <c:pt idx="13">
                  <c:v>59.285352637875775</c:v>
                </c:pt>
                <c:pt idx="14">
                  <c:v>78.982130888896151</c:v>
                </c:pt>
                <c:pt idx="15">
                  <c:v>105.24512156635869</c:v>
                </c:pt>
                <c:pt idx="16">
                  <c:v>140.27010097825584</c:v>
                </c:pt>
                <c:pt idx="17">
                  <c:v>186.989218657826</c:v>
                </c:pt>
                <c:pt idx="18">
                  <c:v>249.31858647831859</c:v>
                </c:pt>
                <c:pt idx="19">
                  <c:v>191.58130712105455</c:v>
                </c:pt>
                <c:pt idx="20">
                  <c:v>224.0976224505259</c:v>
                </c:pt>
                <c:pt idx="21">
                  <c:v>256.50564685476314</c:v>
                </c:pt>
                <c:pt idx="22">
                  <c:v>288.82098926825927</c:v>
                </c:pt>
                <c:pt idx="23">
                  <c:v>321.05547343525387</c:v>
                </c:pt>
                <c:pt idx="24">
                  <c:v>353.21835259366952</c:v>
                </c:pt>
                <c:pt idx="25">
                  <c:v>326.25871506187258</c:v>
                </c:pt>
                <c:pt idx="26">
                  <c:v>360.64862850646955</c:v>
                </c:pt>
                <c:pt idx="27">
                  <c:v>394.96682747949188</c:v>
                </c:pt>
                <c:pt idx="28">
                  <c:v>429.22041109280985</c:v>
                </c:pt>
                <c:pt idx="29">
                  <c:v>463.41525346070944</c:v>
                </c:pt>
                <c:pt idx="30">
                  <c:v>497.55629175055515</c:v>
                </c:pt>
                <c:pt idx="31">
                  <c:v>435.49944570734789</c:v>
                </c:pt>
                <c:pt idx="32">
                  <c:v>469.47856257316124</c:v>
                </c:pt>
                <c:pt idx="33">
                  <c:v>503.40530686541462</c:v>
                </c:pt>
                <c:pt idx="34">
                  <c:v>537.28369877051512</c:v>
                </c:pt>
                <c:pt idx="35">
                  <c:v>571.11721074139666</c:v>
                </c:pt>
                <c:pt idx="36">
                  <c:v>604.90887079787183</c:v>
                </c:pt>
                <c:pt idx="37">
                  <c:v>536.6373993880444</c:v>
                </c:pt>
                <c:pt idx="38">
                  <c:v>569.79082741852994</c:v>
                </c:pt>
                <c:pt idx="39">
                  <c:v>602.90396630639486</c:v>
                </c:pt>
                <c:pt idx="40">
                  <c:v>635.97933621184779</c:v>
                </c:pt>
                <c:pt idx="41">
                  <c:v>669.01917418073697</c:v>
                </c:pt>
                <c:pt idx="42">
                  <c:v>702.02547863456618</c:v>
                </c:pt>
                <c:pt idx="43">
                  <c:v>626.48047983515778</c:v>
                </c:pt>
                <c:pt idx="44">
                  <c:v>658.36289232535546</c:v>
                </c:pt>
                <c:pt idx="45">
                  <c:v>690.21352286258923</c:v>
                </c:pt>
                <c:pt idx="46">
                  <c:v>722.03404178774736</c:v>
                </c:pt>
                <c:pt idx="47">
                  <c:v>753.82596045276603</c:v>
                </c:pt>
                <c:pt idx="48">
                  <c:v>785.59065255131372</c:v>
                </c:pt>
                <c:pt idx="49">
                  <c:v>696.72657876418998</c:v>
                </c:pt>
                <c:pt idx="50">
                  <c:v>726.90222960176391</c:v>
                </c:pt>
                <c:pt idx="51">
                  <c:v>757.05234988054838</c:v>
                </c:pt>
                <c:pt idx="52">
                  <c:v>787.17809767113783</c:v>
                </c:pt>
                <c:pt idx="53">
                  <c:v>817.28053532583272</c:v>
                </c:pt>
                <c:pt idx="54">
                  <c:v>847.36064069284623</c:v>
                </c:pt>
                <c:pt idx="55">
                  <c:v>3.4554122145673649E-12</c:v>
                </c:pt>
                <c:pt idx="56">
                  <c:v>3.4554122145673649E-12</c:v>
                </c:pt>
                <c:pt idx="57">
                  <c:v>3.4554122145673649E-12</c:v>
                </c:pt>
                <c:pt idx="58">
                  <c:v>3.4554122145673649E-12</c:v>
                </c:pt>
                <c:pt idx="59">
                  <c:v>3.4554122145673649E-12</c:v>
                </c:pt>
                <c:pt idx="60">
                  <c:v>3.4554122145673649E-12</c:v>
                </c:pt>
                <c:pt idx="61">
                  <c:v>3.4554122145673649E-12</c:v>
                </c:pt>
                <c:pt idx="62">
                  <c:v>3.4554122145673649E-12</c:v>
                </c:pt>
                <c:pt idx="63">
                  <c:v>3.4554122145673649E-12</c:v>
                </c:pt>
                <c:pt idx="64">
                  <c:v>3.4554122145673649E-12</c:v>
                </c:pt>
                <c:pt idx="65">
                  <c:v>3.4554122145673649E-12</c:v>
                </c:pt>
                <c:pt idx="66">
                  <c:v>3.4554122145673649E-12</c:v>
                </c:pt>
                <c:pt idx="67">
                  <c:v>3.4554122145673649E-12</c:v>
                </c:pt>
                <c:pt idx="68">
                  <c:v>3.4554122145673649E-12</c:v>
                </c:pt>
                <c:pt idx="69">
                  <c:v>3.4554122145673649E-12</c:v>
                </c:pt>
                <c:pt idx="70">
                  <c:v>3.4554122145673649E-12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9.1692870601157086</c:v>
                </c:pt>
                <c:pt idx="2">
                  <c:v>17.936201663846216</c:v>
                </c:pt>
                <c:pt idx="3">
                  <c:v>26.573170161998117</c:v>
                </c:pt>
                <c:pt idx="4">
                  <c:v>35.130036857159006</c:v>
                </c:pt>
                <c:pt idx="5">
                  <c:v>43.629392821265903</c:v>
                </c:pt>
                <c:pt idx="6">
                  <c:v>52.084124944955228</c:v>
                </c:pt>
                <c:pt idx="7">
                  <c:v>60.502540908341409</c:v>
                </c:pt>
                <c:pt idx="8">
                  <c:v>68.890427338611204</c:v>
                </c:pt>
                <c:pt idx="9">
                  <c:v>77.252037480358638</c:v>
                </c:pt>
                <c:pt idx="10">
                  <c:v>85.590623964457123</c:v>
                </c:pt>
                <c:pt idx="11">
                  <c:v>93.908751251394463</c:v>
                </c:pt>
                <c:pt idx="12">
                  <c:v>102.20849079265732</c:v>
                </c:pt>
                <c:pt idx="13">
                  <c:v>110.49154911066734</c:v>
                </c:pt>
                <c:pt idx="14">
                  <c:v>118.75935527186527</c:v>
                </c:pt>
                <c:pt idx="15">
                  <c:v>127.01312262210831</c:v>
                </c:pt>
                <c:pt idx="16">
                  <c:v>135.25389357519569</c:v>
                </c:pt>
                <c:pt idx="17">
                  <c:v>143.48257287852456</c:v>
                </c:pt>
                <c:pt idx="18">
                  <c:v>151.69995282569948</c:v>
                </c:pt>
                <c:pt idx="19">
                  <c:v>159.90673270571247</c:v>
                </c:pt>
                <c:pt idx="20">
                  <c:v>168.10353404075036</c:v>
                </c:pt>
                <c:pt idx="21">
                  <c:v>176.29091268983385</c:v>
                </c:pt>
                <c:pt idx="22">
                  <c:v>184.4693685816801</c:v>
                </c:pt>
                <c:pt idx="23">
                  <c:v>192.63935362793154</c:v>
                </c:pt>
                <c:pt idx="24">
                  <c:v>200.80127822133792</c:v>
                </c:pt>
                <c:pt idx="25">
                  <c:v>208.95551662039031</c:v>
                </c:pt>
                <c:pt idx="26">
                  <c:v>217.1024114481626</c:v>
                </c:pt>
                <c:pt idx="27">
                  <c:v>225.24227747955538</c:v>
                </c:pt>
                <c:pt idx="28">
                  <c:v>233.37540485169438</c:v>
                </c:pt>
                <c:pt idx="29">
                  <c:v>241.50206180281205</c:v>
                </c:pt>
                <c:pt idx="30">
                  <c:v>249.62249702273948</c:v>
                </c:pt>
                <c:pt idx="31">
                  <c:v>257.73694168119511</c:v>
                </c:pt>
                <c:pt idx="32">
                  <c:v>265.84561118700753</c:v>
                </c:pt>
                <c:pt idx="33">
                  <c:v>273.948706721257</c:v>
                </c:pt>
                <c:pt idx="34">
                  <c:v>282.04641657936111</c:v>
                </c:pt>
                <c:pt idx="35">
                  <c:v>290.13891735083121</c:v>
                </c:pt>
                <c:pt idx="36">
                  <c:v>298.2263749604092</c:v>
                </c:pt>
                <c:pt idx="37">
                  <c:v>306.30894559027047</c:v>
                </c:pt>
                <c:pt idx="38">
                  <c:v>314.38677649972635</c:v>
                </c:pt>
                <c:pt idx="39">
                  <c:v>322.46000675621355</c:v>
                </c:pt>
                <c:pt idx="40">
                  <c:v>330.52876788920173</c:v>
                </c:pt>
                <c:pt idx="41">
                  <c:v>338.5931844768694</c:v>
                </c:pt>
                <c:pt idx="42">
                  <c:v>346.65337467393118</c:v>
                </c:pt>
                <c:pt idx="43">
                  <c:v>258.12667028823529</c:v>
                </c:pt>
                <c:pt idx="44">
                  <c:v>275.29450964860507</c:v>
                </c:pt>
                <c:pt idx="45">
                  <c:v>292.43830704024839</c:v>
                </c:pt>
                <c:pt idx="46">
                  <c:v>309.55967005924936</c:v>
                </c:pt>
                <c:pt idx="47">
                  <c:v>326.66001394076346</c:v>
                </c:pt>
                <c:pt idx="48">
                  <c:v>343.74059365288736</c:v>
                </c:pt>
                <c:pt idx="49">
                  <c:v>360.8025292744212</c:v>
                </c:pt>
                <c:pt idx="50">
                  <c:v>377.84682631948954</c:v>
                </c:pt>
                <c:pt idx="51">
                  <c:v>287.67734153750729</c:v>
                </c:pt>
                <c:pt idx="52">
                  <c:v>304.07206233875513</c:v>
                </c:pt>
                <c:pt idx="53">
                  <c:v>320.44712758529653</c:v>
                </c:pt>
                <c:pt idx="54">
                  <c:v>336.80368294253748</c:v>
                </c:pt>
                <c:pt idx="55">
                  <c:v>353.14275371823027</c:v>
                </c:pt>
                <c:pt idx="56">
                  <c:v>369.46526260672704</c:v>
                </c:pt>
                <c:pt idx="57">
                  <c:v>385.77204413280037</c:v>
                </c:pt>
                <c:pt idx="58">
                  <c:v>402.06385652527086</c:v>
                </c:pt>
                <c:pt idx="59">
                  <c:v>330.74005748766359</c:v>
                </c:pt>
                <c:pt idx="60">
                  <c:v>346.60591515351689</c:v>
                </c:pt>
                <c:pt idx="61">
                  <c:v>362.45583222249314</c:v>
                </c:pt>
                <c:pt idx="62">
                  <c:v>378.29060378932394</c:v>
                </c:pt>
                <c:pt idx="63">
                  <c:v>394.11095296186676</c:v>
                </c:pt>
                <c:pt idx="64">
                  <c:v>409.91754006698562</c:v>
                </c:pt>
                <c:pt idx="65">
                  <c:v>425.71097036232396</c:v>
                </c:pt>
                <c:pt idx="66">
                  <c:v>441.49180054400358</c:v>
                </c:pt>
                <c:pt idx="67">
                  <c:v>369.20612193155625</c:v>
                </c:pt>
                <c:pt idx="68">
                  <c:v>384.30348052691483</c:v>
                </c:pt>
                <c:pt idx="69">
                  <c:v>399.38795393209131</c:v>
                </c:pt>
                <c:pt idx="70">
                  <c:v>414.46009725971345</c:v>
                </c:pt>
                <c:pt idx="71">
                  <c:v>429.5204219608288</c:v>
                </c:pt>
                <c:pt idx="72">
                  <c:v>444.5694007014618</c:v>
                </c:pt>
                <c:pt idx="73">
                  <c:v>459.60747154449905</c:v>
                </c:pt>
                <c:pt idx="74">
                  <c:v>474.6350415558033</c:v>
                </c:pt>
                <c:pt idx="75">
                  <c:v>489.65248992991548</c:v>
                </c:pt>
                <c:pt idx="76">
                  <c:v>416.43449793318274</c:v>
                </c:pt>
                <c:pt idx="77">
                  <c:v>430.64528450788242</c:v>
                </c:pt>
                <c:pt idx="78">
                  <c:v>444.84599790037572</c:v>
                </c:pt>
                <c:pt idx="79">
                  <c:v>459.03700491428344</c:v>
                </c:pt>
                <c:pt idx="80">
                  <c:v>473.2186478283345</c:v>
                </c:pt>
                <c:pt idx="81">
                  <c:v>487.39124673731368</c:v>
                </c:pt>
                <c:pt idx="82">
                  <c:v>501.555101606596</c:v>
                </c:pt>
                <c:pt idx="83">
                  <c:v>515.71049408256397</c:v>
                </c:pt>
                <c:pt idx="84">
                  <c:v>439.2590933025761</c:v>
                </c:pt>
                <c:pt idx="85">
                  <c:v>452.36985869087033</c:v>
                </c:pt>
                <c:pt idx="86">
                  <c:v>465.47250151900539</c:v>
                </c:pt>
                <c:pt idx="87">
                  <c:v>478.56728261895313</c:v>
                </c:pt>
                <c:pt idx="88">
                  <c:v>491.65444738634943</c:v>
                </c:pt>
                <c:pt idx="89">
                  <c:v>504.73422708924267</c:v>
                </c:pt>
                <c:pt idx="90">
                  <c:v>517.80684003414194</c:v>
                </c:pt>
                <c:pt idx="91">
                  <c:v>530.87249260820693</c:v>
                </c:pt>
                <c:pt idx="92">
                  <c:v>279.98860279382762</c:v>
                </c:pt>
                <c:pt idx="93">
                  <c:v>288.79971777952142</c:v>
                </c:pt>
                <c:pt idx="94">
                  <c:v>297.6048238592623</c:v>
                </c:pt>
                <c:pt idx="95">
                  <c:v>306.40412403506821</c:v>
                </c:pt>
                <c:pt idx="96">
                  <c:v>315.19780868792878</c:v>
                </c:pt>
                <c:pt idx="97">
                  <c:v>323.98605670040803</c:v>
                </c:pt>
                <c:pt idx="98">
                  <c:v>332.76903645099787</c:v>
                </c:pt>
                <c:pt idx="99">
                  <c:v>341.54690669794519</c:v>
                </c:pt>
                <c:pt idx="100">
                  <c:v>350.3198173674196</c:v>
                </c:pt>
                <c:pt idx="101">
                  <c:v>359.08791025856652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2.0367104145595945</c:v>
                </c:pt>
                <c:pt idx="2">
                  <c:v>2.9200632018463271</c:v>
                </c:pt>
                <c:pt idx="3">
                  <c:v>4.1882432709186679</c:v>
                </c:pt>
                <c:pt idx="4">
                  <c:v>6.0095961451188842</c:v>
                </c:pt>
                <c:pt idx="5">
                  <c:v>8.626395946296892</c:v>
                </c:pt>
                <c:pt idx="6">
                  <c:v>12.387426585027887</c:v>
                </c:pt>
                <c:pt idx="7">
                  <c:v>17.794968626830691</c:v>
                </c:pt>
                <c:pt idx="8">
                  <c:v>25.572580115461605</c:v>
                </c:pt>
                <c:pt idx="9">
                  <c:v>36.762900131351365</c:v>
                </c:pt>
                <c:pt idx="10">
                  <c:v>52.868810399579736</c:v>
                </c:pt>
                <c:pt idx="11">
                  <c:v>76.057228337430601</c:v>
                </c:pt>
                <c:pt idx="12">
                  <c:v>109.4533931211234</c:v>
                </c:pt>
                <c:pt idx="13">
                  <c:v>112.64520308935512</c:v>
                </c:pt>
                <c:pt idx="14">
                  <c:v>134.92942443005151</c:v>
                </c:pt>
                <c:pt idx="15">
                  <c:v>157.12480016409424</c:v>
                </c:pt>
                <c:pt idx="16">
                  <c:v>133.73802986245025</c:v>
                </c:pt>
                <c:pt idx="17">
                  <c:v>153.16715712558818</c:v>
                </c:pt>
                <c:pt idx="18">
                  <c:v>172.53759735059677</c:v>
                </c:pt>
                <c:pt idx="19">
                  <c:v>134.33375899888668</c:v>
                </c:pt>
                <c:pt idx="20">
                  <c:v>151.97939240324109</c:v>
                </c:pt>
                <c:pt idx="21">
                  <c:v>169.57621597595673</c:v>
                </c:pt>
                <c:pt idx="22">
                  <c:v>187.13001121508182</c:v>
                </c:pt>
                <c:pt idx="23">
                  <c:v>204.64538422135516</c:v>
                </c:pt>
                <c:pt idx="24">
                  <c:v>222.12608711761621</c:v>
                </c:pt>
                <c:pt idx="25">
                  <c:v>160.48693362624041</c:v>
                </c:pt>
                <c:pt idx="26">
                  <c:v>175.69508685741741</c:v>
                </c:pt>
                <c:pt idx="27">
                  <c:v>190.87233517990811</c:v>
                </c:pt>
                <c:pt idx="28">
                  <c:v>206.02148306263476</c:v>
                </c:pt>
                <c:pt idx="29">
                  <c:v>221.14488839641524</c:v>
                </c:pt>
                <c:pt idx="30">
                  <c:v>236.24455995422272</c:v>
                </c:pt>
                <c:pt idx="31">
                  <c:v>181.41465908598684</c:v>
                </c:pt>
                <c:pt idx="32">
                  <c:v>195.00660139274055</c:v>
                </c:pt>
                <c:pt idx="33">
                  <c:v>208.57653261210189</c:v>
                </c:pt>
                <c:pt idx="34">
                  <c:v>222.12608711761627</c:v>
                </c:pt>
                <c:pt idx="35">
                  <c:v>235.65668343924972</c:v>
                </c:pt>
                <c:pt idx="36">
                  <c:v>249.16956379358498</c:v>
                </c:pt>
                <c:pt idx="37">
                  <c:v>193.62874143634596</c:v>
                </c:pt>
                <c:pt idx="38">
                  <c:v>206.41461505629854</c:v>
                </c:pt>
                <c:pt idx="39">
                  <c:v>219.18219050817336</c:v>
                </c:pt>
                <c:pt idx="40">
                  <c:v>231.93268435971632</c:v>
                </c:pt>
                <c:pt idx="41">
                  <c:v>244.66716838975233</c:v>
                </c:pt>
                <c:pt idx="42">
                  <c:v>257.38659362199542</c:v>
                </c:pt>
                <c:pt idx="43">
                  <c:v>2.226146305277994E-12</c:v>
                </c:pt>
                <c:pt idx="44">
                  <c:v>2.226146305277994E-12</c:v>
                </c:pt>
                <c:pt idx="45">
                  <c:v>2.226146305277994E-12</c:v>
                </c:pt>
                <c:pt idx="46">
                  <c:v>2.226146305277994E-12</c:v>
                </c:pt>
                <c:pt idx="47">
                  <c:v>2.226146305277994E-12</c:v>
                </c:pt>
                <c:pt idx="48">
                  <c:v>2.226146305277994E-12</c:v>
                </c:pt>
                <c:pt idx="49">
                  <c:v>2.226146305277994E-12</c:v>
                </c:pt>
                <c:pt idx="50">
                  <c:v>2.226146305277994E-12</c:v>
                </c:pt>
                <c:pt idx="51">
                  <c:v>2.226146305277994E-12</c:v>
                </c:pt>
                <c:pt idx="52">
                  <c:v>2.226146305277994E-12</c:v>
                </c:pt>
                <c:pt idx="53">
                  <c:v>2.226146305277994E-12</c:v>
                </c:pt>
                <c:pt idx="54">
                  <c:v>2.226146305277994E-12</c:v>
                </c:pt>
                <c:pt idx="55">
                  <c:v>2.226146305277994E-12</c:v>
                </c:pt>
                <c:pt idx="56">
                  <c:v>2.226146305277994E-12</c:v>
                </c:pt>
                <c:pt idx="57">
                  <c:v>2.226146305277994E-12</c:v>
                </c:pt>
                <c:pt idx="58">
                  <c:v>2.226146305277994E-12</c:v>
                </c:pt>
                <c:pt idx="59">
                  <c:v>2.226146305277994E-12</c:v>
                </c:pt>
                <c:pt idx="60">
                  <c:v>2.226146305277994E-12</c:v>
                </c:pt>
                <c:pt idx="61">
                  <c:v>2.226146305277994E-12</c:v>
                </c:pt>
                <c:pt idx="62">
                  <c:v>2.226146305277994E-12</c:v>
                </c:pt>
                <c:pt idx="63">
                  <c:v>2.226146305277994E-12</c:v>
                </c:pt>
                <c:pt idx="64">
                  <c:v>2.226146305277994E-12</c:v>
                </c:pt>
                <c:pt idx="65">
                  <c:v>2.226146305277994E-12</c:v>
                </c:pt>
                <c:pt idx="66">
                  <c:v>2.226146305277994E-12</c:v>
                </c:pt>
                <c:pt idx="67">
                  <c:v>2.226146305277994E-12</c:v>
                </c:pt>
                <c:pt idx="68">
                  <c:v>2.226146305277994E-12</c:v>
                </c:pt>
                <c:pt idx="69">
                  <c:v>2.226146305277994E-12</c:v>
                </c:pt>
                <c:pt idx="70">
                  <c:v>2.226146305277994E-12</c:v>
                </c:pt>
                <c:pt idx="71">
                  <c:v>2.226146305277994E-12</c:v>
                </c:pt>
                <c:pt idx="72">
                  <c:v>2.226146305277994E-12</c:v>
                </c:pt>
                <c:pt idx="73">
                  <c:v>2.226146305277994E-12</c:v>
                </c:pt>
                <c:pt idx="74">
                  <c:v>2.226146305277994E-12</c:v>
                </c:pt>
                <c:pt idx="75">
                  <c:v>2.226146305277994E-12</c:v>
                </c:pt>
                <c:pt idx="76">
                  <c:v>2.226146305277994E-12</c:v>
                </c:pt>
                <c:pt idx="77">
                  <c:v>2.226146305277994E-12</c:v>
                </c:pt>
                <c:pt idx="78">
                  <c:v>2.226146305277994E-12</c:v>
                </c:pt>
                <c:pt idx="79">
                  <c:v>2.226146305277994E-12</c:v>
                </c:pt>
                <c:pt idx="80">
                  <c:v>2.226146305277994E-12</c:v>
                </c:pt>
                <c:pt idx="81">
                  <c:v>2.226146305277994E-12</c:v>
                </c:pt>
                <c:pt idx="82">
                  <c:v>2.226146305277994E-12</c:v>
                </c:pt>
                <c:pt idx="83">
                  <c:v>2.226146305277994E-12</c:v>
                </c:pt>
                <c:pt idx="84">
                  <c:v>2.226146305277994E-12</c:v>
                </c:pt>
                <c:pt idx="85">
                  <c:v>2.226146305277994E-12</c:v>
                </c:pt>
                <c:pt idx="86">
                  <c:v>2.226146305277994E-12</c:v>
                </c:pt>
                <c:pt idx="87">
                  <c:v>2.226146305277994E-12</c:v>
                </c:pt>
                <c:pt idx="88">
                  <c:v>2.226146305277994E-12</c:v>
                </c:pt>
                <c:pt idx="89">
                  <c:v>2.226146305277994E-12</c:v>
                </c:pt>
                <c:pt idx="90">
                  <c:v>2.226146305277994E-12</c:v>
                </c:pt>
                <c:pt idx="91">
                  <c:v>2.226146305277994E-12</c:v>
                </c:pt>
                <c:pt idx="92">
                  <c:v>2.226146305277994E-12</c:v>
                </c:pt>
                <c:pt idx="93">
                  <c:v>2.226146305277994E-12</c:v>
                </c:pt>
                <c:pt idx="94">
                  <c:v>2.226146305277994E-12</c:v>
                </c:pt>
                <c:pt idx="95">
                  <c:v>2.226146305277994E-12</c:v>
                </c:pt>
                <c:pt idx="96">
                  <c:v>2.226146305277994E-12</c:v>
                </c:pt>
                <c:pt idx="97">
                  <c:v>2.226146305277994E-12</c:v>
                </c:pt>
                <c:pt idx="98">
                  <c:v>2.226146305277994E-12</c:v>
                </c:pt>
                <c:pt idx="99">
                  <c:v>2.226146305277994E-12</c:v>
                </c:pt>
                <c:pt idx="100">
                  <c:v>2.226146305277994E-12</c:v>
                </c:pt>
                <c:pt idx="101">
                  <c:v>2.226146305277994E-12</c:v>
                </c:pt>
                <c:pt idx="102">
                  <c:v>2.226146305277994E-12</c:v>
                </c:pt>
                <c:pt idx="103">
                  <c:v>2.226146305277994E-12</c:v>
                </c:pt>
                <c:pt idx="104">
                  <c:v>2.226146305277994E-12</c:v>
                </c:pt>
                <c:pt idx="105">
                  <c:v>2.226146305277994E-12</c:v>
                </c:pt>
                <c:pt idx="106">
                  <c:v>2.226146305277994E-12</c:v>
                </c:pt>
                <c:pt idx="107">
                  <c:v>2.226146305277994E-12</c:v>
                </c:pt>
                <c:pt idx="108">
                  <c:v>2.226146305277994E-12</c:v>
                </c:pt>
                <c:pt idx="109">
                  <c:v>2.226146305277994E-12</c:v>
                </c:pt>
                <c:pt idx="110">
                  <c:v>2.226146305277994E-12</c:v>
                </c:pt>
                <c:pt idx="111">
                  <c:v>2.226146305277994E-12</c:v>
                </c:pt>
                <c:pt idx="112">
                  <c:v>2.226146305277994E-12</c:v>
                </c:pt>
                <c:pt idx="113">
                  <c:v>2.226146305277994E-12</c:v>
                </c:pt>
                <c:pt idx="114">
                  <c:v>2.226146305277994E-12</c:v>
                </c:pt>
                <c:pt idx="115">
                  <c:v>2.226146305277994E-12</c:v>
                </c:pt>
                <c:pt idx="116">
                  <c:v>2.226146305277994E-12</c:v>
                </c:pt>
                <c:pt idx="117">
                  <c:v>2.226146305277994E-12</c:v>
                </c:pt>
                <c:pt idx="118">
                  <c:v>2.226146305277994E-12</c:v>
                </c:pt>
                <c:pt idx="119">
                  <c:v>2.226146305277994E-12</c:v>
                </c:pt>
                <c:pt idx="120">
                  <c:v>2.226146305277994E-12</c:v>
                </c:pt>
                <c:pt idx="121">
                  <c:v>2.226146305277994E-12</c:v>
                </c:pt>
                <c:pt idx="122">
                  <c:v>2.226146305277994E-12</c:v>
                </c:pt>
                <c:pt idx="123">
                  <c:v>2.226146305277994E-12</c:v>
                </c:pt>
                <c:pt idx="124">
                  <c:v>2.226146305277994E-12</c:v>
                </c:pt>
                <c:pt idx="125">
                  <c:v>2.226146305277994E-12</c:v>
                </c:pt>
                <c:pt idx="126">
                  <c:v>2.226146305277994E-12</c:v>
                </c:pt>
                <c:pt idx="127">
                  <c:v>2.226146305277994E-12</c:v>
                </c:pt>
                <c:pt idx="128">
                  <c:v>2.226146305277994E-12</c:v>
                </c:pt>
                <c:pt idx="129">
                  <c:v>2.226146305277994E-12</c:v>
                </c:pt>
                <c:pt idx="130">
                  <c:v>2.226146305277994E-12</c:v>
                </c:pt>
                <c:pt idx="131">
                  <c:v>2.226146305277994E-12</c:v>
                </c:pt>
                <c:pt idx="132">
                  <c:v>2.226146305277994E-12</c:v>
                </c:pt>
                <c:pt idx="133">
                  <c:v>2.226146305277994E-12</c:v>
                </c:pt>
                <c:pt idx="134">
                  <c:v>2.226146305277994E-12</c:v>
                </c:pt>
                <c:pt idx="135">
                  <c:v>2.226146305277994E-12</c:v>
                </c:pt>
                <c:pt idx="136">
                  <c:v>2.226146305277994E-12</c:v>
                </c:pt>
                <c:pt idx="137">
                  <c:v>2.226146305277994E-12</c:v>
                </c:pt>
                <c:pt idx="138">
                  <c:v>2.226146305277994E-12</c:v>
                </c:pt>
                <c:pt idx="139">
                  <c:v>2.226146305277994E-12</c:v>
                </c:pt>
                <c:pt idx="140">
                  <c:v>2.226146305277994E-12</c:v>
                </c:pt>
                <c:pt idx="141">
                  <c:v>2.226146305277994E-12</c:v>
                </c:pt>
                <c:pt idx="142">
                  <c:v>2.226146305277994E-12</c:v>
                </c:pt>
                <c:pt idx="143">
                  <c:v>2.226146305277994E-12</c:v>
                </c:pt>
                <c:pt idx="144">
                  <c:v>2.226146305277994E-12</c:v>
                </c:pt>
                <c:pt idx="145">
                  <c:v>2.226146305277994E-12</c:v>
                </c:pt>
                <c:pt idx="146">
                  <c:v>2.226146305277994E-12</c:v>
                </c:pt>
                <c:pt idx="147">
                  <c:v>2.226146305277994E-12</c:v>
                </c:pt>
                <c:pt idx="148">
                  <c:v>2.226146305277994E-12</c:v>
                </c:pt>
                <c:pt idx="149">
                  <c:v>2.226146305277994E-12</c:v>
                </c:pt>
                <c:pt idx="150">
                  <c:v>2.226146305277994E-12</c:v>
                </c:pt>
                <c:pt idx="151">
                  <c:v>2.226146305277994E-12</c:v>
                </c:pt>
                <c:pt idx="152">
                  <c:v>2.226146305277994E-12</c:v>
                </c:pt>
                <c:pt idx="153">
                  <c:v>2.226146305277994E-12</c:v>
                </c:pt>
                <c:pt idx="154">
                  <c:v>2.226146305277994E-12</c:v>
                </c:pt>
                <c:pt idx="155">
                  <c:v>2.226146305277994E-12</c:v>
                </c:pt>
                <c:pt idx="156">
                  <c:v>2.226146305277994E-12</c:v>
                </c:pt>
                <c:pt idx="157">
                  <c:v>2.226146305277994E-12</c:v>
                </c:pt>
                <c:pt idx="158">
                  <c:v>2.226146305277994E-12</c:v>
                </c:pt>
                <c:pt idx="159">
                  <c:v>2.226146305277994E-12</c:v>
                </c:pt>
                <c:pt idx="160">
                  <c:v>2.226146305277994E-12</c:v>
                </c:pt>
                <c:pt idx="161">
                  <c:v>2.226146305277994E-12</c:v>
                </c:pt>
                <c:pt idx="162">
                  <c:v>2.226146305277994E-12</c:v>
                </c:pt>
                <c:pt idx="163">
                  <c:v>2.226146305277994E-12</c:v>
                </c:pt>
                <c:pt idx="164">
                  <c:v>2.226146305277994E-12</c:v>
                </c:pt>
                <c:pt idx="165">
                  <c:v>2.226146305277994E-12</c:v>
                </c:pt>
                <c:pt idx="166">
                  <c:v>2.226146305277994E-12</c:v>
                </c:pt>
                <c:pt idx="167">
                  <c:v>2.226146305277994E-12</c:v>
                </c:pt>
                <c:pt idx="168">
                  <c:v>2.226146305277994E-12</c:v>
                </c:pt>
                <c:pt idx="169">
                  <c:v>2.226146305277994E-12</c:v>
                </c:pt>
                <c:pt idx="170">
                  <c:v>2.226146305277994E-12</c:v>
                </c:pt>
                <c:pt idx="171">
                  <c:v>2.226146305277994E-12</c:v>
                </c:pt>
                <c:pt idx="172">
                  <c:v>2.226146305277994E-12</c:v>
                </c:pt>
                <c:pt idx="173">
                  <c:v>2.226146305277994E-12</c:v>
                </c:pt>
                <c:pt idx="174">
                  <c:v>2.226146305277994E-12</c:v>
                </c:pt>
                <c:pt idx="175">
                  <c:v>2.226146305277994E-12</c:v>
                </c:pt>
                <c:pt idx="176">
                  <c:v>2.226146305277994E-12</c:v>
                </c:pt>
                <c:pt idx="177">
                  <c:v>2.226146305277994E-12</c:v>
                </c:pt>
                <c:pt idx="178">
                  <c:v>2.226146305277994E-12</c:v>
                </c:pt>
                <c:pt idx="179">
                  <c:v>2.226146305277994E-12</c:v>
                </c:pt>
                <c:pt idx="180">
                  <c:v>2.226146305277994E-12</c:v>
                </c:pt>
                <c:pt idx="181">
                  <c:v>2.226146305277994E-12</c:v>
                </c:pt>
                <c:pt idx="182">
                  <c:v>2.226146305277994E-12</c:v>
                </c:pt>
                <c:pt idx="183">
                  <c:v>2.226146305277994E-12</c:v>
                </c:pt>
                <c:pt idx="184">
                  <c:v>2.226146305277994E-12</c:v>
                </c:pt>
                <c:pt idx="185">
                  <c:v>2.226146305277994E-12</c:v>
                </c:pt>
                <c:pt idx="186">
                  <c:v>2.226146305277994E-12</c:v>
                </c:pt>
                <c:pt idx="187">
                  <c:v>2.226146305277994E-12</c:v>
                </c:pt>
                <c:pt idx="188">
                  <c:v>2.226146305277994E-12</c:v>
                </c:pt>
                <c:pt idx="189">
                  <c:v>2.226146305277994E-12</c:v>
                </c:pt>
                <c:pt idx="190">
                  <c:v>2.226146305277994E-12</c:v>
                </c:pt>
                <c:pt idx="191">
                  <c:v>2.226146305277994E-12</c:v>
                </c:pt>
                <c:pt idx="192">
                  <c:v>2.226146305277994E-12</c:v>
                </c:pt>
                <c:pt idx="193">
                  <c:v>2.226146305277994E-12</c:v>
                </c:pt>
                <c:pt idx="194">
                  <c:v>2.226146305277994E-12</c:v>
                </c:pt>
                <c:pt idx="195">
                  <c:v>2.226146305277994E-12</c:v>
                </c:pt>
                <c:pt idx="196">
                  <c:v>2.226146305277994E-12</c:v>
                </c:pt>
                <c:pt idx="197">
                  <c:v>2.226146305277994E-12</c:v>
                </c:pt>
                <c:pt idx="198">
                  <c:v>2.226146305277994E-12</c:v>
                </c:pt>
                <c:pt idx="199">
                  <c:v>2.226146305277994E-12</c:v>
                </c:pt>
                <c:pt idx="200">
                  <c:v>2.226146305277994E-12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2.6699707388378435</c:v>
                </c:pt>
                <c:pt idx="2">
                  <c:v>3.0854529595063585</c:v>
                </c:pt>
                <c:pt idx="3">
                  <c:v>3.5658225936899188</c:v>
                </c:pt>
                <c:pt idx="4">
                  <c:v>4.1212477319613789</c:v>
                </c:pt>
                <c:pt idx="5">
                  <c:v>4.7634948966368684</c:v>
                </c:pt>
                <c:pt idx="6">
                  <c:v>5.5061810573550938</c:v>
                </c:pt>
                <c:pt idx="7">
                  <c:v>6.3650654887388702</c:v>
                </c:pt>
                <c:pt idx="8">
                  <c:v>7.3583877846861832</c:v>
                </c:pt>
                <c:pt idx="9">
                  <c:v>8.5072593469168449</c:v>
                </c:pt>
                <c:pt idx="10">
                  <c:v>9.8361168281522069</c:v>
                </c:pt>
                <c:pt idx="11">
                  <c:v>11.373247358195052</c:v>
                </c:pt>
                <c:pt idx="12">
                  <c:v>13.15139694373749</c:v>
                </c:pt>
                <c:pt idx="13">
                  <c:v>15.208475244209536</c:v>
                </c:pt>
                <c:pt idx="14">
                  <c:v>17.588372026115831</c:v>
                </c:pt>
                <c:pt idx="15">
                  <c:v>20.341903033171054</c:v>
                </c:pt>
                <c:pt idx="16">
                  <c:v>23.527905832579023</c:v>
                </c:pt>
                <c:pt idx="17">
                  <c:v>27.214509470998607</c:v>
                </c:pt>
                <c:pt idx="18">
                  <c:v>31.480605569007299</c:v>
                </c:pt>
                <c:pt idx="19">
                  <c:v>36.417552883621063</c:v>
                </c:pt>
                <c:pt idx="20">
                  <c:v>42.131152471414673</c:v>
                </c:pt>
                <c:pt idx="21">
                  <c:v>48.743936502250968</c:v>
                </c:pt>
                <c:pt idx="22">
                  <c:v>56.397820635781677</c:v>
                </c:pt>
                <c:pt idx="23">
                  <c:v>65.257177830780208</c:v>
                </c:pt>
                <c:pt idx="24">
                  <c:v>75.512400686253869</c:v>
                </c:pt>
                <c:pt idx="25">
                  <c:v>87.384030116471749</c:v>
                </c:pt>
                <c:pt idx="26">
                  <c:v>101.12754057541088</c:v>
                </c:pt>
                <c:pt idx="27">
                  <c:v>117.03888644334262</c:v>
                </c:pt>
                <c:pt idx="28">
                  <c:v>135.46093088687311</c:v>
                </c:pt>
                <c:pt idx="29">
                  <c:v>156.79089787213343</c:v>
                </c:pt>
                <c:pt idx="30">
                  <c:v>181.48901047645177</c:v>
                </c:pt>
                <c:pt idx="31">
                  <c:v>210.08850470273444</c:v>
                </c:pt>
                <c:pt idx="32">
                  <c:v>243.20723822846864</c:v>
                </c:pt>
                <c:pt idx="33">
                  <c:v>281.5611485855668</c:v>
                </c:pt>
                <c:pt idx="34">
                  <c:v>325.97985594315736</c:v>
                </c:pt>
                <c:pt idx="35">
                  <c:v>282.65231992247323</c:v>
                </c:pt>
                <c:pt idx="36">
                  <c:v>308.01838410545304</c:v>
                </c:pt>
                <c:pt idx="37">
                  <c:v>333.33805160708971</c:v>
                </c:pt>
                <c:pt idx="38">
                  <c:v>358.61533945245088</c:v>
                </c:pt>
                <c:pt idx="39">
                  <c:v>383.85365229545351</c:v>
                </c:pt>
                <c:pt idx="40">
                  <c:v>409.05591073487312</c:v>
                </c:pt>
                <c:pt idx="41">
                  <c:v>434.22464633221625</c:v>
                </c:pt>
                <c:pt idx="42">
                  <c:v>459.36207344014059</c:v>
                </c:pt>
                <c:pt idx="43">
                  <c:v>378.45614484101515</c:v>
                </c:pt>
                <c:pt idx="44">
                  <c:v>404.18571261257989</c:v>
                </c:pt>
                <c:pt idx="45">
                  <c:v>429.87987656451173</c:v>
                </c:pt>
                <c:pt idx="46">
                  <c:v>455.54104818091383</c:v>
                </c:pt>
                <c:pt idx="47">
                  <c:v>481.17134531494452</c:v>
                </c:pt>
                <c:pt idx="48">
                  <c:v>506.77264199488104</c:v>
                </c:pt>
                <c:pt idx="49">
                  <c:v>532.34660764274122</c:v>
                </c:pt>
                <c:pt idx="50">
                  <c:v>557.8947383664505</c:v>
                </c:pt>
                <c:pt idx="51">
                  <c:v>455.23380040192274</c:v>
                </c:pt>
                <c:pt idx="52">
                  <c:v>480.26025517444731</c:v>
                </c:pt>
                <c:pt idx="53">
                  <c:v>505.25900216261584</c:v>
                </c:pt>
                <c:pt idx="54">
                  <c:v>530.23160356708627</c:v>
                </c:pt>
                <c:pt idx="55">
                  <c:v>555.17946258375241</c:v>
                </c:pt>
                <c:pt idx="56">
                  <c:v>580.10384614858219</c:v>
                </c:pt>
                <c:pt idx="57">
                  <c:v>605.00590357227645</c:v>
                </c:pt>
                <c:pt idx="58">
                  <c:v>629.88668194935019</c:v>
                </c:pt>
                <c:pt idx="59">
                  <c:v>534.91834845559026</c:v>
                </c:pt>
                <c:pt idx="60">
                  <c:v>558.73125517753795</c:v>
                </c:pt>
                <c:pt idx="61">
                  <c:v>582.52292317065746</c:v>
                </c:pt>
                <c:pt idx="62">
                  <c:v>606.29434093846282</c:v>
                </c:pt>
                <c:pt idx="63">
                  <c:v>630.04641323604687</c:v>
                </c:pt>
                <c:pt idx="64">
                  <c:v>653.7799711182065</c:v>
                </c:pt>
                <c:pt idx="65">
                  <c:v>677.49578045384908</c:v>
                </c:pt>
                <c:pt idx="66">
                  <c:v>701.19454918731037</c:v>
                </c:pt>
                <c:pt idx="67">
                  <c:v>587.5562256241567</c:v>
                </c:pt>
                <c:pt idx="68">
                  <c:v>609.95414773613163</c:v>
                </c:pt>
                <c:pt idx="69">
                  <c:v>632.3350084523446</c:v>
                </c:pt>
                <c:pt idx="70">
                  <c:v>654.69949595917296</c:v>
                </c:pt>
                <c:pt idx="71">
                  <c:v>677.0482476452961</c:v>
                </c:pt>
                <c:pt idx="72">
                  <c:v>699.3818554378214</c:v>
                </c:pt>
                <c:pt idx="73">
                  <c:v>721.70087042202431</c:v>
                </c:pt>
                <c:pt idx="74">
                  <c:v>744.00580686048454</c:v>
                </c:pt>
                <c:pt idx="75">
                  <c:v>631.31708156238767</c:v>
                </c:pt>
                <c:pt idx="76">
                  <c:v>652.32678164327422</c:v>
                </c:pt>
                <c:pt idx="77">
                  <c:v>673.3225388308889</c:v>
                </c:pt>
                <c:pt idx="78">
                  <c:v>694.30484863129948</c:v>
                </c:pt>
                <c:pt idx="79">
                  <c:v>715.27417419281119</c:v>
                </c:pt>
                <c:pt idx="80">
                  <c:v>736.23094932471258</c:v>
                </c:pt>
                <c:pt idx="81">
                  <c:v>757.17558115479142</c:v>
                </c:pt>
                <c:pt idx="82">
                  <c:v>778.10845247783391</c:v>
                </c:pt>
                <c:pt idx="83">
                  <c:v>695.76807500521954</c:v>
                </c:pt>
                <c:pt idx="84">
                  <c:v>715.95422798020627</c:v>
                </c:pt>
                <c:pt idx="85">
                  <c:v>736.12876253982495</c:v>
                </c:pt>
                <c:pt idx="86">
                  <c:v>756.29204157952142</c:v>
                </c:pt>
                <c:pt idx="87">
                  <c:v>776.44440708922923</c:v>
                </c:pt>
                <c:pt idx="88">
                  <c:v>796.58618187992522</c:v>
                </c:pt>
                <c:pt idx="89">
                  <c:v>816.71767112667646</c:v>
                </c:pt>
                <c:pt idx="90">
                  <c:v>836.83916375181616</c:v>
                </c:pt>
                <c:pt idx="91">
                  <c:v>736.17771717514131</c:v>
                </c:pt>
                <c:pt idx="92">
                  <c:v>755.62509782325526</c:v>
                </c:pt>
                <c:pt idx="93">
                  <c:v>775.06231619681046</c:v>
                </c:pt>
                <c:pt idx="94">
                  <c:v>794.48966274964323</c:v>
                </c:pt>
                <c:pt idx="95">
                  <c:v>813.90741258924243</c:v>
                </c:pt>
                <c:pt idx="96">
                  <c:v>833.31582664173175</c:v>
                </c:pt>
                <c:pt idx="97">
                  <c:v>852.71515270280804</c:v>
                </c:pt>
                <c:pt idx="98">
                  <c:v>872.10562638818374</c:v>
                </c:pt>
                <c:pt idx="99">
                  <c:v>891.48747199521495</c:v>
                </c:pt>
                <c:pt idx="100">
                  <c:v>910.86090328579758</c:v>
                </c:pt>
                <c:pt idx="101">
                  <c:v>767.83721574163076</c:v>
                </c:pt>
                <c:pt idx="102">
                  <c:v>786.45180910993884</c:v>
                </c:pt>
                <c:pt idx="103">
                  <c:v>805.05749267722797</c:v>
                </c:pt>
                <c:pt idx="104">
                  <c:v>823.65450112843621</c:v>
                </c:pt>
                <c:pt idx="105">
                  <c:v>842.24305769893783</c:v>
                </c:pt>
                <c:pt idx="106">
                  <c:v>860.8233749785976</c:v>
                </c:pt>
                <c:pt idx="107">
                  <c:v>879.39565564287625</c:v>
                </c:pt>
                <c:pt idx="108">
                  <c:v>897.96009311904538</c:v>
                </c:pt>
                <c:pt idx="109">
                  <c:v>916.51687219450571</c:v>
                </c:pt>
                <c:pt idx="110">
                  <c:v>935.06616957334984</c:v>
                </c:pt>
                <c:pt idx="111">
                  <c:v>826.05771661592064</c:v>
                </c:pt>
                <c:pt idx="112">
                  <c:v>844.40441997746029</c:v>
                </c:pt>
                <c:pt idx="113">
                  <c:v>862.74311963922503</c:v>
                </c:pt>
                <c:pt idx="114">
                  <c:v>881.07400949138639</c:v>
                </c:pt>
                <c:pt idx="115">
                  <c:v>899.39727470833338</c:v>
                </c:pt>
                <c:pt idx="116">
                  <c:v>917.71309231362739</c:v>
                </c:pt>
                <c:pt idx="117">
                  <c:v>936.02163169756943</c:v>
                </c:pt>
                <c:pt idx="118">
                  <c:v>954.32305509221976</c:v>
                </c:pt>
                <c:pt idx="119">
                  <c:v>972.61751800813624</c:v>
                </c:pt>
                <c:pt idx="120">
                  <c:v>990.90516963658501</c:v>
                </c:pt>
                <c:pt idx="121">
                  <c:v>894.83373311860703</c:v>
                </c:pt>
                <c:pt idx="122">
                  <c:v>913.15138976044375</c:v>
                </c:pt>
                <c:pt idx="123">
                  <c:v>931.46172667382643</c:v>
                </c:pt>
                <c:pt idx="124">
                  <c:v>949.76490783163342</c:v>
                </c:pt>
                <c:pt idx="125">
                  <c:v>968.06109037981787</c:v>
                </c:pt>
                <c:pt idx="126">
                  <c:v>986.35042504789317</c:v>
                </c:pt>
                <c:pt idx="127">
                  <c:v>1004.6330565274337</c:v>
                </c:pt>
                <c:pt idx="128">
                  <c:v>1022.9091238216288</c:v>
                </c:pt>
                <c:pt idx="129">
                  <c:v>1041.1787605685925</c:v>
                </c:pt>
                <c:pt idx="130">
                  <c:v>1059.4420953408357</c:v>
                </c:pt>
                <c:pt idx="131">
                  <c:v>947.51026136827886</c:v>
                </c:pt>
                <c:pt idx="132">
                  <c:v>965.96423481553177</c:v>
                </c:pt>
                <c:pt idx="133">
                  <c:v>984.41122511999913</c:v>
                </c:pt>
                <c:pt idx="134">
                  <c:v>1002.8513813952947</c:v>
                </c:pt>
                <c:pt idx="135">
                  <c:v>1021.2848468318198</c:v>
                </c:pt>
                <c:pt idx="136">
                  <c:v>1039.7117590368587</c:v>
                </c:pt>
                <c:pt idx="137">
                  <c:v>1058.1322503493443</c:v>
                </c:pt>
                <c:pt idx="138">
                  <c:v>1076.5464481316023</c:v>
                </c:pt>
                <c:pt idx="139">
                  <c:v>1094.9544750401217</c:v>
                </c:pt>
                <c:pt idx="140">
                  <c:v>1113.356449277205</c:v>
                </c:pt>
                <c:pt idx="141">
                  <c:v>1003.5712385663511</c:v>
                </c:pt>
                <c:pt idx="142">
                  <c:v>1022.0138890731972</c:v>
                </c:pt>
                <c:pt idx="143">
                  <c:v>1040.4499849691574</c:v>
                </c:pt>
                <c:pt idx="144">
                  <c:v>1058.8796585928574</c:v>
                </c:pt>
                <c:pt idx="145">
                  <c:v>1077.3030373073673</c:v>
                </c:pt>
                <c:pt idx="146">
                  <c:v>1095.720243770859</c:v>
                </c:pt>
                <c:pt idx="147">
                  <c:v>1114.131396188156</c:v>
                </c:pt>
                <c:pt idx="148">
                  <c:v>1132.5366085448115</c:v>
                </c:pt>
                <c:pt idx="149">
                  <c:v>1150.9359908252056</c:v>
                </c:pt>
                <c:pt idx="150">
                  <c:v>1169.3296492159946</c:v>
                </c:pt>
                <c:pt idx="151">
                  <c:v>737.66945513669043</c:v>
                </c:pt>
                <c:pt idx="152">
                  <c:v>749.67591053147555</c:v>
                </c:pt>
                <c:pt idx="153">
                  <c:v>761.67845816431088</c:v>
                </c:pt>
                <c:pt idx="154">
                  <c:v>499.13320681266038</c:v>
                </c:pt>
                <c:pt idx="155">
                  <c:v>505.99986737733298</c:v>
                </c:pt>
                <c:pt idx="156">
                  <c:v>512.86455784390694</c:v>
                </c:pt>
                <c:pt idx="157">
                  <c:v>349.03849017418474</c:v>
                </c:pt>
                <c:pt idx="158">
                  <c:v>353.05528052164351</c:v>
                </c:pt>
                <c:pt idx="159">
                  <c:v>357.0710692774166</c:v>
                </c:pt>
                <c:pt idx="160">
                  <c:v>9.8479201135599071E-12</c:v>
                </c:pt>
                <c:pt idx="161">
                  <c:v>9.8479201135599071E-12</c:v>
                </c:pt>
                <c:pt idx="162">
                  <c:v>9.8479201135599071E-12</c:v>
                </c:pt>
                <c:pt idx="163">
                  <c:v>9.8479201135599071E-12</c:v>
                </c:pt>
                <c:pt idx="164">
                  <c:v>9.8479201135599071E-12</c:v>
                </c:pt>
                <c:pt idx="165">
                  <c:v>9.8479201135599071E-12</c:v>
                </c:pt>
                <c:pt idx="166">
                  <c:v>9.8479201135599071E-12</c:v>
                </c:pt>
                <c:pt idx="167">
                  <c:v>9.8479201135599071E-12</c:v>
                </c:pt>
                <c:pt idx="168">
                  <c:v>9.8479201135599071E-12</c:v>
                </c:pt>
                <c:pt idx="169">
                  <c:v>9.8479201135599071E-12</c:v>
                </c:pt>
                <c:pt idx="170">
                  <c:v>9.8479201135599071E-12</c:v>
                </c:pt>
                <c:pt idx="171">
                  <c:v>9.8479201135599071E-12</c:v>
                </c:pt>
                <c:pt idx="172">
                  <c:v>9.8479201135599071E-12</c:v>
                </c:pt>
                <c:pt idx="173">
                  <c:v>9.8479201135599071E-12</c:v>
                </c:pt>
                <c:pt idx="174">
                  <c:v>9.8479201135599071E-12</c:v>
                </c:pt>
                <c:pt idx="175">
                  <c:v>9.8479201135599071E-12</c:v>
                </c:pt>
                <c:pt idx="176">
                  <c:v>9.8479201135599071E-12</c:v>
                </c:pt>
                <c:pt idx="177">
                  <c:v>9.8479201135599071E-12</c:v>
                </c:pt>
                <c:pt idx="178">
                  <c:v>9.8479201135599071E-12</c:v>
                </c:pt>
                <c:pt idx="179">
                  <c:v>9.8479201135599071E-12</c:v>
                </c:pt>
                <c:pt idx="180">
                  <c:v>9.8479201135599071E-12</c:v>
                </c:pt>
                <c:pt idx="181">
                  <c:v>9.8479201135599071E-12</c:v>
                </c:pt>
                <c:pt idx="182">
                  <c:v>9.8479201135599071E-12</c:v>
                </c:pt>
                <c:pt idx="183">
                  <c:v>9.8479201135599071E-12</c:v>
                </c:pt>
                <c:pt idx="184">
                  <c:v>9.8479201135599071E-12</c:v>
                </c:pt>
                <c:pt idx="185">
                  <c:v>9.8479201135599071E-12</c:v>
                </c:pt>
                <c:pt idx="186">
                  <c:v>9.8479201135599071E-12</c:v>
                </c:pt>
                <c:pt idx="187">
                  <c:v>9.8479201135599071E-12</c:v>
                </c:pt>
                <c:pt idx="188">
                  <c:v>9.8479201135599071E-12</c:v>
                </c:pt>
                <c:pt idx="189">
                  <c:v>9.8479201135599071E-12</c:v>
                </c:pt>
                <c:pt idx="190">
                  <c:v>9.8479201135599071E-12</c:v>
                </c:pt>
                <c:pt idx="191">
                  <c:v>9.8479201135599071E-12</c:v>
                </c:pt>
                <c:pt idx="192">
                  <c:v>9.8479201135599071E-12</c:v>
                </c:pt>
                <c:pt idx="193">
                  <c:v>9.8479201135599071E-12</c:v>
                </c:pt>
                <c:pt idx="194">
                  <c:v>9.8479201135599071E-12</c:v>
                </c:pt>
                <c:pt idx="195">
                  <c:v>9.8479201135599071E-12</c:v>
                </c:pt>
                <c:pt idx="196">
                  <c:v>9.8479201135599071E-12</c:v>
                </c:pt>
                <c:pt idx="197">
                  <c:v>9.8479201135599071E-12</c:v>
                </c:pt>
                <c:pt idx="198">
                  <c:v>9.8479201135599071E-12</c:v>
                </c:pt>
                <c:pt idx="199">
                  <c:v>9.8479201135599071E-12</c:v>
                </c:pt>
                <c:pt idx="200">
                  <c:v>9.8479201135599071E-12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2.8920024060288707</c:v>
                </c:pt>
                <c:pt idx="2">
                  <c:v>3.744902871782601</c:v>
                </c:pt>
                <c:pt idx="3">
                  <c:v>4.8503400139217296</c:v>
                </c:pt>
                <c:pt idx="4">
                  <c:v>6.2833670010211975</c:v>
                </c:pt>
                <c:pt idx="5">
                  <c:v>8.1414200695333765</c:v>
                </c:pt>
                <c:pt idx="6">
                  <c:v>10.551015239717929</c:v>
                </c:pt>
                <c:pt idx="7">
                  <c:v>13.676454503604068</c:v>
                </c:pt>
                <c:pt idx="8">
                  <c:v>17.731146085408145</c:v>
                </c:pt>
                <c:pt idx="9">
                  <c:v>22.992325728241884</c:v>
                </c:pt>
                <c:pt idx="10">
                  <c:v>29.820203435233307</c:v>
                </c:pt>
                <c:pt idx="11">
                  <c:v>38.682869383054083</c:v>
                </c:pt>
                <c:pt idx="12">
                  <c:v>50.188695591403253</c:v>
                </c:pt>
                <c:pt idx="13">
                  <c:v>65.128494738066095</c:v>
                </c:pt>
                <c:pt idx="14">
                  <c:v>84.530381233106766</c:v>
                </c:pt>
                <c:pt idx="15">
                  <c:v>109.73117051644375</c:v>
                </c:pt>
                <c:pt idx="16">
                  <c:v>101.37473467233379</c:v>
                </c:pt>
                <c:pt idx="17">
                  <c:v>118.8100213873942</c:v>
                </c:pt>
                <c:pt idx="18">
                  <c:v>136.18281550963394</c:v>
                </c:pt>
                <c:pt idx="19">
                  <c:v>153.50222540626723</c:v>
                </c:pt>
                <c:pt idx="20">
                  <c:v>170.77512870736302</c:v>
                </c:pt>
                <c:pt idx="21">
                  <c:v>135.21087413056475</c:v>
                </c:pt>
                <c:pt idx="22">
                  <c:v>152.04654658317713</c:v>
                </c:pt>
                <c:pt idx="23">
                  <c:v>168.83781387718656</c:v>
                </c:pt>
                <c:pt idx="24">
                  <c:v>185.58971687695316</c:v>
                </c:pt>
                <c:pt idx="25">
                  <c:v>202.30631044316223</c:v>
                </c:pt>
                <c:pt idx="26">
                  <c:v>164.69603216780061</c:v>
                </c:pt>
                <c:pt idx="27">
                  <c:v>180.48814224122847</c:v>
                </c:pt>
                <c:pt idx="28">
                  <c:v>196.24789870687584</c:v>
                </c:pt>
                <c:pt idx="29">
                  <c:v>211.9782664526083</c:v>
                </c:pt>
                <c:pt idx="30">
                  <c:v>227.68173393241034</c:v>
                </c:pt>
                <c:pt idx="31">
                  <c:v>189.21710168243249</c:v>
                </c:pt>
                <c:pt idx="32">
                  <c:v>203.99390376876468</c:v>
                </c:pt>
                <c:pt idx="33">
                  <c:v>218.74594580323603</c:v>
                </c:pt>
                <c:pt idx="34">
                  <c:v>233.47513320283042</c:v>
                </c:pt>
                <c:pt idx="35">
                  <c:v>248.18311116489954</c:v>
                </c:pt>
                <c:pt idx="36">
                  <c:v>210.53737642476096</c:v>
                </c:pt>
                <c:pt idx="37">
                  <c:v>223.58404331076659</c:v>
                </c:pt>
                <c:pt idx="38">
                  <c:v>236.61325906927672</c:v>
                </c:pt>
                <c:pt idx="39">
                  <c:v>249.62612041333998</c:v>
                </c:pt>
                <c:pt idx="40">
                  <c:v>262.62360030465476</c:v>
                </c:pt>
                <c:pt idx="41">
                  <c:v>227.44074037417741</c:v>
                </c:pt>
                <c:pt idx="42">
                  <c:v>239.26148933626868</c:v>
                </c:pt>
                <c:pt idx="43">
                  <c:v>251.06894042065971</c:v>
                </c:pt>
                <c:pt idx="44">
                  <c:v>262.86380745910435</c:v>
                </c:pt>
                <c:pt idx="45">
                  <c:v>274.64673495114693</c:v>
                </c:pt>
                <c:pt idx="46">
                  <c:v>241.90905189999441</c:v>
                </c:pt>
                <c:pt idx="47">
                  <c:v>252.51157243086266</c:v>
                </c:pt>
                <c:pt idx="48">
                  <c:v>263.10400965869621</c:v>
                </c:pt>
                <c:pt idx="49">
                  <c:v>273.68682702125011</c:v>
                </c:pt>
                <c:pt idx="50">
                  <c:v>284.26044916417317</c:v>
                </c:pt>
                <c:pt idx="51">
                  <c:v>253.9652860439339</c:v>
                </c:pt>
                <c:pt idx="52">
                  <c:v>263.34795995138978</c:v>
                </c:pt>
                <c:pt idx="53">
                  <c:v>272.72309330526878</c:v>
                </c:pt>
                <c:pt idx="54">
                  <c:v>282.09098208136106</c:v>
                </c:pt>
                <c:pt idx="55">
                  <c:v>291.45190097608696</c:v>
                </c:pt>
                <c:pt idx="56">
                  <c:v>264.78153417140743</c:v>
                </c:pt>
                <c:pt idx="57">
                  <c:v>272.95934638899382</c:v>
                </c:pt>
                <c:pt idx="58">
                  <c:v>281.13165131853179</c:v>
                </c:pt>
                <c:pt idx="59">
                  <c:v>289.29863179153642</c:v>
                </c:pt>
                <c:pt idx="60">
                  <c:v>297.46045946386988</c:v>
                </c:pt>
                <c:pt idx="61">
                  <c:v>273.43933849608146</c:v>
                </c:pt>
                <c:pt idx="62">
                  <c:v>280.64821075245106</c:v>
                </c:pt>
                <c:pt idx="63">
                  <c:v>287.8529319453005</c:v>
                </c:pt>
                <c:pt idx="64">
                  <c:v>295.05362074748808</c:v>
                </c:pt>
                <c:pt idx="65">
                  <c:v>302.25038956021211</c:v>
                </c:pt>
                <c:pt idx="66">
                  <c:v>280.89555476854497</c:v>
                </c:pt>
                <c:pt idx="67">
                  <c:v>287.14125842767737</c:v>
                </c:pt>
                <c:pt idx="68">
                  <c:v>293.38392336234824</c:v>
                </c:pt>
                <c:pt idx="69">
                  <c:v>299.62362343781558</c:v>
                </c:pt>
                <c:pt idx="70">
                  <c:v>305.86042918781061</c:v>
                </c:pt>
                <c:pt idx="71">
                  <c:v>2.7736540643801645E-12</c:v>
                </c:pt>
                <c:pt idx="72">
                  <c:v>2.7736540643801645E-12</c:v>
                </c:pt>
                <c:pt idx="73">
                  <c:v>2.7736540643801645E-12</c:v>
                </c:pt>
                <c:pt idx="74">
                  <c:v>2.7736540643801645E-12</c:v>
                </c:pt>
                <c:pt idx="75">
                  <c:v>2.7736540643801645E-12</c:v>
                </c:pt>
                <c:pt idx="76">
                  <c:v>2.7736540643801645E-12</c:v>
                </c:pt>
                <c:pt idx="77">
                  <c:v>2.7736540643801645E-12</c:v>
                </c:pt>
                <c:pt idx="78">
                  <c:v>2.7736540643801645E-12</c:v>
                </c:pt>
                <c:pt idx="79">
                  <c:v>2.7736540643801645E-12</c:v>
                </c:pt>
                <c:pt idx="80">
                  <c:v>2.7736540643801645E-12</c:v>
                </c:pt>
                <c:pt idx="81">
                  <c:v>2.7736540643801645E-12</c:v>
                </c:pt>
                <c:pt idx="82">
                  <c:v>2.7736540643801645E-12</c:v>
                </c:pt>
                <c:pt idx="83">
                  <c:v>2.7736540643801645E-12</c:v>
                </c:pt>
                <c:pt idx="84">
                  <c:v>2.7736540643801645E-12</c:v>
                </c:pt>
                <c:pt idx="85">
                  <c:v>2.7736540643801645E-12</c:v>
                </c:pt>
                <c:pt idx="86">
                  <c:v>2.7736540643801645E-12</c:v>
                </c:pt>
                <c:pt idx="87">
                  <c:v>2.7736540643801645E-12</c:v>
                </c:pt>
                <c:pt idx="88">
                  <c:v>2.7736540643801645E-12</c:v>
                </c:pt>
                <c:pt idx="89">
                  <c:v>2.7736540643801645E-12</c:v>
                </c:pt>
                <c:pt idx="90">
                  <c:v>2.7736540643801645E-12</c:v>
                </c:pt>
                <c:pt idx="91">
                  <c:v>2.7736540643801645E-12</c:v>
                </c:pt>
                <c:pt idx="92">
                  <c:v>2.7736540643801645E-12</c:v>
                </c:pt>
                <c:pt idx="93">
                  <c:v>2.7736540643801645E-12</c:v>
                </c:pt>
                <c:pt idx="94">
                  <c:v>2.7736540643801645E-12</c:v>
                </c:pt>
                <c:pt idx="95">
                  <c:v>2.7736540643801645E-12</c:v>
                </c:pt>
                <c:pt idx="96">
                  <c:v>2.7736540643801645E-12</c:v>
                </c:pt>
                <c:pt idx="97">
                  <c:v>2.7736540643801645E-12</c:v>
                </c:pt>
                <c:pt idx="98">
                  <c:v>2.7736540643801645E-12</c:v>
                </c:pt>
                <c:pt idx="99">
                  <c:v>2.7736540643801645E-12</c:v>
                </c:pt>
                <c:pt idx="100">
                  <c:v>2.7736540643801645E-12</c:v>
                </c:pt>
                <c:pt idx="101">
                  <c:v>2.7736540643801645E-12</c:v>
                </c:pt>
                <c:pt idx="102">
                  <c:v>2.7736540643801645E-12</c:v>
                </c:pt>
                <c:pt idx="103">
                  <c:v>2.7736540643801645E-12</c:v>
                </c:pt>
                <c:pt idx="104">
                  <c:v>2.7736540643801645E-12</c:v>
                </c:pt>
                <c:pt idx="105">
                  <c:v>2.7736540643801645E-12</c:v>
                </c:pt>
                <c:pt idx="106">
                  <c:v>2.7736540643801645E-12</c:v>
                </c:pt>
                <c:pt idx="107">
                  <c:v>2.7736540643801645E-12</c:v>
                </c:pt>
                <c:pt idx="108">
                  <c:v>2.7736540643801645E-12</c:v>
                </c:pt>
                <c:pt idx="109">
                  <c:v>2.7736540643801645E-12</c:v>
                </c:pt>
                <c:pt idx="110">
                  <c:v>2.7736540643801645E-12</c:v>
                </c:pt>
                <c:pt idx="111">
                  <c:v>2.7736540643801645E-12</c:v>
                </c:pt>
                <c:pt idx="112">
                  <c:v>2.7736540643801645E-12</c:v>
                </c:pt>
                <c:pt idx="113">
                  <c:v>2.7736540643801645E-12</c:v>
                </c:pt>
                <c:pt idx="114">
                  <c:v>2.7736540643801645E-12</c:v>
                </c:pt>
                <c:pt idx="115">
                  <c:v>2.7736540643801645E-12</c:v>
                </c:pt>
                <c:pt idx="116">
                  <c:v>2.7736540643801645E-12</c:v>
                </c:pt>
                <c:pt idx="117">
                  <c:v>2.7736540643801645E-12</c:v>
                </c:pt>
                <c:pt idx="118">
                  <c:v>2.7736540643801645E-12</c:v>
                </c:pt>
                <c:pt idx="119">
                  <c:v>2.7736540643801645E-12</c:v>
                </c:pt>
                <c:pt idx="120">
                  <c:v>2.7736540643801645E-12</c:v>
                </c:pt>
                <c:pt idx="121">
                  <c:v>2.7736540643801645E-12</c:v>
                </c:pt>
                <c:pt idx="122">
                  <c:v>2.7736540643801645E-12</c:v>
                </c:pt>
                <c:pt idx="123">
                  <c:v>2.7736540643801645E-12</c:v>
                </c:pt>
                <c:pt idx="124">
                  <c:v>2.7736540643801645E-12</c:v>
                </c:pt>
                <c:pt idx="125">
                  <c:v>2.7736540643801645E-12</c:v>
                </c:pt>
                <c:pt idx="126">
                  <c:v>2.7736540643801645E-12</c:v>
                </c:pt>
                <c:pt idx="127">
                  <c:v>2.7736540643801645E-12</c:v>
                </c:pt>
                <c:pt idx="128">
                  <c:v>2.7736540643801645E-12</c:v>
                </c:pt>
                <c:pt idx="129">
                  <c:v>2.7736540643801645E-12</c:v>
                </c:pt>
                <c:pt idx="130">
                  <c:v>2.7736540643801645E-12</c:v>
                </c:pt>
                <c:pt idx="131">
                  <c:v>2.7736540643801645E-12</c:v>
                </c:pt>
                <c:pt idx="132">
                  <c:v>2.7736540643801645E-12</c:v>
                </c:pt>
                <c:pt idx="133">
                  <c:v>2.7736540643801645E-12</c:v>
                </c:pt>
                <c:pt idx="134">
                  <c:v>2.7736540643801645E-12</c:v>
                </c:pt>
                <c:pt idx="135">
                  <c:v>2.7736540643801645E-12</c:v>
                </c:pt>
                <c:pt idx="136">
                  <c:v>2.7736540643801645E-12</c:v>
                </c:pt>
                <c:pt idx="137">
                  <c:v>2.7736540643801645E-12</c:v>
                </c:pt>
                <c:pt idx="138">
                  <c:v>2.7736540643801645E-12</c:v>
                </c:pt>
                <c:pt idx="139">
                  <c:v>2.7736540643801645E-12</c:v>
                </c:pt>
                <c:pt idx="140">
                  <c:v>2.7736540643801645E-12</c:v>
                </c:pt>
                <c:pt idx="141">
                  <c:v>2.7736540643801645E-12</c:v>
                </c:pt>
                <c:pt idx="142">
                  <c:v>2.7736540643801645E-12</c:v>
                </c:pt>
                <c:pt idx="143">
                  <c:v>2.7736540643801645E-12</c:v>
                </c:pt>
                <c:pt idx="144">
                  <c:v>2.7736540643801645E-12</c:v>
                </c:pt>
                <c:pt idx="145">
                  <c:v>2.7736540643801645E-12</c:v>
                </c:pt>
                <c:pt idx="146">
                  <c:v>2.7736540643801645E-12</c:v>
                </c:pt>
                <c:pt idx="147">
                  <c:v>2.7736540643801645E-12</c:v>
                </c:pt>
                <c:pt idx="148">
                  <c:v>2.7736540643801645E-12</c:v>
                </c:pt>
                <c:pt idx="149">
                  <c:v>2.7736540643801645E-12</c:v>
                </c:pt>
                <c:pt idx="150">
                  <c:v>2.7736540643801645E-12</c:v>
                </c:pt>
                <c:pt idx="151">
                  <c:v>2.7736540643801645E-12</c:v>
                </c:pt>
                <c:pt idx="152">
                  <c:v>2.7736540643801645E-12</c:v>
                </c:pt>
                <c:pt idx="153">
                  <c:v>2.7736540643801645E-12</c:v>
                </c:pt>
                <c:pt idx="154">
                  <c:v>2.7736540643801645E-12</c:v>
                </c:pt>
                <c:pt idx="155">
                  <c:v>2.7736540643801645E-12</c:v>
                </c:pt>
                <c:pt idx="156">
                  <c:v>2.7736540643801645E-12</c:v>
                </c:pt>
                <c:pt idx="157">
                  <c:v>2.7736540643801645E-12</c:v>
                </c:pt>
                <c:pt idx="158">
                  <c:v>2.7736540643801645E-12</c:v>
                </c:pt>
                <c:pt idx="159">
                  <c:v>2.7736540643801645E-12</c:v>
                </c:pt>
                <c:pt idx="160">
                  <c:v>2.7736540643801645E-12</c:v>
                </c:pt>
                <c:pt idx="161">
                  <c:v>2.7736540643801645E-12</c:v>
                </c:pt>
                <c:pt idx="162">
                  <c:v>2.7736540643801645E-12</c:v>
                </c:pt>
                <c:pt idx="163">
                  <c:v>2.7736540643801645E-12</c:v>
                </c:pt>
                <c:pt idx="164">
                  <c:v>2.7736540643801645E-12</c:v>
                </c:pt>
                <c:pt idx="165">
                  <c:v>2.7736540643801645E-12</c:v>
                </c:pt>
                <c:pt idx="166">
                  <c:v>2.7736540643801645E-12</c:v>
                </c:pt>
                <c:pt idx="167">
                  <c:v>2.7736540643801645E-12</c:v>
                </c:pt>
                <c:pt idx="168">
                  <c:v>2.7736540643801645E-12</c:v>
                </c:pt>
                <c:pt idx="169">
                  <c:v>2.7736540643801645E-12</c:v>
                </c:pt>
                <c:pt idx="170">
                  <c:v>2.7736540643801645E-12</c:v>
                </c:pt>
                <c:pt idx="171">
                  <c:v>2.7736540643801645E-12</c:v>
                </c:pt>
                <c:pt idx="172">
                  <c:v>2.7736540643801645E-12</c:v>
                </c:pt>
                <c:pt idx="173">
                  <c:v>2.7736540643801645E-12</c:v>
                </c:pt>
                <c:pt idx="174">
                  <c:v>2.7736540643801645E-12</c:v>
                </c:pt>
                <c:pt idx="175">
                  <c:v>2.7736540643801645E-12</c:v>
                </c:pt>
                <c:pt idx="176">
                  <c:v>2.7736540643801645E-12</c:v>
                </c:pt>
                <c:pt idx="177">
                  <c:v>2.7736540643801645E-12</c:v>
                </c:pt>
                <c:pt idx="178">
                  <c:v>2.7736540643801645E-12</c:v>
                </c:pt>
                <c:pt idx="179">
                  <c:v>2.7736540643801645E-12</c:v>
                </c:pt>
                <c:pt idx="180">
                  <c:v>2.7736540643801645E-12</c:v>
                </c:pt>
                <c:pt idx="181">
                  <c:v>2.7736540643801645E-12</c:v>
                </c:pt>
                <c:pt idx="182">
                  <c:v>2.7736540643801645E-12</c:v>
                </c:pt>
                <c:pt idx="183">
                  <c:v>2.7736540643801645E-12</c:v>
                </c:pt>
                <c:pt idx="184">
                  <c:v>2.7736540643801645E-12</c:v>
                </c:pt>
                <c:pt idx="185">
                  <c:v>2.7736540643801645E-12</c:v>
                </c:pt>
                <c:pt idx="186">
                  <c:v>2.7736540643801645E-12</c:v>
                </c:pt>
                <c:pt idx="187">
                  <c:v>2.7736540643801645E-12</c:v>
                </c:pt>
                <c:pt idx="188">
                  <c:v>2.7736540643801645E-12</c:v>
                </c:pt>
                <c:pt idx="189">
                  <c:v>2.7736540643801645E-12</c:v>
                </c:pt>
                <c:pt idx="190">
                  <c:v>2.7736540643801645E-12</c:v>
                </c:pt>
                <c:pt idx="191">
                  <c:v>2.7736540643801645E-12</c:v>
                </c:pt>
                <c:pt idx="192">
                  <c:v>2.7736540643801645E-12</c:v>
                </c:pt>
                <c:pt idx="193">
                  <c:v>2.7736540643801645E-12</c:v>
                </c:pt>
                <c:pt idx="194">
                  <c:v>2.7736540643801645E-12</c:v>
                </c:pt>
                <c:pt idx="195">
                  <c:v>2.7736540643801645E-12</c:v>
                </c:pt>
                <c:pt idx="196">
                  <c:v>2.7736540643801645E-12</c:v>
                </c:pt>
                <c:pt idx="197">
                  <c:v>2.7736540643801645E-12</c:v>
                </c:pt>
                <c:pt idx="198">
                  <c:v>2.7736540643801645E-12</c:v>
                </c:pt>
                <c:pt idx="199">
                  <c:v>2.7736540643801645E-12</c:v>
                </c:pt>
                <c:pt idx="200">
                  <c:v>2.7736540643801645E-12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10.918449180061421</c:v>
                </c:pt>
                <c:pt idx="2">
                  <c:v>21.364952047174224</c:v>
                </c:pt>
                <c:pt idx="3">
                  <c:v>31.659039945427555</c:v>
                </c:pt>
                <c:pt idx="4">
                  <c:v>41.859175710570817</c:v>
                </c:pt>
                <c:pt idx="5">
                  <c:v>51.991856616304062</c:v>
                </c:pt>
                <c:pt idx="6">
                  <c:v>62.07219781383791</c:v>
                </c:pt>
                <c:pt idx="7">
                  <c:v>72.109943456722007</c:v>
                </c:pt>
                <c:pt idx="8">
                  <c:v>82.111880732602629</c:v>
                </c:pt>
                <c:pt idx="9">
                  <c:v>92.08299831073974</c:v>
                </c:pt>
                <c:pt idx="10">
                  <c:v>102.02711123146169</c:v>
                </c:pt>
                <c:pt idx="11">
                  <c:v>111.94722737379358</c:v>
                </c:pt>
                <c:pt idx="12">
                  <c:v>121.8457763620204</c:v>
                </c:pt>
                <c:pt idx="13">
                  <c:v>131.72475979180828</c:v>
                </c:pt>
                <c:pt idx="14">
                  <c:v>141.58585382818026</c:v>
                </c:pt>
                <c:pt idx="15">
                  <c:v>151.43048161552545</c:v>
                </c:pt>
                <c:pt idx="16">
                  <c:v>161.25986581046794</c:v>
                </c:pt>
                <c:pt idx="17">
                  <c:v>171.07506759945684</c:v>
                </c:pt>
                <c:pt idx="18">
                  <c:v>180.8770162708654</c:v>
                </c:pt>
                <c:pt idx="19">
                  <c:v>190.66653202711123</c:v>
                </c:pt>
                <c:pt idx="20">
                  <c:v>200.44434385721888</c:v>
                </c:pt>
                <c:pt idx="21">
                  <c:v>210.21110373328807</c:v>
                </c:pt>
                <c:pt idx="22">
                  <c:v>219.96739802625737</c:v>
                </c:pt>
                <c:pt idx="23">
                  <c:v>229.71375678740137</c:v>
                </c:pt>
                <c:pt idx="24">
                  <c:v>239.45066137010801</c:v>
                </c:pt>
                <c:pt idx="25">
                  <c:v>249.17855074556482</c:v>
                </c:pt>
                <c:pt idx="26">
                  <c:v>258.89782677949057</c:v>
                </c:pt>
                <c:pt idx="27">
                  <c:v>268.60885867422843</c:v>
                </c:pt>
                <c:pt idx="28">
                  <c:v>278.31198673425166</c:v>
                </c:pt>
                <c:pt idx="29">
                  <c:v>288.00752557862205</c:v>
                </c:pt>
                <c:pt idx="30">
                  <c:v>297.69576689790392</c:v>
                </c:pt>
                <c:pt idx="31">
                  <c:v>307.37698183316212</c:v>
                </c:pt>
                <c:pt idx="32">
                  <c:v>317.0514230393706</c:v>
                </c:pt>
                <c:pt idx="33">
                  <c:v>326.71932648364736</c:v>
                </c:pt>
                <c:pt idx="34">
                  <c:v>336.38091301940051</c:v>
                </c:pt>
                <c:pt idx="35">
                  <c:v>346.0363897700733</c:v>
                </c:pt>
                <c:pt idx="36">
                  <c:v>355.68595135030409</c:v>
                </c:pt>
                <c:pt idx="37">
                  <c:v>365.32978094758704</c:v>
                </c:pt>
                <c:pt idx="38">
                  <c:v>374.96805128370715</c:v>
                </c:pt>
                <c:pt idx="39">
                  <c:v>384.60092547212565</c:v>
                </c:pt>
                <c:pt idx="40">
                  <c:v>394.22855778495364</c:v>
                </c:pt>
                <c:pt idx="41">
                  <c:v>403.85109434106926</c:v>
                </c:pt>
                <c:pt idx="42">
                  <c:v>413.46867372521183</c:v>
                </c:pt>
                <c:pt idx="43">
                  <c:v>294.38967128124443</c:v>
                </c:pt>
                <c:pt idx="44">
                  <c:v>319.36905682750916</c:v>
                </c:pt>
                <c:pt idx="45">
                  <c:v>344.30520579036329</c:v>
                </c:pt>
                <c:pt idx="46">
                  <c:v>369.20168740418211</c:v>
                </c:pt>
                <c:pt idx="47">
                  <c:v>394.06155040631393</c:v>
                </c:pt>
                <c:pt idx="48">
                  <c:v>418.88742766824794</c:v>
                </c:pt>
                <c:pt idx="49">
                  <c:v>346.96144177656078</c:v>
                </c:pt>
                <c:pt idx="50">
                  <c:v>371.79901326909743</c:v>
                </c:pt>
                <c:pt idx="51">
                  <c:v>396.60041919548513</c:v>
                </c:pt>
                <c:pt idx="52">
                  <c:v>421.36823713052269</c:v>
                </c:pt>
                <c:pt idx="53">
                  <c:v>446.10471710154548</c:v>
                </c:pt>
                <c:pt idx="54">
                  <c:v>470.81183943631805</c:v>
                </c:pt>
                <c:pt idx="55">
                  <c:v>388.65994381522802</c:v>
                </c:pt>
                <c:pt idx="56">
                  <c:v>412.2217185161166</c:v>
                </c:pt>
                <c:pt idx="57">
                  <c:v>435.75444014795767</c:v>
                </c:pt>
                <c:pt idx="58">
                  <c:v>459.25989696525107</c:v>
                </c:pt>
                <c:pt idx="59">
                  <c:v>482.73967937834703</c:v>
                </c:pt>
                <c:pt idx="60">
                  <c:v>506.19521059503933</c:v>
                </c:pt>
                <c:pt idx="61">
                  <c:v>529.62777128833466</c:v>
                </c:pt>
                <c:pt idx="62">
                  <c:v>553.0385196729593</c:v>
                </c:pt>
                <c:pt idx="63">
                  <c:v>576.42850800708823</c:v>
                </c:pt>
                <c:pt idx="64">
                  <c:v>449.66497238277861</c:v>
                </c:pt>
                <c:pt idx="65">
                  <c:v>471.39210727321182</c:v>
                </c:pt>
                <c:pt idx="66">
                  <c:v>493.09792562830262</c:v>
                </c:pt>
                <c:pt idx="67">
                  <c:v>514.78349699642456</c:v>
                </c:pt>
                <c:pt idx="68">
                  <c:v>536.44979354015823</c:v>
                </c:pt>
                <c:pt idx="69">
                  <c:v>558.09770255813771</c:v>
                </c:pt>
                <c:pt idx="70">
                  <c:v>579.72803696396841</c:v>
                </c:pt>
                <c:pt idx="71">
                  <c:v>601.34154412078067</c:v>
                </c:pt>
                <c:pt idx="72">
                  <c:v>622.9389133404328</c:v>
                </c:pt>
                <c:pt idx="73">
                  <c:v>495.8528783536355</c:v>
                </c:pt>
                <c:pt idx="74">
                  <c:v>515.20122792569805</c:v>
                </c:pt>
                <c:pt idx="75">
                  <c:v>534.5342468841053</c:v>
                </c:pt>
                <c:pt idx="76">
                  <c:v>553.8525673340165</c:v>
                </c:pt>
                <c:pt idx="77">
                  <c:v>573.15677372289827</c:v>
                </c:pt>
                <c:pt idx="78">
                  <c:v>592.44740795040377</c:v>
                </c:pt>
                <c:pt idx="79">
                  <c:v>611.72497377850868</c:v>
                </c:pt>
                <c:pt idx="80">
                  <c:v>630.9899406571933</c:v>
                </c:pt>
                <c:pt idx="81">
                  <c:v>650.24274705894879</c:v>
                </c:pt>
                <c:pt idx="82">
                  <c:v>531.4690716746685</c:v>
                </c:pt>
                <c:pt idx="83">
                  <c:v>548.6656051398005</c:v>
                </c:pt>
                <c:pt idx="84">
                  <c:v>565.85083795611445</c:v>
                </c:pt>
                <c:pt idx="85">
                  <c:v>583.0251614375851</c:v>
                </c:pt>
                <c:pt idx="86">
                  <c:v>600.18894197973407</c:v>
                </c:pt>
                <c:pt idx="87">
                  <c:v>617.34252332822064</c:v>
                </c:pt>
                <c:pt idx="88">
                  <c:v>634.48622858233398</c:v>
                </c:pt>
                <c:pt idx="89">
                  <c:v>651.62036197083319</c:v>
                </c:pt>
                <c:pt idx="90">
                  <c:v>668.74521043142829</c:v>
                </c:pt>
                <c:pt idx="91">
                  <c:v>558.44421428211717</c:v>
                </c:pt>
                <c:pt idx="92">
                  <c:v>573.68430426863085</c:v>
                </c:pt>
                <c:pt idx="93">
                  <c:v>588.91594325385938</c:v>
                </c:pt>
                <c:pt idx="94">
                  <c:v>604.13938048496186</c:v>
                </c:pt>
                <c:pt idx="95">
                  <c:v>619.35485163062151</c:v>
                </c:pt>
                <c:pt idx="96">
                  <c:v>634.56257984306558</c:v>
                </c:pt>
                <c:pt idx="97">
                  <c:v>649.76277671304149</c:v>
                </c:pt>
                <c:pt idx="98">
                  <c:v>664.95564313084458</c:v>
                </c:pt>
                <c:pt idx="99">
                  <c:v>680.1413700646134</c:v>
                </c:pt>
                <c:pt idx="100">
                  <c:v>565.70129547424835</c:v>
                </c:pt>
                <c:pt idx="101">
                  <c:v>579.02246601158447</c:v>
                </c:pt>
                <c:pt idx="102">
                  <c:v>592.33724496145044</c:v>
                </c:pt>
                <c:pt idx="103">
                  <c:v>605.64579618451</c:v>
                </c:pt>
                <c:pt idx="104">
                  <c:v>618.94827575581724</c:v>
                </c:pt>
                <c:pt idx="105">
                  <c:v>632.24483249760681</c:v>
                </c:pt>
                <c:pt idx="106">
                  <c:v>645.53560846495691</c:v>
                </c:pt>
                <c:pt idx="107">
                  <c:v>658.82073938939459</c:v>
                </c:pt>
                <c:pt idx="108">
                  <c:v>672.10035508488284</c:v>
                </c:pt>
                <c:pt idx="109">
                  <c:v>685.3745798200672</c:v>
                </c:pt>
                <c:pt idx="110">
                  <c:v>698.6435326602051</c:v>
                </c:pt>
                <c:pt idx="111">
                  <c:v>711.90732778178278</c:v>
                </c:pt>
                <c:pt idx="112">
                  <c:v>466.72082100693643</c:v>
                </c:pt>
                <c:pt idx="113">
                  <c:v>477.53271748484741</c:v>
                </c:pt>
                <c:pt idx="114">
                  <c:v>488.33940908695422</c:v>
                </c:pt>
                <c:pt idx="115">
                  <c:v>499.14102723745259</c:v>
                </c:pt>
                <c:pt idx="116">
                  <c:v>509.93769720822667</c:v>
                </c:pt>
                <c:pt idx="117">
                  <c:v>345.48133250216216</c:v>
                </c:pt>
                <c:pt idx="118">
                  <c:v>354.01937373070217</c:v>
                </c:pt>
                <c:pt idx="119">
                  <c:v>362.55290404754896</c:v>
                </c:pt>
                <c:pt idx="120">
                  <c:v>371.08204467225778</c:v>
                </c:pt>
                <c:pt idx="121">
                  <c:v>379.60691079369786</c:v>
                </c:pt>
                <c:pt idx="122">
                  <c:v>227.68257444101286</c:v>
                </c:pt>
                <c:pt idx="123">
                  <c:v>233.73661309514625</c:v>
                </c:pt>
                <c:pt idx="124">
                  <c:v>239.78707233732811</c:v>
                </c:pt>
                <c:pt idx="125">
                  <c:v>245.83405537221083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80" zoomScaleNormal="80" workbookViewId="0">
      <selection activeCell="B12" sqref="B12:M1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3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3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3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3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3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3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3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3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3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3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3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3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3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3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3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3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3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3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5" zoomScale="80" zoomScaleNormal="80" workbookViewId="0">
      <selection activeCell="G17" sqref="G17"/>
    </sheetView>
  </sheetViews>
  <sheetFormatPr baseColWidth="10" defaultColWidth="11.453125" defaultRowHeight="14.5" x14ac:dyDescent="0.35"/>
  <cols>
    <col min="1" max="1" width="13.63281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7" t="s">
        <v>231</v>
      </c>
      <c r="B5" s="267"/>
      <c r="C5" s="24">
        <v>8.6199999999999992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0.17399999999999999</v>
      </c>
      <c r="D9" s="33">
        <f t="shared" ref="D9:D18" si="0">C9*$C$5</f>
        <v>1.4998799999999997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164</v>
      </c>
      <c r="C10" s="32">
        <v>2.9000000000000001E-2</v>
      </c>
      <c r="D10" s="33">
        <f t="shared" si="0"/>
        <v>0.24997999999999998</v>
      </c>
      <c r="E10" s="34">
        <v>101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81</v>
      </c>
      <c r="C11" s="32">
        <v>2.9000000000000001E-2</v>
      </c>
      <c r="D11" s="33">
        <f t="shared" si="0"/>
        <v>0.24997999999999998</v>
      </c>
      <c r="E11" s="34">
        <v>42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14</v>
      </c>
      <c r="C12" s="32">
        <v>0.39069999999999999</v>
      </c>
      <c r="D12" s="33">
        <f t="shared" si="0"/>
        <v>3.3678339999999998</v>
      </c>
      <c r="E12" s="34">
        <v>159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13</v>
      </c>
      <c r="C13" s="32">
        <v>0.22869999999999999</v>
      </c>
      <c r="D13" s="33">
        <f t="shared" si="0"/>
        <v>1.9713939999999996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25</v>
      </c>
      <c r="C14" s="32">
        <v>4.3400000000000001E-2</v>
      </c>
      <c r="D14" s="33">
        <f t="shared" si="0"/>
        <v>0.374108</v>
      </c>
      <c r="E14" s="34">
        <v>125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29</v>
      </c>
      <c r="C15" s="32">
        <v>4.3400000000000001E-2</v>
      </c>
      <c r="D15" s="33">
        <f t="shared" si="0"/>
        <v>0.374108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8</v>
      </c>
      <c r="C16" s="32">
        <v>3.09E-2</v>
      </c>
      <c r="D16" s="33">
        <f t="shared" si="0"/>
        <v>0.26635799999999998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23</v>
      </c>
      <c r="C17" s="32">
        <v>3.09E-2</v>
      </c>
      <c r="D17" s="33">
        <f t="shared" si="0"/>
        <v>0.26635799999999998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8.6199999999999992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202.31</v>
      </c>
      <c r="C36" s="60">
        <v>1</v>
      </c>
      <c r="D36" s="60">
        <v>74.819999999999993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11.239444444444445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289.08999999999997</v>
      </c>
      <c r="C37" s="60">
        <v>2</v>
      </c>
      <c r="D37" s="60">
        <v>51.39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26.933333333333326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410.56</v>
      </c>
      <c r="C38" s="60">
        <v>3</v>
      </c>
      <c r="D38" s="60">
        <v>80.97</v>
      </c>
      <c r="E38" s="51">
        <v>0.2</v>
      </c>
      <c r="F38" s="51">
        <v>0.45</v>
      </c>
      <c r="G38" s="51">
        <v>0.35</v>
      </c>
      <c r="H38" s="51"/>
      <c r="I38" s="53">
        <f t="shared" si="1"/>
        <v>28.810000000000002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501.41</v>
      </c>
      <c r="C39" s="60">
        <v>4</v>
      </c>
      <c r="D39" s="60">
        <v>85.88</v>
      </c>
      <c r="E39" s="51">
        <v>0.4</v>
      </c>
      <c r="F39" s="51">
        <v>0.34</v>
      </c>
      <c r="G39" s="51">
        <v>0.26</v>
      </c>
      <c r="H39" s="51"/>
      <c r="I39" s="49">
        <f t="shared" si="1"/>
        <v>28.636666666666667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583.89</v>
      </c>
      <c r="C40" s="60">
        <v>5</v>
      </c>
      <c r="D40" s="60">
        <v>91.25</v>
      </c>
      <c r="E40" s="51">
        <v>0.4</v>
      </c>
      <c r="F40" s="51">
        <v>0.34</v>
      </c>
      <c r="G40" s="51">
        <v>0.26</v>
      </c>
      <c r="H40" s="51"/>
      <c r="I40" s="49">
        <f t="shared" si="1"/>
        <v>28.059999999999992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655.04999999999995</v>
      </c>
      <c r="C41" s="60">
        <v>6</v>
      </c>
      <c r="D41" s="60">
        <v>101.34</v>
      </c>
      <c r="E41" s="51">
        <v>0.6</v>
      </c>
      <c r="F41" s="51">
        <v>0.22</v>
      </c>
      <c r="G41" s="51">
        <v>0.18</v>
      </c>
      <c r="H41" s="51"/>
      <c r="I41" s="53">
        <f t="shared" si="1"/>
        <v>27.068333333333328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707.75</v>
      </c>
      <c r="C42" s="60">
        <v>7</v>
      </c>
      <c r="D42" s="60">
        <v>707.75</v>
      </c>
      <c r="E42" s="51">
        <v>0.8</v>
      </c>
      <c r="F42" s="51">
        <v>0.11</v>
      </c>
      <c r="G42" s="51">
        <v>0.09</v>
      </c>
      <c r="H42" s="51"/>
      <c r="I42" s="53">
        <f t="shared" si="1"/>
        <v>25.673333333333346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Cèdre de l'Atlas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42</v>
      </c>
      <c r="B62" s="60">
        <v>338.73</v>
      </c>
      <c r="C62" s="60">
        <v>1</v>
      </c>
      <c r="D62" s="60">
        <v>105.41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8.0650000000000013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50</v>
      </c>
      <c r="B63" s="60">
        <v>369.98</v>
      </c>
      <c r="C63" s="60">
        <v>2</v>
      </c>
      <c r="D63" s="60">
        <v>106.51</v>
      </c>
      <c r="E63" s="51">
        <v>0</v>
      </c>
      <c r="F63" s="51">
        <v>0.56000000000000005</v>
      </c>
      <c r="G63" s="51">
        <v>0.44</v>
      </c>
      <c r="H63" s="51"/>
      <c r="I63" s="49">
        <f>IF(A63&lt;&gt;0,(B63-(B62-D62))/(A63-A62),"")</f>
        <v>17.0825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58</v>
      </c>
      <c r="B64" s="60">
        <v>394.28</v>
      </c>
      <c r="C64" s="60">
        <v>3</v>
      </c>
      <c r="D64" s="60">
        <v>87.34</v>
      </c>
      <c r="E64" s="51">
        <v>0.2</v>
      </c>
      <c r="F64" s="51">
        <v>0.45</v>
      </c>
      <c r="G64" s="51">
        <v>0.35</v>
      </c>
      <c r="H64" s="51"/>
      <c r="I64" s="49">
        <f>IF(A64&lt;&gt;0,(B64-(B63-D63))/(A64-A63),"")</f>
        <v>16.351249999999993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66</v>
      </c>
      <c r="B65" s="60">
        <v>433.91</v>
      </c>
      <c r="C65" s="60">
        <v>4</v>
      </c>
      <c r="D65" s="60">
        <v>87.73</v>
      </c>
      <c r="E65" s="51">
        <v>0.2</v>
      </c>
      <c r="F65" s="51">
        <v>0.45</v>
      </c>
      <c r="G65" s="51">
        <v>0.35</v>
      </c>
      <c r="H65" s="51"/>
      <c r="I65" s="49">
        <f>IF(A65&lt;&gt;0,(B65-(B64-D64))/(A65-A64),"")</f>
        <v>15.871250000000011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75</v>
      </c>
      <c r="B66" s="60">
        <v>482.42</v>
      </c>
      <c r="C66" s="60">
        <v>5</v>
      </c>
      <c r="D66" s="60">
        <v>87.99</v>
      </c>
      <c r="E66" s="51">
        <v>0.4</v>
      </c>
      <c r="F66" s="51">
        <v>0.34</v>
      </c>
      <c r="G66" s="51">
        <v>0.26</v>
      </c>
      <c r="H66" s="51"/>
      <c r="I66" s="49">
        <f t="shared" ref="I66:I81" si="2">IF(A66&lt;&gt;0,(B66-(B65-D65))/(A66-A65),"")</f>
        <v>15.137777777777778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83</v>
      </c>
      <c r="B67" s="60">
        <v>508.71</v>
      </c>
      <c r="C67" s="60">
        <v>6</v>
      </c>
      <c r="D67" s="60">
        <v>90.24</v>
      </c>
      <c r="E67" s="51">
        <v>0.4</v>
      </c>
      <c r="F67" s="51">
        <v>0.34</v>
      </c>
      <c r="G67" s="51">
        <v>0.26</v>
      </c>
      <c r="H67" s="51"/>
      <c r="I67" s="49">
        <f t="shared" si="2"/>
        <v>14.284999999999997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91</v>
      </c>
      <c r="B68" s="60">
        <v>524.02</v>
      </c>
      <c r="C68" s="60">
        <v>7</v>
      </c>
      <c r="D68" s="60">
        <v>260.64</v>
      </c>
      <c r="E68" s="51">
        <v>0.6</v>
      </c>
      <c r="F68" s="51">
        <v>0.22</v>
      </c>
      <c r="G68" s="51">
        <v>0.18</v>
      </c>
      <c r="H68" s="51"/>
      <c r="I68" s="49">
        <f t="shared" si="2"/>
        <v>13.193750000000001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101</v>
      </c>
      <c r="B69" s="50">
        <v>351.18</v>
      </c>
      <c r="C69" s="50">
        <v>8</v>
      </c>
      <c r="D69" s="50">
        <v>351.18</v>
      </c>
      <c r="E69" s="51">
        <v>0.8</v>
      </c>
      <c r="F69" s="51">
        <v>0.11</v>
      </c>
      <c r="G69" s="51">
        <v>0.09</v>
      </c>
      <c r="H69" s="51"/>
      <c r="I69" s="49">
        <f t="shared" si="2"/>
        <v>8.7800000000000011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Mélèze hybride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12</v>
      </c>
      <c r="B88" s="60">
        <v>89</v>
      </c>
      <c r="C88" s="60">
        <v>1</v>
      </c>
      <c r="D88" s="60">
        <v>16</v>
      </c>
      <c r="E88" s="51">
        <v>0</v>
      </c>
      <c r="F88" s="51">
        <v>0.56000000000000005</v>
      </c>
      <c r="G88" s="51">
        <v>0.44</v>
      </c>
      <c r="H88" s="87"/>
      <c r="I88" s="53">
        <f>IFERROR(B88/A88,"")</f>
        <v>7.416666666666667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129</v>
      </c>
      <c r="C89" s="60">
        <v>2</v>
      </c>
      <c r="D89" s="60">
        <v>36</v>
      </c>
      <c r="E89" s="51">
        <v>0.2</v>
      </c>
      <c r="F89" s="51">
        <v>0.45</v>
      </c>
      <c r="G89" s="51">
        <v>0.35</v>
      </c>
      <c r="H89" s="87"/>
      <c r="I89" s="53">
        <f t="shared" ref="I89:I107" si="3">IF(A89&lt;&gt;0,(B89-(B88-D88))/(A89-A88),"")</f>
        <v>18.666666666666668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18</v>
      </c>
      <c r="B90" s="60">
        <v>142</v>
      </c>
      <c r="C90" s="60">
        <v>3</v>
      </c>
      <c r="D90" s="60">
        <v>47</v>
      </c>
      <c r="E90" s="87">
        <v>0.2</v>
      </c>
      <c r="F90" s="87">
        <v>0.45</v>
      </c>
      <c r="G90" s="87">
        <v>0.35</v>
      </c>
      <c r="H90" s="87"/>
      <c r="I90" s="53">
        <f t="shared" si="3"/>
        <v>16.333333333333332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24</v>
      </c>
      <c r="B91" s="60">
        <v>184</v>
      </c>
      <c r="C91" s="60">
        <v>4</v>
      </c>
      <c r="D91" s="60">
        <v>65</v>
      </c>
      <c r="E91" s="87">
        <v>0.4</v>
      </c>
      <c r="F91" s="87">
        <v>0.34</v>
      </c>
      <c r="G91" s="87">
        <v>0.26</v>
      </c>
      <c r="H91" s="87"/>
      <c r="I91" s="53">
        <f t="shared" si="3"/>
        <v>14.833333333333334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196</v>
      </c>
      <c r="C92" s="60">
        <v>5</v>
      </c>
      <c r="D92" s="60">
        <v>58</v>
      </c>
      <c r="E92" s="87">
        <v>0.4</v>
      </c>
      <c r="F92" s="87">
        <v>0.34</v>
      </c>
      <c r="G92" s="87">
        <v>0.26</v>
      </c>
      <c r="H92" s="87"/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36</v>
      </c>
      <c r="B93" s="60">
        <v>207</v>
      </c>
      <c r="C93" s="60">
        <v>6</v>
      </c>
      <c r="D93" s="60">
        <v>58</v>
      </c>
      <c r="E93" s="87">
        <v>0.6</v>
      </c>
      <c r="F93" s="87">
        <v>0.22</v>
      </c>
      <c r="G93" s="87">
        <v>0.18</v>
      </c>
      <c r="H93" s="87"/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42</v>
      </c>
      <c r="B94" s="60">
        <v>214</v>
      </c>
      <c r="C94" s="60">
        <v>7</v>
      </c>
      <c r="D94" s="60">
        <v>214</v>
      </c>
      <c r="E94" s="87">
        <v>0.8</v>
      </c>
      <c r="F94" s="87">
        <v>0.11</v>
      </c>
      <c r="G94" s="87">
        <v>0.09</v>
      </c>
      <c r="H94" s="87"/>
      <c r="I94" s="53">
        <f t="shared" si="3"/>
        <v>10.833333333333334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sessile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34</v>
      </c>
      <c r="B114" s="60">
        <v>164.51</v>
      </c>
      <c r="C114" s="50">
        <v>1</v>
      </c>
      <c r="D114" s="60">
        <v>35.450000000000003</v>
      </c>
      <c r="E114" s="51">
        <v>0</v>
      </c>
      <c r="F114" s="51"/>
      <c r="G114" s="51"/>
      <c r="H114" s="51">
        <v>1</v>
      </c>
      <c r="I114" s="53">
        <f>IFERROR(B114/A114,"")</f>
        <v>4.8385294117647053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42</v>
      </c>
      <c r="B115" s="60">
        <v>233.74</v>
      </c>
      <c r="C115" s="50">
        <v>2</v>
      </c>
      <c r="D115" s="60">
        <v>55.41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13.085000000000001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50</v>
      </c>
      <c r="B116" s="60">
        <v>285.17</v>
      </c>
      <c r="C116" s="50">
        <v>3</v>
      </c>
      <c r="D116" s="60">
        <v>66.62</v>
      </c>
      <c r="E116" s="51">
        <v>0</v>
      </c>
      <c r="F116" s="51"/>
      <c r="G116" s="51"/>
      <c r="H116" s="51">
        <v>1</v>
      </c>
      <c r="I116" s="53">
        <f t="shared" si="4"/>
        <v>13.355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58</v>
      </c>
      <c r="B117" s="60">
        <v>322.87</v>
      </c>
      <c r="C117" s="50">
        <v>4</v>
      </c>
      <c r="D117" s="60">
        <v>62.16</v>
      </c>
      <c r="E117" s="51">
        <v>0</v>
      </c>
      <c r="F117" s="51"/>
      <c r="G117" s="51"/>
      <c r="H117" s="51">
        <v>1</v>
      </c>
      <c r="I117" s="53">
        <f t="shared" si="4"/>
        <v>13.04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66</v>
      </c>
      <c r="B118" s="60">
        <v>360.3</v>
      </c>
      <c r="C118" s="50">
        <v>5</v>
      </c>
      <c r="D118" s="60">
        <v>71.34</v>
      </c>
      <c r="E118" s="51">
        <v>0.2</v>
      </c>
      <c r="F118" s="51"/>
      <c r="G118" s="51"/>
      <c r="H118" s="51">
        <v>0.8</v>
      </c>
      <c r="I118" s="53">
        <f t="shared" si="4"/>
        <v>12.448749999999997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74</v>
      </c>
      <c r="B119" s="60">
        <v>382.81</v>
      </c>
      <c r="C119" s="50">
        <v>6</v>
      </c>
      <c r="D119" s="60">
        <v>70.209999999999994</v>
      </c>
      <c r="E119" s="51">
        <v>0.2</v>
      </c>
      <c r="F119" s="51"/>
      <c r="G119" s="51"/>
      <c r="H119" s="51">
        <v>0.8</v>
      </c>
      <c r="I119" s="53">
        <f t="shared" si="4"/>
        <v>11.731249999999996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82</v>
      </c>
      <c r="B120" s="60">
        <v>400.76</v>
      </c>
      <c r="C120" s="60">
        <v>7</v>
      </c>
      <c r="D120" s="60">
        <v>53.92</v>
      </c>
      <c r="E120" s="87">
        <v>0.3</v>
      </c>
      <c r="F120" s="87"/>
      <c r="G120" s="87"/>
      <c r="H120" s="87">
        <v>0.7</v>
      </c>
      <c r="I120" s="53">
        <f t="shared" si="4"/>
        <v>11.019999999999996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90</v>
      </c>
      <c r="B121" s="60">
        <v>431.71</v>
      </c>
      <c r="C121" s="60">
        <v>8</v>
      </c>
      <c r="D121" s="60">
        <v>63.25</v>
      </c>
      <c r="E121" s="87">
        <v>0.3</v>
      </c>
      <c r="F121" s="87"/>
      <c r="G121" s="87"/>
      <c r="H121" s="87">
        <v>0.7</v>
      </c>
      <c r="I121" s="53">
        <f t="shared" si="4"/>
        <v>10.608750000000001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100</v>
      </c>
      <c r="B122" s="60">
        <v>470.78</v>
      </c>
      <c r="C122" s="60">
        <v>9</v>
      </c>
      <c r="D122" s="60">
        <v>85.23</v>
      </c>
      <c r="E122" s="87">
        <v>0.4</v>
      </c>
      <c r="F122" s="87"/>
      <c r="G122" s="87"/>
      <c r="H122" s="87">
        <v>0.6</v>
      </c>
      <c r="I122" s="53">
        <f t="shared" si="4"/>
        <v>10.231999999999999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110</v>
      </c>
      <c r="B123" s="60">
        <v>483.57</v>
      </c>
      <c r="C123" s="60">
        <v>10</v>
      </c>
      <c r="D123" s="60">
        <v>67.22</v>
      </c>
      <c r="E123" s="87">
        <v>0.4</v>
      </c>
      <c r="F123" s="87"/>
      <c r="G123" s="87"/>
      <c r="H123" s="87">
        <v>0.6</v>
      </c>
      <c r="I123" s="53">
        <f t="shared" si="4"/>
        <v>9.8020000000000032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120</v>
      </c>
      <c r="B124" s="60">
        <v>513.1</v>
      </c>
      <c r="C124" s="60">
        <v>11</v>
      </c>
      <c r="D124" s="60">
        <v>60.46</v>
      </c>
      <c r="E124" s="87">
        <v>0.5</v>
      </c>
      <c r="F124" s="87"/>
      <c r="G124" s="87"/>
      <c r="H124" s="87">
        <v>0.5</v>
      </c>
      <c r="I124" s="53">
        <f t="shared" si="4"/>
        <v>9.6750000000000007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130</v>
      </c>
      <c r="B125" s="60">
        <v>549.39</v>
      </c>
      <c r="C125" s="60">
        <v>12</v>
      </c>
      <c r="D125" s="60">
        <v>69</v>
      </c>
      <c r="E125" s="87">
        <v>0.5</v>
      </c>
      <c r="F125" s="87"/>
      <c r="G125" s="87"/>
      <c r="H125" s="87">
        <v>0.5</v>
      </c>
      <c r="I125" s="53">
        <f t="shared" si="4"/>
        <v>9.6749999999999936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140</v>
      </c>
      <c r="B126" s="60">
        <v>577.97</v>
      </c>
      <c r="C126" s="60">
        <v>13</v>
      </c>
      <c r="D126" s="60">
        <v>67.930000000000007</v>
      </c>
      <c r="E126" s="65">
        <v>0.6</v>
      </c>
      <c r="F126" s="65"/>
      <c r="G126" s="65"/>
      <c r="H126" s="65">
        <v>0.4</v>
      </c>
      <c r="I126" s="53">
        <f t="shared" si="4"/>
        <v>9.7580000000000044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150</v>
      </c>
      <c r="B127" s="60">
        <v>607.66999999999996</v>
      </c>
      <c r="C127" s="60">
        <v>14</v>
      </c>
      <c r="D127" s="60">
        <v>234.51</v>
      </c>
      <c r="E127" s="65">
        <v>0.6</v>
      </c>
      <c r="F127" s="65"/>
      <c r="G127" s="65"/>
      <c r="H127" s="65">
        <v>0.4</v>
      </c>
      <c r="I127" s="53">
        <f t="shared" si="4"/>
        <v>9.7629999999999946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153</v>
      </c>
      <c r="B128" s="50">
        <v>392.11</v>
      </c>
      <c r="C128" s="50">
        <v>15</v>
      </c>
      <c r="D128" s="50">
        <v>141.22</v>
      </c>
      <c r="E128" s="54">
        <v>0.7</v>
      </c>
      <c r="F128" s="54"/>
      <c r="G128" s="54"/>
      <c r="H128" s="54">
        <v>0.3</v>
      </c>
      <c r="I128" s="53">
        <f t="shared" si="4"/>
        <v>6.3166666666666815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156</v>
      </c>
      <c r="B129" s="50">
        <v>261.64</v>
      </c>
      <c r="C129" s="50">
        <v>16</v>
      </c>
      <c r="D129" s="50">
        <v>87.28</v>
      </c>
      <c r="E129" s="54">
        <v>0.7</v>
      </c>
      <c r="F129" s="54"/>
      <c r="G129" s="54"/>
      <c r="H129" s="54">
        <v>0.3</v>
      </c>
      <c r="I129" s="53">
        <f t="shared" si="4"/>
        <v>3.5833333333333237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159</v>
      </c>
      <c r="B130" s="50">
        <v>180.6</v>
      </c>
      <c r="C130" s="50">
        <v>17</v>
      </c>
      <c r="D130" s="50">
        <v>180.6</v>
      </c>
      <c r="E130" s="54">
        <v>0.8</v>
      </c>
      <c r="F130" s="54"/>
      <c r="G130" s="54"/>
      <c r="H130" s="54">
        <v>0.2</v>
      </c>
      <c r="I130" s="53">
        <f t="shared" si="4"/>
        <v>2.0800000000000032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rouge d'Amérique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55.77</v>
      </c>
      <c r="C140" s="50">
        <v>1</v>
      </c>
      <c r="D140" s="60">
        <v>13.46</v>
      </c>
      <c r="E140" s="51">
        <v>0</v>
      </c>
      <c r="F140" s="51"/>
      <c r="G140" s="51"/>
      <c r="H140" s="51">
        <v>1</v>
      </c>
      <c r="I140" s="57">
        <f>IFERROR(B140/A140,"")</f>
        <v>3.7180000000000004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87.82</v>
      </c>
      <c r="C141" s="50">
        <v>2</v>
      </c>
      <c r="D141" s="60">
        <v>27.56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9.1019999999999985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104.49</v>
      </c>
      <c r="C142" s="50">
        <v>3</v>
      </c>
      <c r="D142" s="60">
        <v>28.21</v>
      </c>
      <c r="E142" s="51">
        <v>0</v>
      </c>
      <c r="F142" s="51"/>
      <c r="G142" s="51"/>
      <c r="H142" s="51">
        <v>1</v>
      </c>
      <c r="I142" s="57">
        <f t="shared" si="5"/>
        <v>8.8460000000000001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30</v>
      </c>
      <c r="B143" s="60">
        <v>117.95</v>
      </c>
      <c r="C143" s="50">
        <v>4</v>
      </c>
      <c r="D143" s="60">
        <v>28.21</v>
      </c>
      <c r="E143" s="51">
        <v>0</v>
      </c>
      <c r="F143" s="51"/>
      <c r="G143" s="51"/>
      <c r="H143" s="51">
        <v>1</v>
      </c>
      <c r="I143" s="57">
        <f t="shared" si="5"/>
        <v>8.3339999999999996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35</v>
      </c>
      <c r="B144" s="60">
        <v>128.85</v>
      </c>
      <c r="C144" s="50">
        <v>5</v>
      </c>
      <c r="D144" s="60">
        <v>26.92</v>
      </c>
      <c r="E144" s="51">
        <v>0.2</v>
      </c>
      <c r="F144" s="51"/>
      <c r="G144" s="51"/>
      <c r="H144" s="51">
        <v>0.8</v>
      </c>
      <c r="I144" s="57">
        <f t="shared" si="5"/>
        <v>7.8219999999999974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40</v>
      </c>
      <c r="B145" s="60">
        <v>136.54</v>
      </c>
      <c r="C145" s="50">
        <v>6</v>
      </c>
      <c r="D145" s="60">
        <v>25</v>
      </c>
      <c r="E145" s="51">
        <v>0.2</v>
      </c>
      <c r="F145" s="51"/>
      <c r="G145" s="51"/>
      <c r="H145" s="51">
        <v>0.8</v>
      </c>
      <c r="I145" s="57">
        <f t="shared" si="5"/>
        <v>6.9219999999999997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45</v>
      </c>
      <c r="B146" s="60">
        <v>142.94999999999999</v>
      </c>
      <c r="C146" s="50">
        <v>7</v>
      </c>
      <c r="D146" s="60">
        <v>23.08</v>
      </c>
      <c r="E146" s="51">
        <v>0.3</v>
      </c>
      <c r="F146" s="51"/>
      <c r="G146" s="51"/>
      <c r="H146" s="51">
        <v>0.7</v>
      </c>
      <c r="I146" s="57">
        <f t="shared" si="5"/>
        <v>6.2819999999999991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50</v>
      </c>
      <c r="B147" s="60">
        <v>148.08000000000001</v>
      </c>
      <c r="C147" s="50">
        <v>8</v>
      </c>
      <c r="D147" s="60">
        <v>21.15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5.6420000000000048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55</v>
      </c>
      <c r="B148" s="60">
        <v>151.91999999999999</v>
      </c>
      <c r="C148" s="50">
        <v>9</v>
      </c>
      <c r="D148" s="60">
        <v>18.59</v>
      </c>
      <c r="E148" s="51">
        <v>0.4</v>
      </c>
      <c r="F148" s="51"/>
      <c r="G148" s="51"/>
      <c r="H148" s="51">
        <v>0.6</v>
      </c>
      <c r="I148" s="57">
        <f t="shared" si="5"/>
        <v>4.9979999999999958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60</v>
      </c>
      <c r="B149" s="60">
        <v>155.13</v>
      </c>
      <c r="C149" s="50">
        <v>10</v>
      </c>
      <c r="D149" s="60">
        <v>16.670000000000002</v>
      </c>
      <c r="E149" s="51">
        <v>0.4</v>
      </c>
      <c r="F149" s="51"/>
      <c r="G149" s="51"/>
      <c r="H149" s="51">
        <v>0.6</v>
      </c>
      <c r="I149" s="57">
        <f t="shared" si="5"/>
        <v>4.3600000000000021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65</v>
      </c>
      <c r="B150" s="60">
        <v>157.69</v>
      </c>
      <c r="C150" s="50">
        <v>11</v>
      </c>
      <c r="D150" s="60">
        <v>14.74</v>
      </c>
      <c r="E150" s="51">
        <v>0.5</v>
      </c>
      <c r="F150" s="51"/>
      <c r="G150" s="51"/>
      <c r="H150" s="51">
        <v>0.5</v>
      </c>
      <c r="I150" s="57">
        <f t="shared" si="5"/>
        <v>3.8460000000000036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70</v>
      </c>
      <c r="B151" s="60">
        <v>159.62</v>
      </c>
      <c r="C151" s="50">
        <v>12</v>
      </c>
      <c r="D151" s="60">
        <v>159.62</v>
      </c>
      <c r="E151" s="51">
        <v>0.5</v>
      </c>
      <c r="F151" s="51"/>
      <c r="G151" s="51"/>
      <c r="H151" s="51">
        <v>0.5</v>
      </c>
      <c r="I151" s="57">
        <f t="shared" si="5"/>
        <v>3.3340000000000032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Hêtre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42</v>
      </c>
      <c r="B166" s="60">
        <v>221.31</v>
      </c>
      <c r="C166" s="60">
        <v>1</v>
      </c>
      <c r="D166" s="60">
        <v>78.63</v>
      </c>
      <c r="E166" s="51">
        <v>0</v>
      </c>
      <c r="F166" s="51"/>
      <c r="G166" s="51"/>
      <c r="H166" s="51">
        <v>1</v>
      </c>
      <c r="I166" s="49">
        <f>IFERROR(B166/A166,"")</f>
        <v>5.2692857142857141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48</v>
      </c>
      <c r="B167" s="60">
        <v>224.28</v>
      </c>
      <c r="C167" s="60">
        <v>2</v>
      </c>
      <c r="D167" s="60">
        <v>52.92</v>
      </c>
      <c r="E167" s="51">
        <v>0</v>
      </c>
      <c r="F167" s="51"/>
      <c r="G167" s="51"/>
      <c r="H167" s="51">
        <v>1</v>
      </c>
      <c r="I167" s="49">
        <f>IF(A167&lt;&gt;0,(B167-(B166-D166))/(A167-A166),"")</f>
        <v>13.6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54</v>
      </c>
      <c r="B168" s="60">
        <v>252.78</v>
      </c>
      <c r="C168" s="60">
        <v>3</v>
      </c>
      <c r="D168" s="60">
        <v>57.96</v>
      </c>
      <c r="E168" s="51">
        <v>0</v>
      </c>
      <c r="F168" s="51"/>
      <c r="G168" s="51"/>
      <c r="H168" s="51">
        <v>1</v>
      </c>
      <c r="I168" s="49">
        <f>IF(A168&lt;&gt;0,(B168-(B167-D167))/(A168-A167),"")</f>
        <v>13.569999999999999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63</v>
      </c>
      <c r="B169" s="60">
        <v>310.95</v>
      </c>
      <c r="C169" s="60">
        <v>4</v>
      </c>
      <c r="D169" s="60">
        <v>81.72</v>
      </c>
      <c r="E169" s="51">
        <v>0</v>
      </c>
      <c r="F169" s="51"/>
      <c r="G169" s="51"/>
      <c r="H169" s="51">
        <v>1</v>
      </c>
      <c r="I169" s="49">
        <f t="shared" ref="I169:I185" si="6">IF(A169&lt;&gt;0,(B169-(B168-D168))/(A169-A168),"")</f>
        <v>12.903333333333332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72</v>
      </c>
      <c r="B170" s="60">
        <v>336.64</v>
      </c>
      <c r="C170" s="60">
        <v>5</v>
      </c>
      <c r="D170" s="60">
        <v>80.739999999999995</v>
      </c>
      <c r="E170" s="51">
        <v>0.2</v>
      </c>
      <c r="F170" s="51"/>
      <c r="G170" s="51"/>
      <c r="H170" s="51">
        <v>0.8</v>
      </c>
      <c r="I170" s="49">
        <f t="shared" si="6"/>
        <v>11.934444444444445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81</v>
      </c>
      <c r="B171" s="60">
        <v>351.74</v>
      </c>
      <c r="C171" s="60">
        <v>6</v>
      </c>
      <c r="D171" s="60">
        <v>75.06</v>
      </c>
      <c r="E171" s="51">
        <v>0.2</v>
      </c>
      <c r="F171" s="51"/>
      <c r="G171" s="51"/>
      <c r="H171" s="51">
        <v>0.8</v>
      </c>
      <c r="I171" s="49">
        <f t="shared" si="6"/>
        <v>10.648888888888893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90</v>
      </c>
      <c r="B172" s="60">
        <v>361.98</v>
      </c>
      <c r="C172" s="60">
        <v>7</v>
      </c>
      <c r="D172" s="60">
        <v>69.36</v>
      </c>
      <c r="E172" s="51">
        <v>0.3</v>
      </c>
      <c r="F172" s="51"/>
      <c r="G172" s="51"/>
      <c r="H172" s="51">
        <v>0.7</v>
      </c>
      <c r="I172" s="49">
        <f t="shared" si="6"/>
        <v>9.4777777777777796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99</v>
      </c>
      <c r="B173" s="50">
        <v>368.29</v>
      </c>
      <c r="C173" s="50">
        <v>8</v>
      </c>
      <c r="D173" s="50">
        <v>70.61</v>
      </c>
      <c r="E173" s="51">
        <v>0.3</v>
      </c>
      <c r="F173" s="51"/>
      <c r="G173" s="51"/>
      <c r="H173" s="51">
        <v>0.7</v>
      </c>
      <c r="I173" s="49">
        <f t="shared" si="6"/>
        <v>8.4077777777777793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111</v>
      </c>
      <c r="B174" s="50">
        <v>385.89</v>
      </c>
      <c r="C174" s="50">
        <v>9</v>
      </c>
      <c r="D174" s="50">
        <v>141.30000000000001</v>
      </c>
      <c r="E174" s="51">
        <v>0.4</v>
      </c>
      <c r="F174" s="51"/>
      <c r="G174" s="51"/>
      <c r="H174" s="51">
        <v>0.6</v>
      </c>
      <c r="I174" s="49">
        <f t="shared" si="6"/>
        <v>7.3508333333333313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116</v>
      </c>
      <c r="B175" s="50">
        <v>274.3</v>
      </c>
      <c r="C175" s="50">
        <v>10</v>
      </c>
      <c r="D175" s="50">
        <v>94.84</v>
      </c>
      <c r="E175" s="51">
        <v>0.4</v>
      </c>
      <c r="F175" s="51"/>
      <c r="G175" s="51"/>
      <c r="H175" s="51">
        <v>0.6</v>
      </c>
      <c r="I175" s="49">
        <f t="shared" si="6"/>
        <v>5.9420000000000073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121</v>
      </c>
      <c r="B176" s="50">
        <v>202.77</v>
      </c>
      <c r="C176" s="50">
        <v>11</v>
      </c>
      <c r="D176" s="50">
        <v>85.95</v>
      </c>
      <c r="E176" s="51">
        <v>0.5</v>
      </c>
      <c r="F176" s="51"/>
      <c r="G176" s="51"/>
      <c r="H176" s="51">
        <v>0.5</v>
      </c>
      <c r="I176" s="49">
        <f t="shared" si="6"/>
        <v>4.6620000000000008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125</v>
      </c>
      <c r="B177" s="50">
        <v>129.91999999999999</v>
      </c>
      <c r="C177" s="50">
        <v>12</v>
      </c>
      <c r="D177" s="50">
        <v>129.91999999999999</v>
      </c>
      <c r="E177" s="51">
        <v>0.5</v>
      </c>
      <c r="F177" s="51"/>
      <c r="G177" s="51"/>
      <c r="H177" s="51">
        <v>0.5</v>
      </c>
      <c r="I177" s="49">
        <f t="shared" si="6"/>
        <v>3.274999999999995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Merisier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v>40</v>
      </c>
      <c r="C192" s="60">
        <v>1</v>
      </c>
      <c r="D192" s="60">
        <v>3</v>
      </c>
      <c r="E192" s="51">
        <v>0</v>
      </c>
      <c r="F192" s="51"/>
      <c r="G192" s="51"/>
      <c r="H192" s="51">
        <v>1</v>
      </c>
      <c r="I192" s="49">
        <f>IFERROR(B192/A192,"")</f>
        <v>2.6666666666666665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v>85</v>
      </c>
      <c r="C193" s="60">
        <v>2</v>
      </c>
      <c r="D193" s="60">
        <v>25</v>
      </c>
      <c r="E193" s="51">
        <v>0.2</v>
      </c>
      <c r="F193" s="51"/>
      <c r="G193" s="51"/>
      <c r="H193" s="51">
        <v>0.8</v>
      </c>
      <c r="I193" s="49">
        <f t="shared" ref="I193:I211" si="7">IF(A193&lt;&gt;0,(B193-(B192-D192))/(A193-A192),"")</f>
        <v>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v>113</v>
      </c>
      <c r="C194" s="60">
        <v>3</v>
      </c>
      <c r="D194" s="60">
        <v>27</v>
      </c>
      <c r="E194" s="51">
        <v>0.2</v>
      </c>
      <c r="F194" s="51"/>
      <c r="G194" s="51"/>
      <c r="H194" s="51">
        <v>0.8</v>
      </c>
      <c r="I194" s="49">
        <f t="shared" si="7"/>
        <v>10.6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31</v>
      </c>
      <c r="B195" s="60">
        <v>155</v>
      </c>
      <c r="C195" s="60">
        <v>4</v>
      </c>
      <c r="D195" s="60">
        <v>36</v>
      </c>
      <c r="E195" s="51">
        <v>0.3</v>
      </c>
      <c r="F195" s="51"/>
      <c r="G195" s="51"/>
      <c r="H195" s="51">
        <v>0.7</v>
      </c>
      <c r="I195" s="49">
        <f t="shared" si="7"/>
        <v>11.5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37</v>
      </c>
      <c r="B196" s="60">
        <v>188</v>
      </c>
      <c r="C196" s="60">
        <v>5</v>
      </c>
      <c r="D196" s="60">
        <v>36</v>
      </c>
      <c r="E196" s="51">
        <v>0.3</v>
      </c>
      <c r="F196" s="51"/>
      <c r="G196" s="51"/>
      <c r="H196" s="51">
        <v>0.7</v>
      </c>
      <c r="I196" s="49">
        <f t="shared" si="7"/>
        <v>11.5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44</v>
      </c>
      <c r="B197" s="60">
        <v>230</v>
      </c>
      <c r="C197" s="60">
        <v>6</v>
      </c>
      <c r="D197" s="60">
        <v>43</v>
      </c>
      <c r="E197" s="51">
        <v>0.4</v>
      </c>
      <c r="F197" s="51"/>
      <c r="G197" s="51"/>
      <c r="H197" s="51">
        <v>0.6</v>
      </c>
      <c r="I197" s="49">
        <f t="shared" si="7"/>
        <v>11.142857142857142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52</v>
      </c>
      <c r="B198" s="60">
        <v>270</v>
      </c>
      <c r="C198" s="60">
        <v>7</v>
      </c>
      <c r="D198" s="60">
        <v>48</v>
      </c>
      <c r="E198" s="51">
        <v>0.4</v>
      </c>
      <c r="F198" s="51"/>
      <c r="G198" s="51"/>
      <c r="H198" s="51">
        <v>0.6</v>
      </c>
      <c r="I198" s="49">
        <f t="shared" si="7"/>
        <v>10.375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60</v>
      </c>
      <c r="B199" s="50">
        <v>297</v>
      </c>
      <c r="C199" s="50">
        <v>8</v>
      </c>
      <c r="D199" s="50">
        <v>47</v>
      </c>
      <c r="E199" s="51">
        <v>0.5</v>
      </c>
      <c r="F199" s="51"/>
      <c r="G199" s="51"/>
      <c r="H199" s="51">
        <v>0.5</v>
      </c>
      <c r="I199" s="49">
        <f t="shared" si="7"/>
        <v>9.375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69</v>
      </c>
      <c r="B200" s="50">
        <v>328</v>
      </c>
      <c r="C200" s="50">
        <v>9</v>
      </c>
      <c r="D200" s="50">
        <v>328</v>
      </c>
      <c r="E200" s="51">
        <v>0.5</v>
      </c>
      <c r="F200" s="51"/>
      <c r="G200" s="51"/>
      <c r="H200" s="51">
        <v>0.5</v>
      </c>
      <c r="I200" s="49">
        <f t="shared" si="7"/>
        <v>8.6666666666666661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Châtaignier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10</v>
      </c>
      <c r="B218" s="60">
        <v>11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15</v>
      </c>
      <c r="B219" s="60">
        <v>65</v>
      </c>
      <c r="C219" s="50">
        <v>2</v>
      </c>
      <c r="D219" s="60">
        <v>32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20</v>
      </c>
      <c r="B220" s="60">
        <v>102</v>
      </c>
      <c r="C220" s="50">
        <v>3</v>
      </c>
      <c r="D220" s="60">
        <v>35</v>
      </c>
      <c r="E220" s="63">
        <v>0</v>
      </c>
      <c r="F220" s="63"/>
      <c r="G220" s="63"/>
      <c r="H220" s="63">
        <v>1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25</v>
      </c>
      <c r="B221" s="55">
        <v>141</v>
      </c>
      <c r="C221" s="55">
        <v>4</v>
      </c>
      <c r="D221" s="55">
        <v>35</v>
      </c>
      <c r="E221" s="63">
        <v>0</v>
      </c>
      <c r="F221" s="63"/>
      <c r="G221" s="63"/>
      <c r="H221" s="63">
        <v>1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30</v>
      </c>
      <c r="B222" s="55">
        <v>177</v>
      </c>
      <c r="C222" s="55">
        <v>5</v>
      </c>
      <c r="D222" s="55">
        <v>35</v>
      </c>
      <c r="E222" s="63">
        <v>0.2</v>
      </c>
      <c r="F222" s="63"/>
      <c r="G222" s="63"/>
      <c r="H222" s="63">
        <v>0.8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35</v>
      </c>
      <c r="B223" s="55">
        <v>206</v>
      </c>
      <c r="C223" s="55">
        <v>6</v>
      </c>
      <c r="D223" s="55">
        <v>35</v>
      </c>
      <c r="E223" s="63">
        <v>0.2</v>
      </c>
      <c r="F223" s="63"/>
      <c r="G223" s="63"/>
      <c r="H223" s="63">
        <v>0.8</v>
      </c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40</v>
      </c>
      <c r="B224" s="55">
        <v>228</v>
      </c>
      <c r="C224" s="55">
        <v>7</v>
      </c>
      <c r="D224" s="55">
        <v>35</v>
      </c>
      <c r="E224" s="63">
        <v>0.3</v>
      </c>
      <c r="F224" s="63"/>
      <c r="G224" s="63"/>
      <c r="H224" s="63">
        <v>0.7</v>
      </c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45</v>
      </c>
      <c r="B225" s="55">
        <v>242</v>
      </c>
      <c r="C225" s="55">
        <v>8</v>
      </c>
      <c r="D225" s="55">
        <v>24</v>
      </c>
      <c r="E225" s="63">
        <v>0.3</v>
      </c>
      <c r="F225" s="63"/>
      <c r="G225" s="63"/>
      <c r="H225" s="63">
        <v>0.7</v>
      </c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50</v>
      </c>
      <c r="B226" s="55">
        <v>261</v>
      </c>
      <c r="C226" s="55">
        <v>9</v>
      </c>
      <c r="D226" s="55">
        <v>19</v>
      </c>
      <c r="E226" s="63">
        <v>0.4</v>
      </c>
      <c r="F226" s="63"/>
      <c r="G226" s="63"/>
      <c r="H226" s="63">
        <v>0.6</v>
      </c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55</v>
      </c>
      <c r="B227" s="55">
        <v>279</v>
      </c>
      <c r="C227" s="55">
        <v>10</v>
      </c>
      <c r="D227" s="55">
        <v>16</v>
      </c>
      <c r="E227" s="63">
        <v>0.4</v>
      </c>
      <c r="F227" s="63"/>
      <c r="G227" s="63"/>
      <c r="H227" s="63">
        <v>0.6</v>
      </c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60</v>
      </c>
      <c r="B228" s="55">
        <v>294</v>
      </c>
      <c r="C228" s="55">
        <v>11</v>
      </c>
      <c r="D228" s="55">
        <v>14</v>
      </c>
      <c r="E228" s="63">
        <v>0.5</v>
      </c>
      <c r="F228" s="63"/>
      <c r="G228" s="63"/>
      <c r="H228" s="63">
        <v>0.5</v>
      </c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65</v>
      </c>
      <c r="B229" s="55">
        <v>306</v>
      </c>
      <c r="C229" s="55">
        <v>12</v>
      </c>
      <c r="D229" s="55">
        <v>13</v>
      </c>
      <c r="E229" s="63">
        <v>0.5</v>
      </c>
      <c r="F229" s="63"/>
      <c r="G229" s="63"/>
      <c r="H229" s="63">
        <v>0.5</v>
      </c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70</v>
      </c>
      <c r="B230" s="55">
        <v>316</v>
      </c>
      <c r="C230" s="55">
        <v>13</v>
      </c>
      <c r="D230" s="55">
        <v>13</v>
      </c>
      <c r="E230" s="64">
        <v>0.6</v>
      </c>
      <c r="F230" s="64"/>
      <c r="G230" s="64"/>
      <c r="H230" s="64">
        <v>0.4</v>
      </c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>
        <v>75</v>
      </c>
      <c r="B231" s="60">
        <v>324</v>
      </c>
      <c r="C231" s="88">
        <v>14</v>
      </c>
      <c r="D231" s="60">
        <v>12</v>
      </c>
      <c r="E231" s="54">
        <v>0.6</v>
      </c>
      <c r="F231" s="54"/>
      <c r="G231" s="54"/>
      <c r="H231" s="54">
        <v>0.4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80</v>
      </c>
      <c r="B232" s="50">
        <v>330</v>
      </c>
      <c r="C232" s="50">
        <v>15</v>
      </c>
      <c r="D232" s="50">
        <v>330</v>
      </c>
      <c r="E232" s="54">
        <v>0.7</v>
      </c>
      <c r="F232" s="54"/>
      <c r="G232" s="54"/>
      <c r="H232" s="54">
        <v>0.3</v>
      </c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Erable sycomore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10</v>
      </c>
      <c r="B244" s="60">
        <v>11</v>
      </c>
      <c r="C244" s="60">
        <v>1</v>
      </c>
      <c r="D244" s="60">
        <v>0</v>
      </c>
      <c r="E244" s="51">
        <v>0</v>
      </c>
      <c r="F244" s="51"/>
      <c r="G244" s="51"/>
      <c r="H244" s="63">
        <v>1</v>
      </c>
      <c r="I244" s="53">
        <f>IFERROR(B244/A244,"")</f>
        <v>1.1000000000000001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15</v>
      </c>
      <c r="B245" s="60">
        <v>65</v>
      </c>
      <c r="C245" s="60">
        <v>2</v>
      </c>
      <c r="D245" s="60">
        <v>32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10.8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20</v>
      </c>
      <c r="B246" s="60">
        <v>102</v>
      </c>
      <c r="C246" s="60">
        <v>3</v>
      </c>
      <c r="D246" s="60">
        <v>35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13.8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>
        <v>25</v>
      </c>
      <c r="B247" s="60">
        <v>141</v>
      </c>
      <c r="C247" s="60">
        <v>4</v>
      </c>
      <c r="D247" s="60">
        <v>35</v>
      </c>
      <c r="E247" s="63">
        <v>0</v>
      </c>
      <c r="F247" s="63"/>
      <c r="G247" s="63"/>
      <c r="H247" s="63">
        <v>1</v>
      </c>
      <c r="I247" s="53">
        <f t="shared" ref="I247:I263" si="9">IF(A247&lt;&gt;0,(B247-(B246-D246))/(A247-A246),"")</f>
        <v>14.8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>
        <v>30</v>
      </c>
      <c r="B248" s="60">
        <v>177</v>
      </c>
      <c r="C248" s="60">
        <v>5</v>
      </c>
      <c r="D248" s="60">
        <v>35</v>
      </c>
      <c r="E248" s="63">
        <v>0.2</v>
      </c>
      <c r="F248" s="63"/>
      <c r="G248" s="63"/>
      <c r="H248" s="63">
        <v>0.8</v>
      </c>
      <c r="I248" s="53">
        <f t="shared" si="9"/>
        <v>14.2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>
        <v>35</v>
      </c>
      <c r="B249" s="60">
        <v>206</v>
      </c>
      <c r="C249" s="60">
        <v>6</v>
      </c>
      <c r="D249" s="60">
        <v>35</v>
      </c>
      <c r="E249" s="63">
        <v>0.2</v>
      </c>
      <c r="F249" s="63"/>
      <c r="G249" s="63"/>
      <c r="H249" s="63">
        <v>0.8</v>
      </c>
      <c r="I249" s="53">
        <f t="shared" si="9"/>
        <v>12.8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>
        <v>40</v>
      </c>
      <c r="B250" s="60">
        <v>228</v>
      </c>
      <c r="C250" s="60">
        <v>7</v>
      </c>
      <c r="D250" s="60">
        <v>35</v>
      </c>
      <c r="E250" s="63">
        <v>0.3</v>
      </c>
      <c r="F250" s="63"/>
      <c r="G250" s="63"/>
      <c r="H250" s="63">
        <v>0.7</v>
      </c>
      <c r="I250" s="53">
        <f t="shared" si="9"/>
        <v>11.4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>
        <v>45</v>
      </c>
      <c r="B251" s="55">
        <v>242</v>
      </c>
      <c r="C251" s="55">
        <v>8</v>
      </c>
      <c r="D251" s="55">
        <v>24</v>
      </c>
      <c r="E251" s="63">
        <v>0.3</v>
      </c>
      <c r="F251" s="63"/>
      <c r="G251" s="63"/>
      <c r="H251" s="63">
        <v>0.7</v>
      </c>
      <c r="I251" s="53">
        <f t="shared" si="9"/>
        <v>9.8000000000000007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>
        <v>50</v>
      </c>
      <c r="B252" s="55">
        <v>261</v>
      </c>
      <c r="C252" s="55">
        <v>9</v>
      </c>
      <c r="D252" s="55">
        <v>19</v>
      </c>
      <c r="E252" s="63">
        <v>0.4</v>
      </c>
      <c r="F252" s="63"/>
      <c r="G252" s="63"/>
      <c r="H252" s="63">
        <v>0.6</v>
      </c>
      <c r="I252" s="53">
        <f t="shared" si="9"/>
        <v>8.6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>
        <v>55</v>
      </c>
      <c r="B253" s="55">
        <v>279</v>
      </c>
      <c r="C253" s="55">
        <v>10</v>
      </c>
      <c r="D253" s="55">
        <v>16</v>
      </c>
      <c r="E253" s="63">
        <v>0.4</v>
      </c>
      <c r="F253" s="63"/>
      <c r="G253" s="63"/>
      <c r="H253" s="63">
        <v>0.6</v>
      </c>
      <c r="I253" s="53">
        <f t="shared" si="9"/>
        <v>7.4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>
        <v>60</v>
      </c>
      <c r="B254" s="55">
        <v>294</v>
      </c>
      <c r="C254" s="55">
        <v>11</v>
      </c>
      <c r="D254" s="55">
        <v>14</v>
      </c>
      <c r="E254" s="63">
        <v>0.5</v>
      </c>
      <c r="F254" s="63"/>
      <c r="G254" s="63"/>
      <c r="H254" s="63">
        <v>0.5</v>
      </c>
      <c r="I254" s="53">
        <f t="shared" si="9"/>
        <v>6.2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>
        <v>65</v>
      </c>
      <c r="B255" s="55">
        <v>306</v>
      </c>
      <c r="C255" s="55">
        <v>12</v>
      </c>
      <c r="D255" s="55">
        <v>13</v>
      </c>
      <c r="E255" s="63">
        <v>0.5</v>
      </c>
      <c r="F255" s="63"/>
      <c r="G255" s="63"/>
      <c r="H255" s="63">
        <v>0.5</v>
      </c>
      <c r="I255" s="53">
        <f t="shared" si="9"/>
        <v>5.2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>
        <v>70</v>
      </c>
      <c r="B256" s="55">
        <v>316</v>
      </c>
      <c r="C256" s="55">
        <v>13</v>
      </c>
      <c r="D256" s="55">
        <v>13</v>
      </c>
      <c r="E256" s="64">
        <v>0.6</v>
      </c>
      <c r="F256" s="64"/>
      <c r="G256" s="64"/>
      <c r="H256" s="64">
        <v>0.4</v>
      </c>
      <c r="I256" s="53">
        <f t="shared" si="9"/>
        <v>4.5999999999999996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>
        <v>75</v>
      </c>
      <c r="B257" s="60">
        <v>324</v>
      </c>
      <c r="C257" s="88">
        <v>14</v>
      </c>
      <c r="D257" s="60">
        <v>12</v>
      </c>
      <c r="E257" s="54">
        <v>0.6</v>
      </c>
      <c r="F257" s="54"/>
      <c r="G257" s="54"/>
      <c r="H257" s="54">
        <v>0.4</v>
      </c>
      <c r="I257" s="53">
        <f t="shared" si="9"/>
        <v>4.2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>
        <v>80</v>
      </c>
      <c r="B258" s="50">
        <v>330</v>
      </c>
      <c r="C258" s="50">
        <v>15</v>
      </c>
      <c r="D258" s="50">
        <v>330</v>
      </c>
      <c r="E258" s="54">
        <v>0.7</v>
      </c>
      <c r="F258" s="54"/>
      <c r="G258" s="54"/>
      <c r="H258" s="54">
        <v>0.3</v>
      </c>
      <c r="I258" s="53">
        <f t="shared" si="9"/>
        <v>3.6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35" sqref="C3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17968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Cèdre de l'Atlas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Mélèze hybride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sessile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Chêne rouge d'Amérique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Hêtre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Merisier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Châtaignier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Erable sycomore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404.65492118472037</v>
      </c>
      <c r="T3" s="59">
        <f>IF('Données projet'!E9&gt;30,$R$33-$H$33,LOOKUP('Données projet'!$E$9,$A$3:$A$203,R3:R203)-LOOKUP('Données projet'!$E$9,$A$3:$A$203,$H$3:$H$203))</f>
        <v>534.22295841722166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331.17634116262298</v>
      </c>
      <c r="AO3" s="59">
        <f>IF('Données projet'!E10&gt;30,$AM$33-$H$33,LOOKUP('Données projet'!$E$10,$A$3:$A$203,AM3:AM203)-LOOKUP('Données projet'!$E$10,$A$3:$A$203,$H$3:$H$203))</f>
        <v>286.28916368940605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165.87377022031535</v>
      </c>
      <c r="BJ3" s="59">
        <f>IF('Données projet'!E11&gt;30,$BH$33-$H$33,LOOKUP('Données projet'!$E$11,$A$3:$A$203,BH3:BH203)-LOOKUP('Données projet'!$E$11,$A$3:$A$203,$H$3:$H$203))</f>
        <v>272.91122662088929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639.86968831634636</v>
      </c>
      <c r="CE3" s="59">
        <f>IF('Données projet'!E12&gt;30,$CC$33-$H$33,LOOKUP('Données projet'!$E$12,$A$3:$A$203,CC3:CC203)-LOOKUP('Données projet'!$E$12,$A$3:$A$203,$H$3:$H$203))</f>
        <v>218.1556771431184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218.76600554860482</v>
      </c>
      <c r="CZ3" s="59">
        <f>IF('Données projet'!E13&gt;30,$CX$33-$H$33,LOOKUP('Données projet'!$E$13,$A$3:$A$203,CX3:CX203)-LOOKUP('Données projet'!$E$13,$A$3:$A$203,$H$3:$H$203))</f>
        <v>264.34840059907702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442.97490100035287</v>
      </c>
      <c r="DU3" s="59">
        <f>IF('Données projet'!E14&gt;30,$DS$33-$H$33,LOOKUP('Données projet'!$E$14,$A$3:$A$203,DS3:DS203)-LOOKUP('Données projet'!$E$14,$A$3:$A$203,$H$3:$H$203))</f>
        <v>334.36243356457049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288.82868507674738</v>
      </c>
      <c r="EP3" s="59">
        <f>IF('Données projet'!E15&gt;30,$EN$33-$H$33,LOOKUP('Données projet'!$E$15,$A$3:$A$203,EN3:EN203)-LOOKUP('Données projet'!$E$15,$A$3:$A$203,$H$3:$H$203))</f>
        <v>283.48738729114024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328.55201074501201</v>
      </c>
      <c r="FK3" s="59">
        <f>IF('Données projet'!E16&gt;30,$FI$33-$H$33,LOOKUP('Données projet'!$E$16,$A$3:$A$203,FI3:FI203)-LOOKUP('Données projet'!$E$16,$A$3:$A$203,$H$3:$H$203))</f>
        <v>321.81422611044985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353.37024194969638</v>
      </c>
      <c r="GF3" s="59">
        <f>IF('Données projet'!E17&gt;30,$GD$33-$H$33,LOOKUP('Données projet'!$E$17,$A$3:$A$203,GD3:GD203)-LOOKUP('Données projet'!$E$17,$A$3:$A$203,$H$3:$H$203))</f>
        <v>345.4750813433123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11.239444444444445</v>
      </c>
      <c r="N4" s="13">
        <f>IF('Données projet'!$A$36&gt;35,N3+M4-V3,IF(A4&lt;'Données projet'!$A$36,$K$205^A4,IF(A4='Données projet'!$A$36,'Données projet'!$B$36,N3+M4-V3)))</f>
        <v>1.3431115227802051</v>
      </c>
      <c r="O4" s="13">
        <f>N4*VLOOKUP('Données projet'!$B$9,Paramètres!$A$1:$I$89,3,0)*VLOOKUP('Données projet'!$B$9,Paramètres!$A$1:$I$89,5,0)</f>
        <v>0.75079934123413472</v>
      </c>
      <c r="P4" s="13">
        <f>EXP(-1.0587+0.8836*LN(O4)+0.284)</f>
        <v>0.35773791197246635</v>
      </c>
      <c r="Q4" s="20">
        <f t="shared" ref="Q4:Q34" si="2">(O4+P4)*0.475*44/12</f>
        <v>1.9307023826681637</v>
      </c>
      <c r="R4" s="59">
        <f t="shared" si="0"/>
        <v>259.81959127155704</v>
      </c>
      <c r="S4" s="59">
        <f ca="1">AVERAGE(OFFSET($R$3,0,0,'Données projet'!$E$9+1,1))-AVERAGE(OFFSET($H$3,0,0,'Données projet'!$E$9+1,1))</f>
        <v>404.65492118472037</v>
      </c>
      <c r="T4" s="59">
        <f>$T$3</f>
        <v>534.22295841722166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8.0650000000000013</v>
      </c>
      <c r="AI4" s="13">
        <f>IF('Données projet'!$A$62&gt;35,AI3+AH4-AQ3,IF(A4&lt;'Données projet'!$A$62,$AF$205^A4,IF(A4='Données projet'!$A$62,'Données projet'!$B$62,AI3+AH4-AQ3)))</f>
        <v>8.0650000000000013</v>
      </c>
      <c r="AJ4" s="13">
        <f>AI4*VLOOKUP('Données projet'!$B$10,Paramètres!$A$1:$I$89,3,0)*VLOOKUP('Données projet'!$B$10,Paramètres!$A$1:$I$89,5,0)</f>
        <v>3.7744200000000006</v>
      </c>
      <c r="AK4" s="13">
        <f>EXP(-1.0587+0.8836*LN(AJ4)+0.284)</f>
        <v>1.4902424268606931</v>
      </c>
      <c r="AL4" s="20">
        <f t="shared" ref="AL4:AL67" si="4">(AJ4+AK4)*0.475*44/12</f>
        <v>9.1692870601157086</v>
      </c>
      <c r="AM4" s="59">
        <f t="shared" ref="AM4:AM67" si="5">AL4+(AD4+AE4)*44/12</f>
        <v>267.05817594900458</v>
      </c>
      <c r="AN4" s="59">
        <f ca="1">AVERAGE(OFFSET($AM$3,0,0,'Données projet'!$E$10+1,1))-AVERAGE(OFFSET($H$3,0,0,'Données projet'!$E$10+1,1))</f>
        <v>331.17634116262298</v>
      </c>
      <c r="AO4" s="59">
        <f>$AO$3</f>
        <v>286.28916368940605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7.416666666666667</v>
      </c>
      <c r="BD4" s="12">
        <f>IF('Données projet'!$A$88&gt;35,BD3+BC4-BL3,IF(A4&lt;'Données projet'!$A$88,$BA$205^A4,IF(A4='Données projet'!$A$88,'Données projet'!$B$88,BD3+BC4-BL3)))</f>
        <v>1.4536142347546801</v>
      </c>
      <c r="BE4" s="13">
        <f>BD4*VLOOKUP('Données projet'!$B$11,Paramètres!$A$1:$I$89,3,0)*VLOOKUP('Données projet'!$B$11,Paramètres!$A$1:$I$89,5,0)</f>
        <v>0.79367337217605538</v>
      </c>
      <c r="BF4" s="13">
        <f>EXP(-1.0587+0.8836*LN(BE4)+0.284)</f>
        <v>0.37572973666198917</v>
      </c>
      <c r="BG4" s="20">
        <f t="shared" ref="BG4:BG67" si="7">(BE4+BF4)*0.475*44/12</f>
        <v>2.0367104145595945</v>
      </c>
      <c r="BH4" s="59">
        <f t="shared" ref="BH4:BH67" si="8">BG4+(AY4+AZ4)*44/12</f>
        <v>259.92559930344845</v>
      </c>
      <c r="BI4" s="59">
        <f ca="1">AVERAGE(OFFSET($BH$3,0,0,'Données projet'!$E$11+1,1))-AVERAGE(OFFSET($H$3,0,0,'Données projet'!$E$11+1,1))</f>
        <v>165.87377022031535</v>
      </c>
      <c r="BJ4" s="59">
        <f>$BJ$3</f>
        <v>272.91122662088929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4.8385294117647053</v>
      </c>
      <c r="BY4" s="12">
        <f>IF('Données projet'!$A$114&gt;35,BY3+BX4-CG3,IF(A4&lt;'Données projet'!$A$114,$BV$205^A4,IF(A4='Données projet'!$A$114,'Données projet'!$B$114,BY3+BX4-CG3)))</f>
        <v>1.1619357832300399</v>
      </c>
      <c r="BZ4" s="13">
        <f>BY4*VLOOKUP('Données projet'!$B$12,Paramètres!$A$1:$I$89,3,0)*VLOOKUP('Données projet'!$B$12,Paramètres!$A$1:$I$89,5,0)</f>
        <v>1.05131949666654</v>
      </c>
      <c r="CA4" s="13">
        <f>EXP(-1.0587+0.8836*LN(BZ4)+0.284)</f>
        <v>0.48167805673317871</v>
      </c>
      <c r="CB4" s="20">
        <f t="shared" ref="CB4:CB67" si="10">(BZ4+CA4)*0.475*44/12</f>
        <v>2.6699707388378435</v>
      </c>
      <c r="CC4" s="59">
        <f t="shared" ref="CC4:CC67" si="11">CB4+(BT4+BU4)*44/12</f>
        <v>260.55885962772669</v>
      </c>
      <c r="CD4" s="59">
        <f ca="1">AVERAGE(OFFSET($CC$3,0,0,'Données projet'!$E$12+1,1))-AVERAGE(OFFSET($H$3,0,0,'Données projet'!$E$12+1,1))</f>
        <v>639.86968831634636</v>
      </c>
      <c r="CE4" s="59">
        <f>$CE$3</f>
        <v>218.1556771431184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3.7180000000000004</v>
      </c>
      <c r="CT4" s="12">
        <f>IF('Données projet'!$A$140&gt;35,CT3+CS4-DB3,IF(A4&lt;'Données projet'!$A$140,$CQ$205^A4,IF(A4='Données projet'!$A$140,'Données projet'!$B$140,CT3+CS4-DB3)))</f>
        <v>1.307454877737404</v>
      </c>
      <c r="CU4" s="17">
        <f>CT4*VLOOKUP('Données projet'!$B$13,Paramètres!$A$1:$I$89,3,0)*VLOOKUP('Données projet'!$B$13,Paramètres!$A$1:$I$89,5,0)</f>
        <v>1.1421925811913962</v>
      </c>
      <c r="CV4" s="13">
        <f>EXP(-1.0587+0.8836*LN(CU4)+0.284)</f>
        <v>0.5182872691601087</v>
      </c>
      <c r="CW4" s="20">
        <f t="shared" ref="CW4:CW67" si="13">(CU4+CV4)*0.475*44/12</f>
        <v>2.8920024060288707</v>
      </c>
      <c r="CX4" s="59">
        <f t="shared" ref="CX4:CX67" si="14">CW4+(CO4+CP4)*44/12</f>
        <v>260.78089129491775</v>
      </c>
      <c r="CY4" s="59">
        <f ca="1">AVERAGE(OFFSET($CX$3,0,0,'Données projet'!$E$13+1,1))-AVERAGE(OFFSET($H$3,0,0,'Données projet'!$E$13+1,1))</f>
        <v>218.76600554860482</v>
      </c>
      <c r="CZ4" s="59">
        <f>$CZ$3</f>
        <v>264.34840059907702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5.2692857142857141</v>
      </c>
      <c r="DO4" s="12">
        <f>IF('Données projet'!$A$166&gt;35,DO3+DN4-DW3,IF(A4&lt;'Données projet'!$A$166,$DL$205^A4,IF(A4='Données projet'!$A$166,'Données projet'!$B$166,DO3+DN4-DW3)))</f>
        <v>5.2692857142857141</v>
      </c>
      <c r="DP4" s="17">
        <f>DO4*VLOOKUP('Données projet'!$B$14,Paramètres!$A$1:$I$89,3,0)*VLOOKUP('Données projet'!$B$14,Paramètres!$A$1:$I$89,5,0)</f>
        <v>4.5210471428571433</v>
      </c>
      <c r="DQ4" s="13">
        <f>EXP(-1.0587+0.8836*LN(DP4)+0.284)</f>
        <v>1.7479188935417582</v>
      </c>
      <c r="DR4" s="20">
        <f t="shared" ref="DR4:DR67" si="16">(DP4+DQ4)*0.475*44/12</f>
        <v>10.918449180061421</v>
      </c>
      <c r="DS4" s="59">
        <f t="shared" ref="DS4:DS67" si="17">DR4+(DJ4+DK4)*44/12</f>
        <v>268.80733806895029</v>
      </c>
      <c r="DT4" s="59">
        <f ca="1">AVERAGE(OFFSET($DS$3,0,0,'Données projet'!$E$14+1,1))-AVERAGE(OFFSET($H$3,0,0,'Données projet'!$E$14+1,1))</f>
        <v>442.97490100035287</v>
      </c>
      <c r="DU4" s="59">
        <f>$DU$3</f>
        <v>334.36243356457049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2.6666666666666665</v>
      </c>
      <c r="EJ4" s="12">
        <f>IF('Données projet'!$A$192&gt;35,EJ3+EI4-ER3,IF(A4&lt;'Données projet'!$A$192,$EG$205^A4,IF(A4='Données projet'!$A$192,'Données projet'!$B$192,EJ3+EI4-ER3)))</f>
        <v>1.2788040393997409</v>
      </c>
      <c r="EK4" s="17">
        <f>EJ4*VLOOKUP('Données projet'!$B$15,Paramètres!$A$1:$I$89,3,0)*VLOOKUP('Données projet'!$B$15,Paramètres!$A$1:$I$89,5,0)</f>
        <v>0.99746715073179792</v>
      </c>
      <c r="EL4" s="13">
        <f>EXP(-1.0587+0.8836*LN(EK4)+0.284)</f>
        <v>0.45981048445793882</v>
      </c>
      <c r="EM4" s="20">
        <f t="shared" ref="EM4:EM67" si="19">(EK4+EL4)*0.475*44/12</f>
        <v>2.5380918812887914</v>
      </c>
      <c r="EN4" s="59">
        <f t="shared" ref="EN4:EN67" si="20">EM4+(EE4+EF4)*44/12</f>
        <v>260.42698077017764</v>
      </c>
      <c r="EO4" s="59">
        <f ca="1">AVERAGE(OFFSET($EN$3,0,0,'Données projet'!$E$15+1,1))-AVERAGE(OFFSET($H$3,0,0,'Données projet'!$E$15+1,1))</f>
        <v>288.82868507674738</v>
      </c>
      <c r="EP4" s="59">
        <f>$EP$3</f>
        <v>283.48738729114024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0.93188372027207511</v>
      </c>
      <c r="FG4" s="13">
        <f>EXP(-1.0587+0.8836*LN(FF4)+0.284)</f>
        <v>0.43299221190803017</v>
      </c>
      <c r="FH4" s="20">
        <f t="shared" ref="FH4:FH67" si="22">(FF4+FG4)*0.475*44/12</f>
        <v>2.3771589152136832</v>
      </c>
      <c r="FI4" s="59">
        <f t="shared" ref="FI4:FI67" si="23">FH4+(EZ4+FA4)*44/12</f>
        <v>260.26604780410253</v>
      </c>
      <c r="FJ4" s="59">
        <f ca="1">AVERAGE(OFFSET($FI$3,0,0,'Données projet'!$E$16+1,1))-AVERAGE(OFFSET($H$3,0,0,'Données projet'!$E$16+1,1))</f>
        <v>328.55201074501201</v>
      </c>
      <c r="FK4" s="59">
        <f>$FK$3</f>
        <v>321.81422611044985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1.1000000000000001</v>
      </c>
      <c r="FZ4" s="12">
        <f>IF('Données projet'!$A$244&gt;35,FZ3+FY4-GH3,IF(A4&lt;'Données projet'!$A$244,$FW$205^A4,IF(A4='Données projet'!$A$244,'Données projet'!$B$244,FZ3+FY4-GH3)))</f>
        <v>1.2709816152101407</v>
      </c>
      <c r="GA4" s="17">
        <f>FZ4*VLOOKUP('Données projet'!$B$17,Paramètres!$A$1:$I$89,3,0)*VLOOKUP('Données projet'!$B$17,Paramètres!$A$1:$I$89,5,0)</f>
        <v>1.0111929730611879</v>
      </c>
      <c r="GB4" s="13">
        <f>EXP(-1.0587+0.8836*LN(GA4)+0.284)</f>
        <v>0.46539683474213156</v>
      </c>
      <c r="GC4" s="20">
        <f t="shared" ref="GC4:GC67" si="25">(GA4+GB4)*0.475*44/12</f>
        <v>2.5717272485907814</v>
      </c>
      <c r="GD4" s="59">
        <f t="shared" ref="GD4:GD67" si="26">GC4+(FU4+FV4)*44/12</f>
        <v>260.46061613747963</v>
      </c>
      <c r="GE4" s="59">
        <f ca="1">AVERAGE(OFFSET($GD$3,0,0,'Données projet'!$E$17+1,1))-AVERAGE(OFFSET($H$3,0,0,'Données projet'!$E$17+1,1))</f>
        <v>353.37024194969638</v>
      </c>
      <c r="GF4" s="59">
        <f>$GF$3</f>
        <v>345.4750813433123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11.239444444444445</v>
      </c>
      <c r="N5" s="13">
        <f>IF('Données projet'!$A$36&gt;35,N4+M5-V4,IF(A5&lt;'Données projet'!$A$36,$K$205^A5,IF(A5='Données projet'!$A$36,'Données projet'!$B$36,N4+M5-V4)))</f>
        <v>1.8039485626249614</v>
      </c>
      <c r="O5" s="13">
        <f>N5*VLOOKUP('Données projet'!$B$9,Paramètres!$A$1:$I$89,3,0)*VLOOKUP('Données projet'!$B$9,Paramètres!$A$1:$I$89,5,0)</f>
        <v>1.0084072465073535</v>
      </c>
      <c r="P5" s="13">
        <f t="shared" ref="P5:P68" si="33">EXP(-1.0587+0.8836*LN(O5)+0.284)</f>
        <v>0.46426377379325989</v>
      </c>
      <c r="Q5" s="20">
        <f t="shared" si="2"/>
        <v>2.5649020270235678</v>
      </c>
      <c r="R5" s="59">
        <f t="shared" si="0"/>
        <v>261.67601313813469</v>
      </c>
      <c r="S5" s="59">
        <f ca="1">AVERAGE(OFFSET($R$3,0,0,'Données projet'!$E$9+1,1))-AVERAGE(OFFSET($H$3,0,0,'Données projet'!$E$9+1,1))</f>
        <v>404.65492118472037</v>
      </c>
      <c r="T5" s="59">
        <f t="shared" ref="T5:T68" si="34">$T$3</f>
        <v>534.22295841722166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8.0650000000000013</v>
      </c>
      <c r="AI5" s="13">
        <f>IF('Données projet'!$A$62&gt;35,AI4+AH5-AQ4,IF(A5&lt;'Données projet'!$A$62,$AF$205^A5,IF(A5='Données projet'!$A$62,'Données projet'!$B$62,AI4+AH5-AQ4)))</f>
        <v>16.130000000000003</v>
      </c>
      <c r="AJ5" s="13">
        <f>AI5*VLOOKUP('Données projet'!$B$10,Paramètres!$A$1:$I$89,3,0)*VLOOKUP('Données projet'!$B$10,Paramètres!$A$1:$I$89,5,0)</f>
        <v>7.5488400000000011</v>
      </c>
      <c r="AK5" s="13">
        <f t="shared" ref="AK5:AK68" si="35">EXP(-1.0587+0.8836*LN(AJ5)+0.284)</f>
        <v>2.7494576060361031</v>
      </c>
      <c r="AL5" s="20">
        <f t="shared" si="4"/>
        <v>17.936201663846216</v>
      </c>
      <c r="AM5" s="59">
        <f t="shared" si="5"/>
        <v>277.04731277495733</v>
      </c>
      <c r="AN5" s="59">
        <f ca="1">AVERAGE(OFFSET($AM$3,0,0,'Données projet'!$E$10+1,1))-AVERAGE(OFFSET($H$3,0,0,'Données projet'!$E$10+1,1))</f>
        <v>331.17634116262298</v>
      </c>
      <c r="AO5" s="59">
        <f t="shared" ref="AO5:AO68" si="36">$AO$3</f>
        <v>286.28916368940605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7.416666666666667</v>
      </c>
      <c r="BD5" s="12">
        <f>IF('Données projet'!$A$88&gt;35,BD4+BC5-BL4,IF(A5&lt;'Données projet'!$A$88,$BA$205^A5,IF(A5='Données projet'!$A$88,'Données projet'!$B$88,BD4+BC5-BL4)))</f>
        <v>2.1129943434814344</v>
      </c>
      <c r="BE5" s="13">
        <f>BD5*VLOOKUP('Données projet'!$B$11,Paramètres!$A$1:$I$89,3,0)*VLOOKUP('Données projet'!$B$11,Paramètres!$A$1:$I$89,5,0)</f>
        <v>1.1536949115408632</v>
      </c>
      <c r="BF5" s="13">
        <f t="shared" ref="BF5:BF68" si="37">EXP(-1.0587+0.8836*LN(BE5)+0.284)</f>
        <v>0.52289640052401376</v>
      </c>
      <c r="BG5" s="20">
        <f t="shared" si="7"/>
        <v>2.9200632018463271</v>
      </c>
      <c r="BH5" s="59">
        <f t="shared" si="8"/>
        <v>262.03117431295749</v>
      </c>
      <c r="BI5" s="59">
        <f ca="1">AVERAGE(OFFSET($BH$3,0,0,'Données projet'!$E$11+1,1))-AVERAGE(OFFSET($H$3,0,0,'Données projet'!$E$11+1,1))</f>
        <v>165.87377022031535</v>
      </c>
      <c r="BJ5" s="59">
        <f t="shared" ref="BJ5:BJ68" si="38">$BJ$3</f>
        <v>272.91122662088929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4.8385294117647053</v>
      </c>
      <c r="BY5" s="12">
        <f>IF('Données projet'!$A$114&gt;35,BY4+BX5-CG4,IF(A5&lt;'Données projet'!$A$114,$BV$205^A5,IF(A5='Données projet'!$A$114,'Données projet'!$B$114,BY4+BX5-CG4)))</f>
        <v>1.3500947643504062</v>
      </c>
      <c r="BZ5" s="13">
        <f>BY5*VLOOKUP('Données projet'!$B$12,Paramètres!$A$1:$I$89,3,0)*VLOOKUP('Données projet'!$B$12,Paramètres!$A$1:$I$89,5,0)</f>
        <v>1.2215657427842475</v>
      </c>
      <c r="CA5" s="13">
        <f t="shared" ref="CA5:CA68" si="39">EXP(-1.0587+0.8836*LN(BZ5)+0.284)</f>
        <v>0.54998619568830276</v>
      </c>
      <c r="CB5" s="20">
        <f t="shared" si="10"/>
        <v>3.0854529595063585</v>
      </c>
      <c r="CC5" s="59">
        <f t="shared" si="11"/>
        <v>262.19656407061751</v>
      </c>
      <c r="CD5" s="59">
        <f ca="1">AVERAGE(OFFSET($CC$3,0,0,'Données projet'!$E$12+1,1))-AVERAGE(OFFSET($H$3,0,0,'Données projet'!$E$12+1,1))</f>
        <v>639.86968831634636</v>
      </c>
      <c r="CE5" s="59">
        <f t="shared" ref="CE5:CE68" si="40">$CE$3</f>
        <v>218.1556771431184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3.7180000000000004</v>
      </c>
      <c r="CT5" s="12">
        <f>IF('Données projet'!$A$140&gt;35,CT4+CS5-DB4,IF(A5&lt;'Données projet'!$A$140,$CQ$205^A5,IF(A5='Données projet'!$A$140,'Données projet'!$B$140,CT4+CS5-DB4)))</f>
        <v>1.7094382573193301</v>
      </c>
      <c r="CU5" s="17">
        <f>CT5*VLOOKUP('Données projet'!$B$13,Paramètres!$A$1:$I$89,3,0)*VLOOKUP('Données projet'!$B$13,Paramètres!$A$1:$I$89,5,0)</f>
        <v>1.4933652615941668</v>
      </c>
      <c r="CV5" s="13">
        <f t="shared" ref="CV5:CV68" si="41">EXP(-1.0587+0.8836*LN(CU5)+0.284)</f>
        <v>0.6568182054580447</v>
      </c>
      <c r="CW5" s="20">
        <f t="shared" si="13"/>
        <v>3.744902871782601</v>
      </c>
      <c r="CX5" s="59">
        <f t="shared" si="14"/>
        <v>262.85601398289373</v>
      </c>
      <c r="CY5" s="59">
        <f ca="1">AVERAGE(OFFSET($CX$3,0,0,'Données projet'!$E$13+1,1))-AVERAGE(OFFSET($H$3,0,0,'Données projet'!$E$13+1,1))</f>
        <v>218.76600554860482</v>
      </c>
      <c r="CZ5" s="59">
        <f t="shared" ref="CZ5:CZ68" si="42">$CZ$3</f>
        <v>264.34840059907702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5.2692857142857141</v>
      </c>
      <c r="DO5" s="12">
        <f>IF('Données projet'!$A$166&gt;35,DO4+DN5-DW4,IF(A5&lt;'Données projet'!$A$166,$DL$205^A5,IF(A5='Données projet'!$A$166,'Données projet'!$B$166,DO4+DN5-DW4)))</f>
        <v>10.538571428571428</v>
      </c>
      <c r="DP5" s="17">
        <f>DO5*VLOOKUP('Données projet'!$B$14,Paramètres!$A$1:$I$89,3,0)*VLOOKUP('Données projet'!$B$14,Paramètres!$A$1:$I$89,5,0)</f>
        <v>9.0420942857142865</v>
      </c>
      <c r="DQ5" s="13">
        <f t="shared" ref="DQ5:DQ68" si="43">EXP(-1.0587+0.8836*LN(DP5)+0.284)</f>
        <v>3.2248638274957941</v>
      </c>
      <c r="DR5" s="20">
        <f t="shared" si="16"/>
        <v>21.364952047174224</v>
      </c>
      <c r="DS5" s="59">
        <f t="shared" si="17"/>
        <v>280.47606315828534</v>
      </c>
      <c r="DT5" s="59">
        <f ca="1">AVERAGE(OFFSET($DS$3,0,0,'Données projet'!$E$14+1,1))-AVERAGE(OFFSET($H$3,0,0,'Données projet'!$E$14+1,1))</f>
        <v>442.97490100035287</v>
      </c>
      <c r="DU5" s="59">
        <f t="shared" ref="DU5:DU68" si="44">$DU$3</f>
        <v>334.36243356457049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2.6666666666666665</v>
      </c>
      <c r="EJ5" s="12">
        <f>IF('Données projet'!$A$192&gt;35,EJ4+EI5-ER4,IF(A5&lt;'Données projet'!$A$192,$EG$205^A5,IF(A5='Données projet'!$A$192,'Données projet'!$B$192,EJ4+EI5-ER4)))</f>
        <v>1.6353397711850939</v>
      </c>
      <c r="EK5" s="17">
        <f>EJ5*VLOOKUP('Données projet'!$B$15,Paramètres!$A$1:$I$89,3,0)*VLOOKUP('Données projet'!$B$15,Paramètres!$A$1:$I$89,5,0)</f>
        <v>1.2755650215243732</v>
      </c>
      <c r="EL5" s="13">
        <f t="shared" ref="EL5:EL68" si="45">EXP(-1.0587+0.8836*LN(EK5)+0.284)</f>
        <v>0.57141400910743001</v>
      </c>
      <c r="EM5" s="20">
        <f t="shared" si="19"/>
        <v>3.2168218116837237</v>
      </c>
      <c r="EN5" s="59">
        <f t="shared" si="20"/>
        <v>262.32793292279484</v>
      </c>
      <c r="EO5" s="59">
        <f ca="1">AVERAGE(OFFSET($EN$3,0,0,'Données projet'!$E$15+1,1))-AVERAGE(OFFSET($H$3,0,0,'Données projet'!$E$15+1,1))</f>
        <v>288.82868507674738</v>
      </c>
      <c r="EP5" s="59">
        <f t="shared" ref="EP5:EP68" si="46">$EP$3</f>
        <v>283.48738729114024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1.1844070759794372</v>
      </c>
      <c r="FG5" s="13">
        <f t="shared" ref="FG5:FG68" si="47">EXP(-1.0587+0.8836*LN(FF5)+0.284)</f>
        <v>0.53517712549257934</v>
      </c>
      <c r="FH5" s="20">
        <f t="shared" si="22"/>
        <v>2.9949424842304286</v>
      </c>
      <c r="FI5" s="59">
        <f t="shared" si="23"/>
        <v>262.10605359534156</v>
      </c>
      <c r="FJ5" s="59">
        <f ca="1">AVERAGE(OFFSET($FI$3,0,0,'Données projet'!$E$16+1,1))-AVERAGE(OFFSET($H$3,0,0,'Données projet'!$E$16+1,1))</f>
        <v>328.55201074501201</v>
      </c>
      <c r="FK5" s="59">
        <f t="shared" ref="FK5:FK68" si="48">$FK$3</f>
        <v>321.81422611044985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1.1000000000000001</v>
      </c>
      <c r="FZ5" s="12">
        <f>IF('Données projet'!$A$244&gt;35,FZ4+FY5-GH4,IF(A5&lt;'Données projet'!$A$244,$FW$205^A5,IF(A5='Données projet'!$A$244,'Données projet'!$B$244,FZ4+FY5-GH4)))</f>
        <v>1.6153942662021783</v>
      </c>
      <c r="GA5" s="17">
        <f>FZ5*VLOOKUP('Données projet'!$B$17,Paramètres!$A$1:$I$89,3,0)*VLOOKUP('Données projet'!$B$17,Paramètres!$A$1:$I$89,5,0)</f>
        <v>1.2852076781904531</v>
      </c>
      <c r="GB5" s="13">
        <f t="shared" ref="GB5:GB68" si="49">EXP(-1.0587+0.8836*LN(GA5)+0.284)</f>
        <v>0.57522914588482876</v>
      </c>
      <c r="GC5" s="20">
        <f t="shared" si="25"/>
        <v>3.2402608019311159</v>
      </c>
      <c r="GD5" s="59">
        <f t="shared" si="26"/>
        <v>262.35137191304227</v>
      </c>
      <c r="GE5" s="59">
        <f ca="1">AVERAGE(OFFSET($GD$3,0,0,'Données projet'!$E$17+1,1))-AVERAGE(OFFSET($H$3,0,0,'Données projet'!$E$17+1,1))</f>
        <v>353.37024194969638</v>
      </c>
      <c r="GF5" s="59">
        <f t="shared" ref="GF5:GF68" si="50">$GF$3</f>
        <v>345.4750813433123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11.239444444444445</v>
      </c>
      <c r="N6" s="13">
        <f>IF('Données projet'!$A$36&gt;35,N5+M6-V5,IF(A6&lt;'Données projet'!$A$36,$K$205^A6,IF(A6='Données projet'!$A$36,'Données projet'!$B$36,N5+M6-V5)))</f>
        <v>2.4229041009643741</v>
      </c>
      <c r="O6" s="13">
        <f>N6*VLOOKUP('Données projet'!$B$9,Paramètres!$A$1:$I$89,3,0)*VLOOKUP('Données projet'!$B$9,Paramètres!$A$1:$I$89,5,0)</f>
        <v>1.3544033924390853</v>
      </c>
      <c r="P6" s="13">
        <f t="shared" si="33"/>
        <v>0.60251050963071695</v>
      </c>
      <c r="Q6" s="20">
        <f t="shared" si="2"/>
        <v>3.4082917127715717</v>
      </c>
      <c r="R6" s="59">
        <f t="shared" si="0"/>
        <v>263.7416250461049</v>
      </c>
      <c r="S6" s="59">
        <f ca="1">AVERAGE(OFFSET($R$3,0,0,'Données projet'!$E$9+1,1))-AVERAGE(OFFSET($H$3,0,0,'Données projet'!$E$9+1,1))</f>
        <v>404.65492118472037</v>
      </c>
      <c r="T6" s="59">
        <f t="shared" si="34"/>
        <v>534.22295841722166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8.0650000000000013</v>
      </c>
      <c r="AI6" s="13">
        <f>IF('Données projet'!$A$62&gt;35,AI5+AH6-AQ5,IF(A6&lt;'Données projet'!$A$62,$AF$205^A6,IF(A6='Données projet'!$A$62,'Données projet'!$B$62,AI5+AH6-AQ5)))</f>
        <v>24.195000000000004</v>
      </c>
      <c r="AJ6" s="13">
        <f>AI6*VLOOKUP('Données projet'!$B$10,Paramètres!$A$1:$I$89,3,0)*VLOOKUP('Données projet'!$B$10,Paramètres!$A$1:$I$89,5,0)</f>
        <v>11.323260000000001</v>
      </c>
      <c r="AK6" s="13">
        <f t="shared" si="35"/>
        <v>3.934062581051549</v>
      </c>
      <c r="AL6" s="20">
        <f t="shared" si="4"/>
        <v>26.573170161998117</v>
      </c>
      <c r="AM6" s="59">
        <f t="shared" si="5"/>
        <v>286.90650349533144</v>
      </c>
      <c r="AN6" s="59">
        <f ca="1">AVERAGE(OFFSET($AM$3,0,0,'Données projet'!$E$10+1,1))-AVERAGE(OFFSET($H$3,0,0,'Données projet'!$E$10+1,1))</f>
        <v>331.17634116262298</v>
      </c>
      <c r="AO6" s="59">
        <f t="shared" si="36"/>
        <v>286.28916368940605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7.416666666666667</v>
      </c>
      <c r="BD6" s="12">
        <f>IF('Données projet'!$A$88&gt;35,BD5+BC6-BL5,IF(A6&lt;'Données projet'!$A$88,$BA$205^A6,IF(A6='Données projet'!$A$88,'Données projet'!$B$88,BD5+BC6-BL5)))</f>
        <v>3.0714786556407332</v>
      </c>
      <c r="BE6" s="13">
        <f>BD6*VLOOKUP('Données projet'!$B$11,Paramètres!$A$1:$I$89,3,0)*VLOOKUP('Données projet'!$B$11,Paramètres!$A$1:$I$89,5,0)</f>
        <v>1.6770273459798404</v>
      </c>
      <c r="BF6" s="13">
        <f t="shared" si="37"/>
        <v>0.72770563253805531</v>
      </c>
      <c r="BG6" s="20">
        <f t="shared" si="7"/>
        <v>4.1882432709186679</v>
      </c>
      <c r="BH6" s="59">
        <f t="shared" si="8"/>
        <v>264.521576604252</v>
      </c>
      <c r="BI6" s="59">
        <f ca="1">AVERAGE(OFFSET($BH$3,0,0,'Données projet'!$E$11+1,1))-AVERAGE(OFFSET($H$3,0,0,'Données projet'!$E$11+1,1))</f>
        <v>165.87377022031535</v>
      </c>
      <c r="BJ6" s="59">
        <f t="shared" si="38"/>
        <v>272.91122662088929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4.8385294117647053</v>
      </c>
      <c r="BY6" s="12">
        <f>IF('Données projet'!$A$114&gt;35,BY5+BX6-CG5,IF(A6&lt;'Données projet'!$A$114,$BV$205^A6,IF(A6='Données projet'!$A$114,'Données projet'!$B$114,BY5+BX6-CG5)))</f>
        <v>1.5687234174502653</v>
      </c>
      <c r="BZ6" s="13">
        <f>BY6*VLOOKUP('Données projet'!$B$12,Paramètres!$A$1:$I$89,3,0)*VLOOKUP('Données projet'!$B$12,Paramètres!$A$1:$I$89,5,0)</f>
        <v>1.4193809481090001</v>
      </c>
      <c r="CA6" s="13">
        <f t="shared" si="39"/>
        <v>0.62798130664119256</v>
      </c>
      <c r="CB6" s="20">
        <f t="shared" si="10"/>
        <v>3.5658225936899188</v>
      </c>
      <c r="CC6" s="59">
        <f t="shared" si="11"/>
        <v>263.89915592702323</v>
      </c>
      <c r="CD6" s="59">
        <f ca="1">AVERAGE(OFFSET($CC$3,0,0,'Données projet'!$E$12+1,1))-AVERAGE(OFFSET($H$3,0,0,'Données projet'!$E$12+1,1))</f>
        <v>639.86968831634636</v>
      </c>
      <c r="CE6" s="59">
        <f t="shared" si="40"/>
        <v>218.1556771431184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3.7180000000000004</v>
      </c>
      <c r="CT6" s="12">
        <f>IF('Données projet'!$A$140&gt;35,CT5+CS6-DB5,IF(A6&lt;'Données projet'!$A$140,$CQ$205^A6,IF(A6='Données projet'!$A$140,'Données projet'!$B$140,CT5+CS6-DB5)))</f>
        <v>2.2350133877230856</v>
      </c>
      <c r="CU6" s="17">
        <f>CT6*VLOOKUP('Données projet'!$B$13,Paramètres!$A$1:$I$89,3,0)*VLOOKUP('Données projet'!$B$13,Paramètres!$A$1:$I$89,5,0)</f>
        <v>1.9525076955148879</v>
      </c>
      <c r="CV6" s="13">
        <f t="shared" si="41"/>
        <v>0.83237652300476539</v>
      </c>
      <c r="CW6" s="20">
        <f t="shared" si="13"/>
        <v>4.8503400139217296</v>
      </c>
      <c r="CX6" s="59">
        <f t="shared" si="14"/>
        <v>265.18367334725502</v>
      </c>
      <c r="CY6" s="59">
        <f ca="1">AVERAGE(OFFSET($CX$3,0,0,'Données projet'!$E$13+1,1))-AVERAGE(OFFSET($H$3,0,0,'Données projet'!$E$13+1,1))</f>
        <v>218.76600554860482</v>
      </c>
      <c r="CZ6" s="59">
        <f t="shared" si="42"/>
        <v>264.34840059907702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5.2692857142857141</v>
      </c>
      <c r="DO6" s="12">
        <f>IF('Données projet'!$A$166&gt;35,DO5+DN6-DW5,IF(A6&lt;'Données projet'!$A$166,$DL$205^A6,IF(A6='Données projet'!$A$166,'Données projet'!$B$166,DO5+DN6-DW5)))</f>
        <v>15.807857142857141</v>
      </c>
      <c r="DP6" s="17">
        <f>DO6*VLOOKUP('Données projet'!$B$14,Paramètres!$A$1:$I$89,3,0)*VLOOKUP('Données projet'!$B$14,Paramètres!$A$1:$I$89,5,0)</f>
        <v>13.563141428571427</v>
      </c>
      <c r="DQ6" s="13">
        <f t="shared" si="43"/>
        <v>4.6142977745448768</v>
      </c>
      <c r="DR6" s="20">
        <f t="shared" si="16"/>
        <v>31.659039945427555</v>
      </c>
      <c r="DS6" s="59">
        <f t="shared" si="17"/>
        <v>291.99237327876085</v>
      </c>
      <c r="DT6" s="59">
        <f ca="1">AVERAGE(OFFSET($DS$3,0,0,'Données projet'!$E$14+1,1))-AVERAGE(OFFSET($H$3,0,0,'Données projet'!$E$14+1,1))</f>
        <v>442.97490100035287</v>
      </c>
      <c r="DU6" s="59">
        <f t="shared" si="44"/>
        <v>334.36243356457049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2.6666666666666665</v>
      </c>
      <c r="EJ6" s="12">
        <f>IF('Données projet'!$A$192&gt;35,EJ5+EI6-ER5,IF(A6&lt;'Données projet'!$A$192,$EG$205^A6,IF(A6='Données projet'!$A$192,'Données projet'!$B$192,EJ5+EI6-ER5)))</f>
        <v>2.0912791051825459</v>
      </c>
      <c r="EK6" s="17">
        <f>EJ6*VLOOKUP('Données projet'!$B$15,Paramètres!$A$1:$I$89,3,0)*VLOOKUP('Données projet'!$B$15,Paramètres!$A$1:$I$89,5,0)</f>
        <v>1.6311977020423858</v>
      </c>
      <c r="EL6" s="13">
        <f t="shared" si="45"/>
        <v>0.71010553443370616</v>
      </c>
      <c r="EM6" s="20">
        <f t="shared" si="19"/>
        <v>4.0777698035291934</v>
      </c>
      <c r="EN6" s="59">
        <f t="shared" si="20"/>
        <v>264.41110313686249</v>
      </c>
      <c r="EO6" s="59">
        <f ca="1">AVERAGE(OFFSET($EN$3,0,0,'Données projet'!$E$15+1,1))-AVERAGE(OFFSET($H$3,0,0,'Données projet'!$E$15+1,1))</f>
        <v>288.82868507674738</v>
      </c>
      <c r="EP6" s="59">
        <f t="shared" si="46"/>
        <v>283.48738729114024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1.5053596184946649</v>
      </c>
      <c r="FG6" s="13">
        <f t="shared" si="47"/>
        <v>0.66147738405820555</v>
      </c>
      <c r="FH6" s="20">
        <f t="shared" si="22"/>
        <v>3.7739077794462492</v>
      </c>
      <c r="FI6" s="59">
        <f t="shared" si="23"/>
        <v>264.10724111277955</v>
      </c>
      <c r="FJ6" s="59">
        <f ca="1">AVERAGE(OFFSET($FI$3,0,0,'Données projet'!$E$16+1,1))-AVERAGE(OFFSET($H$3,0,0,'Données projet'!$E$16+1,1))</f>
        <v>328.55201074501201</v>
      </c>
      <c r="FK6" s="59">
        <f t="shared" si="48"/>
        <v>321.81422611044985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1.1000000000000001</v>
      </c>
      <c r="FZ6" s="12">
        <f>IF('Données projet'!$A$244&gt;35,FZ5+FY6-GH5,IF(A6&lt;'Données projet'!$A$244,$FW$205^A6,IF(A6='Données projet'!$A$244,'Données projet'!$B$244,FZ5+FY6-GH5)))</f>
        <v>2.0531364136588448</v>
      </c>
      <c r="GA6" s="17">
        <f>FZ6*VLOOKUP('Données projet'!$B$17,Paramètres!$A$1:$I$89,3,0)*VLOOKUP('Données projet'!$B$17,Paramètres!$A$1:$I$89,5,0)</f>
        <v>1.6334753307069771</v>
      </c>
      <c r="GB6" s="13">
        <f t="shared" si="49"/>
        <v>0.71098156578295024</v>
      </c>
      <c r="GC6" s="20">
        <f t="shared" si="25"/>
        <v>4.0832624280532892</v>
      </c>
      <c r="GD6" s="59">
        <f t="shared" si="26"/>
        <v>264.41659576138659</v>
      </c>
      <c r="GE6" s="59">
        <f ca="1">AVERAGE(OFFSET($GD$3,0,0,'Données projet'!$E$17+1,1))-AVERAGE(OFFSET($H$3,0,0,'Données projet'!$E$17+1,1))</f>
        <v>353.37024194969638</v>
      </c>
      <c r="GF6" s="59">
        <f t="shared" si="50"/>
        <v>345.4750813433123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11.239444444444445</v>
      </c>
      <c r="N7" s="13">
        <f>IF('Données projet'!$A$36&gt;35,N6+M7-V6,IF(A7&lt;'Données projet'!$A$36,$K$205^A7,IF(A7='Données projet'!$A$36,'Données projet'!$B$36,N6+M7-V6)))</f>
        <v>3.2542304165966645</v>
      </c>
      <c r="O7" s="13">
        <f>N7*VLOOKUP('Données projet'!$B$9,Paramètres!$A$1:$I$89,3,0)*VLOOKUP('Données projet'!$B$9,Paramètres!$A$1:$I$89,5,0)</f>
        <v>1.8191148028775355</v>
      </c>
      <c r="P7" s="13">
        <f t="shared" si="33"/>
        <v>0.78192384309769802</v>
      </c>
      <c r="Q7" s="20">
        <f t="shared" si="2"/>
        <v>4.530142308406865</v>
      </c>
      <c r="R7" s="59">
        <f t="shared" si="0"/>
        <v>266.08569786396242</v>
      </c>
      <c r="S7" s="59">
        <f ca="1">AVERAGE(OFFSET($R$3,0,0,'Données projet'!$E$9+1,1))-AVERAGE(OFFSET($H$3,0,0,'Données projet'!$E$9+1,1))</f>
        <v>404.65492118472037</v>
      </c>
      <c r="T7" s="59">
        <f t="shared" si="34"/>
        <v>534.22295841722166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8.0650000000000013</v>
      </c>
      <c r="AI7" s="13">
        <f>IF('Données projet'!$A$62&gt;35,AI6+AH7-AQ6,IF(A7&lt;'Données projet'!$A$62,$AF$205^A7,IF(A7='Données projet'!$A$62,'Données projet'!$B$62,AI6+AH7-AQ6)))</f>
        <v>32.260000000000005</v>
      </c>
      <c r="AJ7" s="13">
        <f>AI7*VLOOKUP('Données projet'!$B$10,Paramètres!$A$1:$I$89,3,0)*VLOOKUP('Données projet'!$B$10,Paramètres!$A$1:$I$89,5,0)</f>
        <v>15.097680000000002</v>
      </c>
      <c r="AK7" s="13">
        <f t="shared" si="35"/>
        <v>5.0726760902348396</v>
      </c>
      <c r="AL7" s="20">
        <f t="shared" si="4"/>
        <v>35.130036857159006</v>
      </c>
      <c r="AM7" s="59">
        <f t="shared" si="5"/>
        <v>296.68559241271453</v>
      </c>
      <c r="AN7" s="59">
        <f ca="1">AVERAGE(OFFSET($AM$3,0,0,'Données projet'!$E$10+1,1))-AVERAGE(OFFSET($H$3,0,0,'Données projet'!$E$10+1,1))</f>
        <v>331.17634116262298</v>
      </c>
      <c r="AO7" s="59">
        <f t="shared" si="36"/>
        <v>286.28916368940605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7.416666666666667</v>
      </c>
      <c r="BD7" s="12">
        <f>IF('Données projet'!$A$88&gt;35,BD6+BC7-BL6,IF(A7&lt;'Données projet'!$A$88,$BA$205^A7,IF(A7='Données projet'!$A$88,'Données projet'!$B$88,BD6+BC7-BL6)))</f>
        <v>4.4647450955845382</v>
      </c>
      <c r="BE7" s="13">
        <f>BD7*VLOOKUP('Données projet'!$B$11,Paramètres!$A$1:$I$89,3,0)*VLOOKUP('Données projet'!$B$11,Paramètres!$A$1:$I$89,5,0)</f>
        <v>2.437750822189158</v>
      </c>
      <c r="BF7" s="13">
        <f t="shared" si="37"/>
        <v>1.0127350027594839</v>
      </c>
      <c r="BG7" s="20">
        <f t="shared" si="7"/>
        <v>6.0095961451188842</v>
      </c>
      <c r="BH7" s="59">
        <f t="shared" si="8"/>
        <v>267.56515170067445</v>
      </c>
      <c r="BI7" s="59">
        <f ca="1">AVERAGE(OFFSET($BH$3,0,0,'Données projet'!$E$11+1,1))-AVERAGE(OFFSET($H$3,0,0,'Données projet'!$E$11+1,1))</f>
        <v>165.87377022031535</v>
      </c>
      <c r="BJ7" s="59">
        <f t="shared" si="38"/>
        <v>272.91122662088929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4.8385294117647053</v>
      </c>
      <c r="BY7" s="12">
        <f>IF('Données projet'!$A$114&gt;35,BY6+BX7-CG6,IF(A7&lt;'Données projet'!$A$114,$BV$205^A7,IF(A7='Données projet'!$A$114,'Données projet'!$B$114,BY6+BX7-CG6)))</f>
        <v>1.8227558727263788</v>
      </c>
      <c r="BZ7" s="13">
        <f>BY7*VLOOKUP('Données projet'!$B$12,Paramètres!$A$1:$I$89,3,0)*VLOOKUP('Données projet'!$B$12,Paramètres!$A$1:$I$89,5,0)</f>
        <v>1.6492295136428274</v>
      </c>
      <c r="CA7" s="13">
        <f t="shared" si="39"/>
        <v>0.7170371267177732</v>
      </c>
      <c r="CB7" s="20">
        <f t="shared" si="10"/>
        <v>4.1212477319613789</v>
      </c>
      <c r="CC7" s="59">
        <f t="shared" si="11"/>
        <v>265.67680328751692</v>
      </c>
      <c r="CD7" s="59">
        <f ca="1">AVERAGE(OFFSET($CC$3,0,0,'Données projet'!$E$12+1,1))-AVERAGE(OFFSET($H$3,0,0,'Données projet'!$E$12+1,1))</f>
        <v>639.86968831634636</v>
      </c>
      <c r="CE7" s="59">
        <f t="shared" si="40"/>
        <v>218.1556771431184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3.7180000000000004</v>
      </c>
      <c r="CT7" s="12">
        <f>IF('Données projet'!$A$140&gt;35,CT6+CS7-DB6,IF(A7&lt;'Données projet'!$A$140,$CQ$205^A7,IF(A7='Données projet'!$A$140,'Données projet'!$B$140,CT6+CS7-DB6)))</f>
        <v>2.9221791555869481</v>
      </c>
      <c r="CU7" s="17">
        <f>CT7*VLOOKUP('Données projet'!$B$13,Paramètres!$A$1:$I$89,3,0)*VLOOKUP('Données projet'!$B$13,Paramètres!$A$1:$I$89,5,0)</f>
        <v>2.552815710320758</v>
      </c>
      <c r="CV7" s="13">
        <f t="shared" si="41"/>
        <v>1.0548591228014608</v>
      </c>
      <c r="CW7" s="20">
        <f t="shared" si="13"/>
        <v>6.2833670010211975</v>
      </c>
      <c r="CX7" s="59">
        <f t="shared" si="14"/>
        <v>267.83892255657673</v>
      </c>
      <c r="CY7" s="59">
        <f ca="1">AVERAGE(OFFSET($CX$3,0,0,'Données projet'!$E$13+1,1))-AVERAGE(OFFSET($H$3,0,0,'Données projet'!$E$13+1,1))</f>
        <v>218.76600554860482</v>
      </c>
      <c r="CZ7" s="59">
        <f t="shared" si="42"/>
        <v>264.34840059907702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5.2692857142857141</v>
      </c>
      <c r="DO7" s="12">
        <f>IF('Données projet'!$A$166&gt;35,DO6+DN7-DW6,IF(A7&lt;'Données projet'!$A$166,$DL$205^A7,IF(A7='Données projet'!$A$166,'Données projet'!$B$166,DO6+DN7-DW6)))</f>
        <v>21.077142857142857</v>
      </c>
      <c r="DP7" s="17">
        <f>DO7*VLOOKUP('Données projet'!$B$14,Paramètres!$A$1:$I$89,3,0)*VLOOKUP('Données projet'!$B$14,Paramètres!$A$1:$I$89,5,0)</f>
        <v>18.084188571428573</v>
      </c>
      <c r="DQ7" s="13">
        <f t="shared" si="43"/>
        <v>5.9497879131096978</v>
      </c>
      <c r="DR7" s="20">
        <f t="shared" si="16"/>
        <v>41.859175710570817</v>
      </c>
      <c r="DS7" s="59">
        <f t="shared" si="17"/>
        <v>303.41473126612635</v>
      </c>
      <c r="DT7" s="59">
        <f ca="1">AVERAGE(OFFSET($DS$3,0,0,'Données projet'!$E$14+1,1))-AVERAGE(OFFSET($H$3,0,0,'Données projet'!$E$14+1,1))</f>
        <v>442.97490100035287</v>
      </c>
      <c r="DU7" s="59">
        <f t="shared" si="44"/>
        <v>334.36243356457049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2.6666666666666665</v>
      </c>
      <c r="EJ7" s="12">
        <f>IF('Données projet'!$A$192&gt;35,EJ6+EI7-ER6,IF(A7&lt;'Données projet'!$A$192,$EG$205^A7,IF(A7='Données projet'!$A$192,'Données projet'!$B$192,EJ6+EI7-ER6)))</f>
        <v>2.6743361672197152</v>
      </c>
      <c r="EK7" s="17">
        <f>EJ7*VLOOKUP('Données projet'!$B$15,Paramètres!$A$1:$I$89,3,0)*VLOOKUP('Données projet'!$B$15,Paramètres!$A$1:$I$89,5,0)</f>
        <v>2.0859822104313781</v>
      </c>
      <c r="EL7" s="13">
        <f t="shared" si="45"/>
        <v>0.88245976121767966</v>
      </c>
      <c r="EM7" s="20">
        <f t="shared" si="19"/>
        <v>5.1700364339554419</v>
      </c>
      <c r="EN7" s="59">
        <f t="shared" si="20"/>
        <v>266.72559198951097</v>
      </c>
      <c r="EO7" s="59">
        <f ca="1">AVERAGE(OFFSET($EN$3,0,0,'Données projet'!$E$15+1,1))-AVERAGE(OFFSET($H$3,0,0,'Données projet'!$E$15+1,1))</f>
        <v>288.82868507674738</v>
      </c>
      <c r="EP7" s="59">
        <f t="shared" si="46"/>
        <v>283.48738729114024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1.9132843993864705</v>
      </c>
      <c r="FG7" s="13">
        <f t="shared" si="47"/>
        <v>0.81758413948982178</v>
      </c>
      <c r="FH7" s="20">
        <f t="shared" si="22"/>
        <v>4.7562627052095419</v>
      </c>
      <c r="FI7" s="59">
        <f t="shared" si="23"/>
        <v>266.31181826076511</v>
      </c>
      <c r="FJ7" s="59">
        <f ca="1">AVERAGE(OFFSET($FI$3,0,0,'Données projet'!$E$16+1,1))-AVERAGE(OFFSET($H$3,0,0,'Données projet'!$E$16+1,1))</f>
        <v>328.55201074501201</v>
      </c>
      <c r="FK7" s="59">
        <f t="shared" si="48"/>
        <v>321.81422611044985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1.1000000000000001</v>
      </c>
      <c r="FZ7" s="12">
        <f>IF('Données projet'!$A$244&gt;35,FZ6+FY7-GH6,IF(A7&lt;'Données projet'!$A$244,$FW$205^A7,IF(A7='Données projet'!$A$244,'Données projet'!$B$244,FZ6+FY7-GH6)))</f>
        <v>2.6094986352788743</v>
      </c>
      <c r="GA7" s="17">
        <f>FZ7*VLOOKUP('Données projet'!$B$17,Paramètres!$A$1:$I$89,3,0)*VLOOKUP('Données projet'!$B$17,Paramètres!$A$1:$I$89,5,0)</f>
        <v>2.0761171142278725</v>
      </c>
      <c r="GB7" s="13">
        <f t="shared" si="49"/>
        <v>0.87877116536856548</v>
      </c>
      <c r="GC7" s="20">
        <f t="shared" si="25"/>
        <v>5.14643042029713</v>
      </c>
      <c r="GD7" s="59">
        <f t="shared" si="26"/>
        <v>266.70198597585266</v>
      </c>
      <c r="GE7" s="59">
        <f ca="1">AVERAGE(OFFSET($GD$3,0,0,'Données projet'!$E$17+1,1))-AVERAGE(OFFSET($H$3,0,0,'Données projet'!$E$17+1,1))</f>
        <v>353.37024194969638</v>
      </c>
      <c r="GF7" s="59">
        <f t="shared" si="50"/>
        <v>345.4750813433123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11.239444444444445</v>
      </c>
      <c r="N8" s="13">
        <f>IF('Données projet'!$A$36&gt;35,N7+M8-V7,IF(A8&lt;'Données projet'!$A$36,$K$205^A8,IF(A8='Données projet'!$A$36,'Données projet'!$B$36,N7+M8-V7)))</f>
        <v>4.3707943703128072</v>
      </c>
      <c r="O8" s="13">
        <f>N8*VLOOKUP('Données projet'!$B$9,Paramètres!$A$1:$I$89,3,0)*VLOOKUP('Données projet'!$B$9,Paramètres!$A$1:$I$89,5,0)</f>
        <v>2.4432740530048589</v>
      </c>
      <c r="P8" s="13">
        <f t="shared" si="33"/>
        <v>1.0147622101719154</v>
      </c>
      <c r="Q8" s="20">
        <f t="shared" si="2"/>
        <v>6.0227464916995492</v>
      </c>
      <c r="R8" s="59">
        <f t="shared" si="0"/>
        <v>268.80052426947731</v>
      </c>
      <c r="S8" s="59">
        <f ca="1">AVERAGE(OFFSET($R$3,0,0,'Données projet'!$E$9+1,1))-AVERAGE(OFFSET($H$3,0,0,'Données projet'!$E$9+1,1))</f>
        <v>404.65492118472037</v>
      </c>
      <c r="T8" s="59">
        <f t="shared" si="34"/>
        <v>534.22295841722166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8.0650000000000013</v>
      </c>
      <c r="AI8" s="13">
        <f>IF('Données projet'!$A$62&gt;35,AI7+AH8-AQ7,IF(A8&lt;'Données projet'!$A$62,$AF$205^A8,IF(A8='Données projet'!$A$62,'Données projet'!$B$62,AI7+AH8-AQ7)))</f>
        <v>40.325000000000003</v>
      </c>
      <c r="AJ8" s="13">
        <f>AI8*VLOOKUP('Données projet'!$B$10,Paramètres!$A$1:$I$89,3,0)*VLOOKUP('Données projet'!$B$10,Paramètres!$A$1:$I$89,5,0)</f>
        <v>18.872100000000003</v>
      </c>
      <c r="AK8" s="13">
        <f t="shared" si="35"/>
        <v>6.1782690839804202</v>
      </c>
      <c r="AL8" s="20">
        <f t="shared" si="4"/>
        <v>43.629392821265903</v>
      </c>
      <c r="AM8" s="59">
        <f t="shared" si="5"/>
        <v>306.4071705990437</v>
      </c>
      <c r="AN8" s="59">
        <f ca="1">AVERAGE(OFFSET($AM$3,0,0,'Données projet'!$E$10+1,1))-AVERAGE(OFFSET($H$3,0,0,'Données projet'!$E$10+1,1))</f>
        <v>331.17634116262298</v>
      </c>
      <c r="AO8" s="59">
        <f t="shared" si="36"/>
        <v>286.28916368940605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7.416666666666667</v>
      </c>
      <c r="BD8" s="12">
        <f>IF('Données projet'!$A$88&gt;35,BD7+BC8-BL7,IF(A8&lt;'Données projet'!$A$88,$BA$205^A8,IF(A8='Données projet'!$A$88,'Données projet'!$B$88,BD7+BC8-BL7)))</f>
        <v>6.49001702549283</v>
      </c>
      <c r="BE8" s="13">
        <f>BD8*VLOOKUP('Données projet'!$B$11,Paramètres!$A$1:$I$89,3,0)*VLOOKUP('Données projet'!$B$11,Paramètres!$A$1:$I$89,5,0)</f>
        <v>3.5435492959190849</v>
      </c>
      <c r="BF8" s="13">
        <f t="shared" si="37"/>
        <v>1.4094053143949199</v>
      </c>
      <c r="BG8" s="20">
        <f t="shared" si="7"/>
        <v>8.626395946296892</v>
      </c>
      <c r="BH8" s="59">
        <f t="shared" si="8"/>
        <v>271.40417372407467</v>
      </c>
      <c r="BI8" s="59">
        <f ca="1">AVERAGE(OFFSET($BH$3,0,0,'Données projet'!$E$11+1,1))-AVERAGE(OFFSET($H$3,0,0,'Données projet'!$E$11+1,1))</f>
        <v>165.87377022031535</v>
      </c>
      <c r="BJ8" s="59">
        <f t="shared" si="38"/>
        <v>272.91122662088929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4.8385294117647053</v>
      </c>
      <c r="BY8" s="12">
        <f>IF('Données projet'!$A$114&gt;35,BY7+BX8-CG7,IF(A8&lt;'Données projet'!$A$114,$BV$205^A8,IF(A8='Données projet'!$A$114,'Données projet'!$B$114,BY7+BX8-CG7)))</f>
        <v>2.1179252726134798</v>
      </c>
      <c r="BZ8" s="13">
        <f>BY8*VLOOKUP('Données projet'!$B$12,Paramètres!$A$1:$I$89,3,0)*VLOOKUP('Données projet'!$B$12,Paramètres!$A$1:$I$89,5,0)</f>
        <v>1.9162987866606767</v>
      </c>
      <c r="CA8" s="13">
        <f t="shared" si="39"/>
        <v>0.81872220662364958</v>
      </c>
      <c r="CB8" s="20">
        <f t="shared" si="10"/>
        <v>4.7634948966368684</v>
      </c>
      <c r="CC8" s="59">
        <f t="shared" si="11"/>
        <v>267.54127267441464</v>
      </c>
      <c r="CD8" s="59">
        <f ca="1">AVERAGE(OFFSET($CC$3,0,0,'Données projet'!$E$12+1,1))-AVERAGE(OFFSET($H$3,0,0,'Données projet'!$E$12+1,1))</f>
        <v>639.86968831634636</v>
      </c>
      <c r="CE8" s="59">
        <f t="shared" si="40"/>
        <v>218.1556771431184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3.7180000000000004</v>
      </c>
      <c r="CT8" s="12">
        <f>IF('Données projet'!$A$140&gt;35,CT7+CS8-DB7,IF(A8&lt;'Données projet'!$A$140,$CQ$205^A8,IF(A8='Données projet'!$A$140,'Données projet'!$B$140,CT7+CS8-DB7)))</f>
        <v>3.8206173905947236</v>
      </c>
      <c r="CU8" s="17">
        <f>CT8*VLOOKUP('Données projet'!$B$13,Paramètres!$A$1:$I$89,3,0)*VLOOKUP('Données projet'!$B$13,Paramètres!$A$1:$I$89,5,0)</f>
        <v>3.3376913524235512</v>
      </c>
      <c r="CV8" s="13">
        <f t="shared" si="41"/>
        <v>1.3368082090310192</v>
      </c>
      <c r="CW8" s="20">
        <f t="shared" si="13"/>
        <v>8.1414200695333765</v>
      </c>
      <c r="CX8" s="59">
        <f t="shared" si="14"/>
        <v>270.91919784731112</v>
      </c>
      <c r="CY8" s="59">
        <f ca="1">AVERAGE(OFFSET($CX$3,0,0,'Données projet'!$E$13+1,1))-AVERAGE(OFFSET($H$3,0,0,'Données projet'!$E$13+1,1))</f>
        <v>218.76600554860482</v>
      </c>
      <c r="CZ8" s="59">
        <f t="shared" si="42"/>
        <v>264.34840059907702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5.2692857142857141</v>
      </c>
      <c r="DO8" s="12">
        <f>IF('Données projet'!$A$166&gt;35,DO7+DN8-DW7,IF(A8&lt;'Données projet'!$A$166,$DL$205^A8,IF(A8='Données projet'!$A$166,'Données projet'!$B$166,DO7+DN8-DW7)))</f>
        <v>26.346428571428572</v>
      </c>
      <c r="DP8" s="17">
        <f>DO8*VLOOKUP('Données projet'!$B$14,Paramètres!$A$1:$I$89,3,0)*VLOOKUP('Données projet'!$B$14,Paramètres!$A$1:$I$89,5,0)</f>
        <v>22.605235714285719</v>
      </c>
      <c r="DQ8" s="13">
        <f t="shared" si="43"/>
        <v>7.2465479888553723</v>
      </c>
      <c r="DR8" s="20">
        <f t="shared" si="16"/>
        <v>51.991856616304062</v>
      </c>
      <c r="DS8" s="59">
        <f t="shared" si="17"/>
        <v>314.76963439408183</v>
      </c>
      <c r="DT8" s="59">
        <f ca="1">AVERAGE(OFFSET($DS$3,0,0,'Données projet'!$E$14+1,1))-AVERAGE(OFFSET($H$3,0,0,'Données projet'!$E$14+1,1))</f>
        <v>442.97490100035287</v>
      </c>
      <c r="DU8" s="59">
        <f t="shared" si="44"/>
        <v>334.36243356457049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2.6666666666666665</v>
      </c>
      <c r="EJ8" s="12">
        <f>IF('Données projet'!$A$192&gt;35,EJ7+EI8-ER7,IF(A8&lt;'Données projet'!$A$192,$EG$205^A8,IF(A8='Données projet'!$A$192,'Données projet'!$B$192,EJ7+EI8-ER7)))</f>
        <v>3.4199518933533928</v>
      </c>
      <c r="EK8" s="17">
        <f>EJ8*VLOOKUP('Données projet'!$B$15,Paramètres!$A$1:$I$89,3,0)*VLOOKUP('Données projet'!$B$15,Paramètres!$A$1:$I$89,5,0)</f>
        <v>2.6675624768156463</v>
      </c>
      <c r="EL8" s="13">
        <f t="shared" si="45"/>
        <v>1.0966471776471767</v>
      </c>
      <c r="EM8" s="20">
        <f t="shared" si="19"/>
        <v>6.5559984815227494</v>
      </c>
      <c r="EN8" s="59">
        <f t="shared" si="20"/>
        <v>269.33377625930052</v>
      </c>
      <c r="EO8" s="59">
        <f ca="1">AVERAGE(OFFSET($EN$3,0,0,'Données projet'!$E$15+1,1))-AVERAGE(OFFSET($H$3,0,0,'Données projet'!$E$15+1,1))</f>
        <v>288.82868507674738</v>
      </c>
      <c r="EP8" s="59">
        <f t="shared" si="46"/>
        <v>283.48738729114024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2.4317492962885807</v>
      </c>
      <c r="FG8" s="13">
        <f t="shared" si="47"/>
        <v>1.010531639108154</v>
      </c>
      <c r="FH8" s="20">
        <f t="shared" si="22"/>
        <v>5.9953059624826457</v>
      </c>
      <c r="FI8" s="59">
        <f t="shared" si="23"/>
        <v>268.7730837402604</v>
      </c>
      <c r="FJ8" s="59">
        <f ca="1">AVERAGE(OFFSET($FI$3,0,0,'Données projet'!$E$16+1,1))-AVERAGE(OFFSET($H$3,0,0,'Données projet'!$E$16+1,1))</f>
        <v>328.55201074501201</v>
      </c>
      <c r="FK8" s="59">
        <f t="shared" si="48"/>
        <v>321.81422611044985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1.1000000000000001</v>
      </c>
      <c r="FZ8" s="12">
        <f>IF('Données projet'!$A$244&gt;35,FZ7+FY8-GH7,IF(A8&lt;'Données projet'!$A$244,$FW$205^A8,IF(A8='Données projet'!$A$244,'Données projet'!$B$244,FZ7+FY8-GH7)))</f>
        <v>3.3166247903554016</v>
      </c>
      <c r="GA8" s="17">
        <f>FZ8*VLOOKUP('Données projet'!$B$17,Paramètres!$A$1:$I$89,3,0)*VLOOKUP('Données projet'!$B$17,Paramètres!$A$1:$I$89,5,0)</f>
        <v>2.6387066832067574</v>
      </c>
      <c r="GB8" s="13">
        <f t="shared" si="49"/>
        <v>1.0861586266766543</v>
      </c>
      <c r="GC8" s="20">
        <f t="shared" si="25"/>
        <v>6.4874737480469413</v>
      </c>
      <c r="GD8" s="59">
        <f t="shared" si="26"/>
        <v>269.26525152582474</v>
      </c>
      <c r="GE8" s="59">
        <f ca="1">AVERAGE(OFFSET($GD$3,0,0,'Données projet'!$E$17+1,1))-AVERAGE(OFFSET($H$3,0,0,'Données projet'!$E$17+1,1))</f>
        <v>353.37024194969638</v>
      </c>
      <c r="GF8" s="59">
        <f t="shared" si="50"/>
        <v>345.4750813433123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11.239444444444445</v>
      </c>
      <c r="N9" s="13">
        <f>IF('Données projet'!$A$36&gt;35,N8+M9-V8,IF(A9&lt;'Données projet'!$A$36,$K$205^A9,IF(A9='Données projet'!$A$36,'Données projet'!$B$36,N8+M9-V8)))</f>
        <v>5.8704642824699818</v>
      </c>
      <c r="O9" s="13">
        <f>N9*VLOOKUP('Données projet'!$B$9,Paramètres!$A$1:$I$89,3,0)*VLOOKUP('Données projet'!$B$9,Paramètres!$A$1:$I$89,5,0)</f>
        <v>3.2815895339007195</v>
      </c>
      <c r="P9" s="13">
        <f t="shared" si="33"/>
        <v>1.3169343181984656</v>
      </c>
      <c r="Q9" s="20">
        <f t="shared" si="2"/>
        <v>8.0090957090727475</v>
      </c>
      <c r="R9" s="59">
        <f t="shared" si="0"/>
        <v>272.00909570907277</v>
      </c>
      <c r="S9" s="59">
        <f ca="1">AVERAGE(OFFSET($R$3,0,0,'Données projet'!$E$9+1,1))-AVERAGE(OFFSET($H$3,0,0,'Données projet'!$E$9+1,1))</f>
        <v>404.65492118472037</v>
      </c>
      <c r="T9" s="59">
        <f t="shared" si="34"/>
        <v>534.22295841722166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8.0650000000000013</v>
      </c>
      <c r="AI9" s="13">
        <f>IF('Données projet'!$A$62&gt;35,AI8+AH9-AQ8,IF(A9&lt;'Données projet'!$A$62,$AF$205^A9,IF(A9='Données projet'!$A$62,'Données projet'!$B$62,AI8+AH9-AQ8)))</f>
        <v>48.39</v>
      </c>
      <c r="AJ9" s="13">
        <f>AI9*VLOOKUP('Données projet'!$B$10,Paramètres!$A$1:$I$89,3,0)*VLOOKUP('Données projet'!$B$10,Paramètres!$A$1:$I$89,5,0)</f>
        <v>22.646520000000002</v>
      </c>
      <c r="AK9" s="13">
        <f t="shared" si="35"/>
        <v>7.258240733945585</v>
      </c>
      <c r="AL9" s="20">
        <f t="shared" si="4"/>
        <v>52.084124944955228</v>
      </c>
      <c r="AM9" s="59">
        <f t="shared" si="5"/>
        <v>316.08412494495525</v>
      </c>
      <c r="AN9" s="59">
        <f ca="1">AVERAGE(OFFSET($AM$3,0,0,'Données projet'!$E$10+1,1))-AVERAGE(OFFSET($H$3,0,0,'Données projet'!$E$10+1,1))</f>
        <v>331.17634116262298</v>
      </c>
      <c r="AO9" s="59">
        <f t="shared" si="36"/>
        <v>286.28916368940605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7.416666666666667</v>
      </c>
      <c r="BD9" s="12">
        <f>IF('Données projet'!$A$88&gt;35,BD8+BC9-BL8,IF(A9&lt;'Données projet'!$A$88,$BA$205^A9,IF(A9='Données projet'!$A$88,'Données projet'!$B$88,BD8+BC9-BL8)))</f>
        <v>9.4339811320566049</v>
      </c>
      <c r="BE9" s="13">
        <f>BD9*VLOOKUP('Données projet'!$B$11,Paramètres!$A$1:$I$89,3,0)*VLOOKUP('Données projet'!$B$11,Paramètres!$A$1:$I$89,5,0)</f>
        <v>5.1509536981029065</v>
      </c>
      <c r="BF9" s="13">
        <f t="shared" si="37"/>
        <v>1.9614443411475548</v>
      </c>
      <c r="BG9" s="20">
        <f t="shared" si="7"/>
        <v>12.387426585027887</v>
      </c>
      <c r="BH9" s="59">
        <f t="shared" si="8"/>
        <v>276.38742658502787</v>
      </c>
      <c r="BI9" s="59">
        <f ca="1">AVERAGE(OFFSET($BH$3,0,0,'Données projet'!$E$11+1,1))-AVERAGE(OFFSET($H$3,0,0,'Données projet'!$E$11+1,1))</f>
        <v>165.87377022031535</v>
      </c>
      <c r="BJ9" s="59">
        <f t="shared" si="38"/>
        <v>272.91122662088929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4.8385294117647053</v>
      </c>
      <c r="BY9" s="12">
        <f>IF('Données projet'!$A$114&gt;35,BY8+BX9-CG8,IF(A9&lt;'Données projet'!$A$114,$BV$205^A9,IF(A9='Données projet'!$A$114,'Données projet'!$B$114,BY8+BX9-CG8)))</f>
        <v>2.4608931604568394</v>
      </c>
      <c r="BZ9" s="13">
        <f>BY9*VLOOKUP('Données projet'!$B$12,Paramètres!$A$1:$I$89,3,0)*VLOOKUP('Données projet'!$B$12,Paramètres!$A$1:$I$89,5,0)</f>
        <v>2.226616131581348</v>
      </c>
      <c r="CA9" s="13">
        <f t="shared" si="39"/>
        <v>0.93482753771344285</v>
      </c>
      <c r="CB9" s="20">
        <f t="shared" si="10"/>
        <v>5.5061810573550938</v>
      </c>
      <c r="CC9" s="59">
        <f t="shared" si="11"/>
        <v>269.50618105735509</v>
      </c>
      <c r="CD9" s="59">
        <f ca="1">AVERAGE(OFFSET($CC$3,0,0,'Données projet'!$E$12+1,1))-AVERAGE(OFFSET($H$3,0,0,'Données projet'!$E$12+1,1))</f>
        <v>639.86968831634636</v>
      </c>
      <c r="CE9" s="59">
        <f t="shared" si="40"/>
        <v>218.1556771431184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3.7180000000000004</v>
      </c>
      <c r="CT9" s="12">
        <f>IF('Données projet'!$A$140&gt;35,CT8+CS9-DB8,IF(A9&lt;'Données projet'!$A$140,$CQ$205^A9,IF(A9='Données projet'!$A$140,'Données projet'!$B$140,CT8+CS9-DB8)))</f>
        <v>4.9952848433014241</v>
      </c>
      <c r="CU9" s="17">
        <f>CT9*VLOOKUP('Données projet'!$B$13,Paramètres!$A$1:$I$89,3,0)*VLOOKUP('Données projet'!$B$13,Paramètres!$A$1:$I$89,5,0)</f>
        <v>4.3638808391081243</v>
      </c>
      <c r="CV9" s="13">
        <f t="shared" si="41"/>
        <v>1.6941183415911645</v>
      </c>
      <c r="CW9" s="20">
        <f t="shared" si="13"/>
        <v>10.551015239717929</v>
      </c>
      <c r="CX9" s="59">
        <f t="shared" si="14"/>
        <v>274.55101523971791</v>
      </c>
      <c r="CY9" s="59">
        <f ca="1">AVERAGE(OFFSET($CX$3,0,0,'Données projet'!$E$13+1,1))-AVERAGE(OFFSET($H$3,0,0,'Données projet'!$E$13+1,1))</f>
        <v>218.76600554860482</v>
      </c>
      <c r="CZ9" s="59">
        <f t="shared" si="42"/>
        <v>264.34840059907702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5.2692857142857141</v>
      </c>
      <c r="DO9" s="12">
        <f>IF('Données projet'!$A$166&gt;35,DO8+DN9-DW8,IF(A9&lt;'Données projet'!$A$166,$DL$205^A9,IF(A9='Données projet'!$A$166,'Données projet'!$B$166,DO8+DN9-DW8)))</f>
        <v>31.615714285714287</v>
      </c>
      <c r="DP9" s="17">
        <f>DO9*VLOOKUP('Données projet'!$B$14,Paramètres!$A$1:$I$89,3,0)*VLOOKUP('Données projet'!$B$14,Paramètres!$A$1:$I$89,5,0)</f>
        <v>27.126282857142861</v>
      </c>
      <c r="DQ9" s="13">
        <f t="shared" si="43"/>
        <v>8.5132565575009185</v>
      </c>
      <c r="DR9" s="20">
        <f t="shared" si="16"/>
        <v>62.07219781383791</v>
      </c>
      <c r="DS9" s="59">
        <f t="shared" si="17"/>
        <v>326.07219781383793</v>
      </c>
      <c r="DT9" s="59">
        <f ca="1">AVERAGE(OFFSET($DS$3,0,0,'Données projet'!$E$14+1,1))-AVERAGE(OFFSET($H$3,0,0,'Données projet'!$E$14+1,1))</f>
        <v>442.97490100035287</v>
      </c>
      <c r="DU9" s="59">
        <f t="shared" si="44"/>
        <v>334.36243356457049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2.6666666666666665</v>
      </c>
      <c r="EJ9" s="12">
        <f>IF('Données projet'!$A$192&gt;35,EJ8+EI9-ER8,IF(A9&lt;'Données projet'!$A$192,$EG$205^A9,IF(A9='Données projet'!$A$192,'Données projet'!$B$192,EJ8+EI9-ER8)))</f>
        <v>4.3734482957731098</v>
      </c>
      <c r="EK9" s="17">
        <f>EJ9*VLOOKUP('Données projet'!$B$15,Paramètres!$A$1:$I$89,3,0)*VLOOKUP('Données projet'!$B$15,Paramètres!$A$1:$I$89,5,0)</f>
        <v>3.4112896707030256</v>
      </c>
      <c r="EL9" s="13">
        <f t="shared" si="45"/>
        <v>1.3628213830192535</v>
      </c>
      <c r="EM9" s="20">
        <f t="shared" si="19"/>
        <v>8.3149100852329703</v>
      </c>
      <c r="EN9" s="59">
        <f t="shared" si="20"/>
        <v>272.31491008523295</v>
      </c>
      <c r="EO9" s="59">
        <f ca="1">AVERAGE(OFFSET($EN$3,0,0,'Données projet'!$E$15+1,1))-AVERAGE(OFFSET($H$3,0,0,'Données projet'!$E$15+1,1))</f>
        <v>288.82868507674738</v>
      </c>
      <c r="EP9" s="59">
        <f t="shared" si="46"/>
        <v>283.48738729114024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3.0907086483829831</v>
      </c>
      <c r="FG9" s="13">
        <f t="shared" si="47"/>
        <v>1.2490141923201104</v>
      </c>
      <c r="FH9" s="20">
        <f t="shared" si="22"/>
        <v>7.5583506142245538</v>
      </c>
      <c r="FI9" s="59">
        <f t="shared" si="23"/>
        <v>271.55835061422454</v>
      </c>
      <c r="FJ9" s="59">
        <f ca="1">AVERAGE(OFFSET($FI$3,0,0,'Données projet'!$E$16+1,1))-AVERAGE(OFFSET($H$3,0,0,'Données projet'!$E$16+1,1))</f>
        <v>328.55201074501201</v>
      </c>
      <c r="FK9" s="59">
        <f t="shared" si="48"/>
        <v>321.81422611044985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1.1000000000000001</v>
      </c>
      <c r="FZ9" s="12">
        <f>IF('Données projet'!$A$244&gt;35,FZ8+FY9-GH8,IF(A9&lt;'Données projet'!$A$244,$FW$205^A9,IF(A9='Données projet'!$A$244,'Données projet'!$B$244,FZ8+FY9-GH8)))</f>
        <v>4.2153691330919028</v>
      </c>
      <c r="GA9" s="17">
        <f>FZ9*VLOOKUP('Données projet'!$B$17,Paramètres!$A$1:$I$89,3,0)*VLOOKUP('Données projet'!$B$17,Paramètres!$A$1:$I$89,5,0)</f>
        <v>3.353747682287918</v>
      </c>
      <c r="GB9" s="13">
        <f t="shared" si="49"/>
        <v>1.3424889309030987</v>
      </c>
      <c r="GC9" s="20">
        <f t="shared" si="25"/>
        <v>8.1792787679743544</v>
      </c>
      <c r="GD9" s="59">
        <f t="shared" si="26"/>
        <v>272.17927876797438</v>
      </c>
      <c r="GE9" s="59">
        <f ca="1">AVERAGE(OFFSET($GD$3,0,0,'Données projet'!$E$17+1,1))-AVERAGE(OFFSET($H$3,0,0,'Données projet'!$E$17+1,1))</f>
        <v>353.37024194969638</v>
      </c>
      <c r="GF9" s="59">
        <f t="shared" si="50"/>
        <v>345.4750813433123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11.239444444444445</v>
      </c>
      <c r="N10" s="13">
        <f>IF('Données projet'!$A$36&gt;35,N9+M10-V9,IF(A10&lt;'Données projet'!$A$36,$K$205^A10,IF(A10='Données projet'!$A$36,'Données projet'!$B$36,N9+M10-V9)))</f>
        <v>7.884688221855062</v>
      </c>
      <c r="O10" s="13">
        <f>N10*VLOOKUP('Données projet'!$B$9,Paramètres!$A$1:$I$89,3,0)*VLOOKUP('Données projet'!$B$9,Paramètres!$A$1:$I$89,5,0)</f>
        <v>4.4075407160169799</v>
      </c>
      <c r="P10" s="13">
        <f t="shared" si="33"/>
        <v>1.7090861100898105</v>
      </c>
      <c r="Q10" s="20">
        <f t="shared" si="2"/>
        <v>10.653125055469326</v>
      </c>
      <c r="R10" s="59">
        <f t="shared" si="0"/>
        <v>275.87534727769156</v>
      </c>
      <c r="S10" s="59">
        <f ca="1">AVERAGE(OFFSET($R$3,0,0,'Données projet'!$E$9+1,1))-AVERAGE(OFFSET($H$3,0,0,'Données projet'!$E$9+1,1))</f>
        <v>404.65492118472037</v>
      </c>
      <c r="T10" s="59">
        <f t="shared" si="34"/>
        <v>534.22295841722166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8.0650000000000013</v>
      </c>
      <c r="AI10" s="13">
        <f>IF('Données projet'!$A$62&gt;35,AI9+AH10-AQ9,IF(A10&lt;'Données projet'!$A$62,$AF$205^A10,IF(A10='Données projet'!$A$62,'Données projet'!$B$62,AI9+AH10-AQ9)))</f>
        <v>56.454999999999998</v>
      </c>
      <c r="AJ10" s="13">
        <f>AI10*VLOOKUP('Données projet'!$B$10,Paramètres!$A$1:$I$89,3,0)*VLOOKUP('Données projet'!$B$10,Paramètres!$A$1:$I$89,5,0)</f>
        <v>26.420939999999998</v>
      </c>
      <c r="AK10" s="13">
        <f t="shared" si="35"/>
        <v>8.3173610000046416</v>
      </c>
      <c r="AL10" s="20">
        <f t="shared" si="4"/>
        <v>60.502540908341409</v>
      </c>
      <c r="AM10" s="59">
        <f t="shared" si="5"/>
        <v>325.72476313056364</v>
      </c>
      <c r="AN10" s="59">
        <f ca="1">AVERAGE(OFFSET($AM$3,0,0,'Données projet'!$E$10+1,1))-AVERAGE(OFFSET($H$3,0,0,'Données projet'!$E$10+1,1))</f>
        <v>331.17634116262298</v>
      </c>
      <c r="AO10" s="59">
        <f t="shared" si="36"/>
        <v>286.28916368940605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7.416666666666667</v>
      </c>
      <c r="BD10" s="12">
        <f>IF('Données projet'!$A$88&gt;35,BD9+BC10-BL9,IF(A10&lt;'Données projet'!$A$88,$BA$205^A10,IF(A10='Données projet'!$A$88,'Données projet'!$B$88,BD9+BC10-BL9)))</f>
        <v>13.713369263964553</v>
      </c>
      <c r="BE10" s="13">
        <f>BD10*VLOOKUP('Données projet'!$B$11,Paramètres!$A$1:$I$89,3,0)*VLOOKUP('Données projet'!$B$11,Paramètres!$A$1:$I$89,5,0)</f>
        <v>7.4874996181246463</v>
      </c>
      <c r="BF10" s="13">
        <f t="shared" si="37"/>
        <v>2.7297072489551777</v>
      </c>
      <c r="BG10" s="20">
        <f t="shared" si="7"/>
        <v>17.794968626830691</v>
      </c>
      <c r="BH10" s="59">
        <f t="shared" si="8"/>
        <v>283.01719084905289</v>
      </c>
      <c r="BI10" s="59">
        <f ca="1">AVERAGE(OFFSET($BH$3,0,0,'Données projet'!$E$11+1,1))-AVERAGE(OFFSET($H$3,0,0,'Données projet'!$E$11+1,1))</f>
        <v>165.87377022031535</v>
      </c>
      <c r="BJ10" s="59">
        <f t="shared" si="38"/>
        <v>272.91122662088929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4.8385294117647053</v>
      </c>
      <c r="BY10" s="12">
        <f>IF('Données projet'!$A$114&gt;35,BY9+BX10-CG9,IF(A10&lt;'Données projet'!$A$114,$BV$205^A10,IF(A10='Données projet'!$A$114,'Données projet'!$B$114,BY9+BX10-CG9)))</f>
        <v>2.8593998218408658</v>
      </c>
      <c r="BZ10" s="13">
        <f>BY10*VLOOKUP('Données projet'!$B$12,Paramètres!$A$1:$I$89,3,0)*VLOOKUP('Données projet'!$B$12,Paramètres!$A$1:$I$89,5,0)</f>
        <v>2.5871849588016151</v>
      </c>
      <c r="CA10" s="13">
        <f t="shared" si="39"/>
        <v>1.0673980969336214</v>
      </c>
      <c r="CB10" s="20">
        <f t="shared" si="10"/>
        <v>6.3650654887388702</v>
      </c>
      <c r="CC10" s="59">
        <f t="shared" si="11"/>
        <v>271.58728771096111</v>
      </c>
      <c r="CD10" s="59">
        <f ca="1">AVERAGE(OFFSET($CC$3,0,0,'Données projet'!$E$12+1,1))-AVERAGE(OFFSET($H$3,0,0,'Données projet'!$E$12+1,1))</f>
        <v>639.86968831634636</v>
      </c>
      <c r="CE10" s="59">
        <f t="shared" si="40"/>
        <v>218.1556771431184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3.7180000000000004</v>
      </c>
      <c r="CT10" s="12">
        <f>IF('Données projet'!$A$140&gt;35,CT9+CS10-DB9,IF(A10&lt;'Données projet'!$A$140,$CQ$205^A10,IF(A10='Données projet'!$A$140,'Données projet'!$B$140,CT9+CS10-DB9)))</f>
        <v>6.5311095340621703</v>
      </c>
      <c r="CU10" s="17">
        <f>CT10*VLOOKUP('Données projet'!$B$13,Paramètres!$A$1:$I$89,3,0)*VLOOKUP('Données projet'!$B$13,Paramètres!$A$1:$I$89,5,0)</f>
        <v>5.7055772889567127</v>
      </c>
      <c r="CV10" s="13">
        <f t="shared" si="41"/>
        <v>2.146932473878159</v>
      </c>
      <c r="CW10" s="20">
        <f t="shared" si="13"/>
        <v>13.676454503604068</v>
      </c>
      <c r="CX10" s="59">
        <f t="shared" si="14"/>
        <v>278.89867672582631</v>
      </c>
      <c r="CY10" s="59">
        <f ca="1">AVERAGE(OFFSET($CX$3,0,0,'Données projet'!$E$13+1,1))-AVERAGE(OFFSET($H$3,0,0,'Données projet'!$E$13+1,1))</f>
        <v>218.76600554860482</v>
      </c>
      <c r="CZ10" s="59">
        <f t="shared" si="42"/>
        <v>264.34840059907702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5.2692857142857141</v>
      </c>
      <c r="DO10" s="12">
        <f>IF('Données projet'!$A$166&gt;35,DO9+DN10-DW9,IF(A10&lt;'Données projet'!$A$166,$DL$205^A10,IF(A10='Données projet'!$A$166,'Données projet'!$B$166,DO9+DN10-DW9)))</f>
        <v>36.884999999999998</v>
      </c>
      <c r="DP10" s="17">
        <f>DO10*VLOOKUP('Données projet'!$B$14,Paramètres!$A$1:$I$89,3,0)*VLOOKUP('Données projet'!$B$14,Paramètres!$A$1:$I$89,5,0)</f>
        <v>31.647330000000004</v>
      </c>
      <c r="DQ10" s="13">
        <f t="shared" si="43"/>
        <v>9.7555083483571341</v>
      </c>
      <c r="DR10" s="20">
        <f t="shared" si="16"/>
        <v>72.109943456722007</v>
      </c>
      <c r="DS10" s="59">
        <f t="shared" si="17"/>
        <v>337.33216567894425</v>
      </c>
      <c r="DT10" s="59">
        <f ca="1">AVERAGE(OFFSET($DS$3,0,0,'Données projet'!$E$14+1,1))-AVERAGE(OFFSET($H$3,0,0,'Données projet'!$E$14+1,1))</f>
        <v>442.97490100035287</v>
      </c>
      <c r="DU10" s="59">
        <f t="shared" si="44"/>
        <v>334.36243356457049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2.6666666666666665</v>
      </c>
      <c r="EJ10" s="12">
        <f>IF('Données projet'!$A$192&gt;35,EJ9+EI10-ER9,IF(A10&lt;'Données projet'!$A$192,$EG$205^A10,IF(A10='Données projet'!$A$192,'Données projet'!$B$192,EJ9+EI10-ER9)))</f>
        <v>5.5927833467405659</v>
      </c>
      <c r="EK10" s="17">
        <f>EJ10*VLOOKUP('Données projet'!$B$15,Paramètres!$A$1:$I$89,3,0)*VLOOKUP('Données projet'!$B$15,Paramètres!$A$1:$I$89,5,0)</f>
        <v>4.3623710104576414</v>
      </c>
      <c r="EL10" s="13">
        <f t="shared" si="45"/>
        <v>1.6936004212396314</v>
      </c>
      <c r="EM10" s="20">
        <f t="shared" si="19"/>
        <v>10.54748357687275</v>
      </c>
      <c r="EN10" s="59">
        <f t="shared" si="20"/>
        <v>275.76970579909499</v>
      </c>
      <c r="EO10" s="59">
        <f ca="1">AVERAGE(OFFSET($EN$3,0,0,'Données projet'!$E$15+1,1))-AVERAGE(OFFSET($H$3,0,0,'Données projet'!$E$15+1,1))</f>
        <v>288.82868507674738</v>
      </c>
      <c r="EP10" s="59">
        <f t="shared" si="46"/>
        <v>283.48738729114024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3.9282338700657551</v>
      </c>
      <c r="FG10" s="13">
        <f t="shared" si="47"/>
        <v>1.5437779404847436</v>
      </c>
      <c r="FH10" s="20">
        <f t="shared" si="22"/>
        <v>9.5304205700421178</v>
      </c>
      <c r="FI10" s="59">
        <f t="shared" si="23"/>
        <v>274.75264279226434</v>
      </c>
      <c r="FJ10" s="59">
        <f ca="1">AVERAGE(OFFSET($FI$3,0,0,'Données projet'!$E$16+1,1))-AVERAGE(OFFSET($H$3,0,0,'Données projet'!$E$16+1,1))</f>
        <v>328.55201074501201</v>
      </c>
      <c r="FK10" s="59">
        <f t="shared" si="48"/>
        <v>321.81422611044985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1.1000000000000001</v>
      </c>
      <c r="FZ10" s="12">
        <f>IF('Données projet'!$A$244&gt;35,FZ9+FY10-GH9,IF(A10&lt;'Données projet'!$A$244,$FW$205^A10,IF(A10='Données projet'!$A$244,'Données projet'!$B$244,FZ9+FY10-GH9)))</f>
        <v>5.3576566694841175</v>
      </c>
      <c r="GA10" s="17">
        <f>FZ10*VLOOKUP('Données projet'!$B$17,Paramètres!$A$1:$I$89,3,0)*VLOOKUP('Données projet'!$B$17,Paramètres!$A$1:$I$89,5,0)</f>
        <v>4.2625516462415645</v>
      </c>
      <c r="GB10" s="13">
        <f t="shared" si="49"/>
        <v>1.6593124478620722</v>
      </c>
      <c r="GC10" s="20">
        <f t="shared" si="25"/>
        <v>10.313913297230501</v>
      </c>
      <c r="GD10" s="59">
        <f t="shared" si="26"/>
        <v>275.53613551945273</v>
      </c>
      <c r="GE10" s="59">
        <f ca="1">AVERAGE(OFFSET($GD$3,0,0,'Données projet'!$E$17+1,1))-AVERAGE(OFFSET($H$3,0,0,'Données projet'!$E$17+1,1))</f>
        <v>353.37024194969638</v>
      </c>
      <c r="GF10" s="59">
        <f t="shared" si="50"/>
        <v>345.4750813433123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11.239444444444445</v>
      </c>
      <c r="N11" s="13">
        <f>IF('Données projet'!$A$36&gt;35,N10+M11-V10,IF(A11&lt;'Données projet'!$A$36,$K$205^A11,IF(A11='Données projet'!$A$36,'Données projet'!$B$36,N10+M11-V10)))</f>
        <v>10.5900156043029</v>
      </c>
      <c r="O11" s="13">
        <f>N11*VLOOKUP('Données projet'!$B$9,Paramètres!$A$1:$I$89,3,0)*VLOOKUP('Données projet'!$B$9,Paramètres!$A$1:$I$89,5,0)</f>
        <v>5.9198187228053216</v>
      </c>
      <c r="P11" s="13">
        <f t="shared" si="33"/>
        <v>2.2180114006731504</v>
      </c>
      <c r="Q11" s="20">
        <f t="shared" si="2"/>
        <v>14.17338746505834</v>
      </c>
      <c r="R11" s="59">
        <f t="shared" si="0"/>
        <v>280.6178319095028</v>
      </c>
      <c r="S11" s="59">
        <f ca="1">AVERAGE(OFFSET($R$3,0,0,'Données projet'!$E$9+1,1))-AVERAGE(OFFSET($H$3,0,0,'Données projet'!$E$9+1,1))</f>
        <v>404.65492118472037</v>
      </c>
      <c r="T11" s="59">
        <f t="shared" si="34"/>
        <v>534.22295841722166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8.0650000000000013</v>
      </c>
      <c r="AI11" s="13">
        <f>IF('Données projet'!$A$62&gt;35,AI10+AH11-AQ10,IF(A11&lt;'Données projet'!$A$62,$AF$205^A11,IF(A11='Données projet'!$A$62,'Données projet'!$B$62,AI10+AH11-AQ10)))</f>
        <v>64.52</v>
      </c>
      <c r="AJ11" s="13">
        <f>AI11*VLOOKUP('Données projet'!$B$10,Paramètres!$A$1:$I$89,3,0)*VLOOKUP('Données projet'!$B$10,Paramètres!$A$1:$I$89,5,0)</f>
        <v>30.195359999999997</v>
      </c>
      <c r="AK11" s="13">
        <f t="shared" si="35"/>
        <v>9.3589523475279641</v>
      </c>
      <c r="AL11" s="20">
        <f t="shared" si="4"/>
        <v>68.890427338611204</v>
      </c>
      <c r="AM11" s="59">
        <f t="shared" si="5"/>
        <v>335.33487178305563</v>
      </c>
      <c r="AN11" s="59">
        <f ca="1">AVERAGE(OFFSET($AM$3,0,0,'Données projet'!$E$10+1,1))-AVERAGE(OFFSET($H$3,0,0,'Données projet'!$E$10+1,1))</f>
        <v>331.17634116262298</v>
      </c>
      <c r="AO11" s="59">
        <f t="shared" si="36"/>
        <v>286.28916368940605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7.416666666666667</v>
      </c>
      <c r="BD11" s="12">
        <f>IF('Données projet'!$A$88&gt;35,BD10+BC11-BL10,IF(A11&lt;'Données projet'!$A$88,$BA$205^A11,IF(A11='Données projet'!$A$88,'Données projet'!$B$88,BD10+BC11-BL10)))</f>
        <v>19.933948768546188</v>
      </c>
      <c r="BE11" s="13">
        <f>BD11*VLOOKUP('Données projet'!$B$11,Paramètres!$A$1:$I$89,3,0)*VLOOKUP('Données projet'!$B$11,Paramètres!$A$1:$I$89,5,0)</f>
        <v>10.883936027626218</v>
      </c>
      <c r="BF11" s="13">
        <f t="shared" si="37"/>
        <v>3.7988850912991081</v>
      </c>
      <c r="BG11" s="20">
        <f t="shared" si="7"/>
        <v>25.572580115461605</v>
      </c>
      <c r="BH11" s="59">
        <f t="shared" si="8"/>
        <v>292.01702455990608</v>
      </c>
      <c r="BI11" s="59">
        <f ca="1">AVERAGE(OFFSET($BH$3,0,0,'Données projet'!$E$11+1,1))-AVERAGE(OFFSET($H$3,0,0,'Données projet'!$E$11+1,1))</f>
        <v>165.87377022031535</v>
      </c>
      <c r="BJ11" s="59">
        <f t="shared" si="38"/>
        <v>272.91122662088929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4.8385294117647053</v>
      </c>
      <c r="BY11" s="12">
        <f>IF('Données projet'!$A$114&gt;35,BY10+BX11-CG10,IF(A11&lt;'Données projet'!$A$114,$BV$205^A11,IF(A11='Données projet'!$A$114,'Données projet'!$B$114,BY10+BX11-CG10)))</f>
        <v>3.322438971558503</v>
      </c>
      <c r="BZ11" s="13">
        <f>BY11*VLOOKUP('Données projet'!$B$12,Paramètres!$A$1:$I$89,3,0)*VLOOKUP('Données projet'!$B$12,Paramètres!$A$1:$I$89,5,0)</f>
        <v>3.0061427814661332</v>
      </c>
      <c r="CA11" s="13">
        <f t="shared" si="39"/>
        <v>1.2187688652436375</v>
      </c>
      <c r="CB11" s="20">
        <f t="shared" si="10"/>
        <v>7.3583877846861832</v>
      </c>
      <c r="CC11" s="59">
        <f t="shared" si="11"/>
        <v>273.80283222913062</v>
      </c>
      <c r="CD11" s="59">
        <f ca="1">AVERAGE(OFFSET($CC$3,0,0,'Données projet'!$E$12+1,1))-AVERAGE(OFFSET($H$3,0,0,'Données projet'!$E$12+1,1))</f>
        <v>639.86968831634636</v>
      </c>
      <c r="CE11" s="59">
        <f t="shared" si="40"/>
        <v>218.1556771431184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3.7180000000000004</v>
      </c>
      <c r="CT11" s="12">
        <f>IF('Données projet'!$A$140&gt;35,CT10+CS11-DB10,IF(A11&lt;'Données projet'!$A$140,$CQ$205^A11,IF(A11='Données projet'!$A$140,'Données projet'!$B$140,CT10+CS11-DB10)))</f>
        <v>8.5391310173468487</v>
      </c>
      <c r="CU11" s="17">
        <f>CT11*VLOOKUP('Données projet'!$B$13,Paramètres!$A$1:$I$89,3,0)*VLOOKUP('Données projet'!$B$13,Paramètres!$A$1:$I$89,5,0)</f>
        <v>7.459784856754208</v>
      </c>
      <c r="CV11" s="13">
        <f t="shared" si="41"/>
        <v>2.7207774889346794</v>
      </c>
      <c r="CW11" s="20">
        <f t="shared" si="13"/>
        <v>17.731146085408145</v>
      </c>
      <c r="CX11" s="59">
        <f t="shared" si="14"/>
        <v>284.17559052985263</v>
      </c>
      <c r="CY11" s="59">
        <f ca="1">AVERAGE(OFFSET($CX$3,0,0,'Données projet'!$E$13+1,1))-AVERAGE(OFFSET($H$3,0,0,'Données projet'!$E$13+1,1))</f>
        <v>218.76600554860482</v>
      </c>
      <c r="CZ11" s="59">
        <f t="shared" si="42"/>
        <v>264.34840059907702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5.2692857142857141</v>
      </c>
      <c r="DO11" s="12">
        <f>IF('Données projet'!$A$166&gt;35,DO10+DN11-DW10,IF(A11&lt;'Données projet'!$A$166,$DL$205^A11,IF(A11='Données projet'!$A$166,'Données projet'!$B$166,DO10+DN11-DW10)))</f>
        <v>42.154285714285713</v>
      </c>
      <c r="DP11" s="17">
        <f>DO11*VLOOKUP('Données projet'!$B$14,Paramètres!$A$1:$I$89,3,0)*VLOOKUP('Données projet'!$B$14,Paramètres!$A$1:$I$89,5,0)</f>
        <v>36.168377142857146</v>
      </c>
      <c r="DQ11" s="13">
        <f t="shared" si="43"/>
        <v>10.977200311268771</v>
      </c>
      <c r="DR11" s="20">
        <f t="shared" si="16"/>
        <v>82.111880732602629</v>
      </c>
      <c r="DS11" s="59">
        <f t="shared" si="17"/>
        <v>348.55632517704709</v>
      </c>
      <c r="DT11" s="59">
        <f ca="1">AVERAGE(OFFSET($DS$3,0,0,'Données projet'!$E$14+1,1))-AVERAGE(OFFSET($H$3,0,0,'Données projet'!$E$14+1,1))</f>
        <v>442.97490100035287</v>
      </c>
      <c r="DU11" s="59">
        <f t="shared" si="44"/>
        <v>334.36243356457049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2.6666666666666665</v>
      </c>
      <c r="EJ11" s="12">
        <f>IF('Données projet'!$A$192&gt;35,EJ10+EI11-ER10,IF(A11&lt;'Données projet'!$A$192,$EG$205^A11,IF(A11='Données projet'!$A$192,'Données projet'!$B$192,EJ10+EI11-ER10)))</f>
        <v>7.1520739352994367</v>
      </c>
      <c r="EK11" s="17">
        <f>EJ11*VLOOKUP('Données projet'!$B$15,Paramètres!$A$1:$I$89,3,0)*VLOOKUP('Données projet'!$B$15,Paramètres!$A$1:$I$89,5,0)</f>
        <v>5.5786176695335605</v>
      </c>
      <c r="EL11" s="13">
        <f t="shared" si="45"/>
        <v>2.1046649418345189</v>
      </c>
      <c r="EM11" s="20">
        <f t="shared" si="19"/>
        <v>13.381717214799407</v>
      </c>
      <c r="EN11" s="59">
        <f t="shared" si="20"/>
        <v>279.82616165924384</v>
      </c>
      <c r="EO11" s="59">
        <f ca="1">AVERAGE(OFFSET($EN$3,0,0,'Données projet'!$E$15+1,1))-AVERAGE(OFFSET($H$3,0,0,'Données projet'!$E$15+1,1))</f>
        <v>288.82868507674738</v>
      </c>
      <c r="EP11" s="59">
        <f t="shared" si="46"/>
        <v>283.48738729114024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4.9927130290993551</v>
      </c>
      <c r="FG11" s="13">
        <f t="shared" si="47"/>
        <v>1.9081050833380053</v>
      </c>
      <c r="FH11" s="20">
        <f t="shared" si="22"/>
        <v>12.018924879161736</v>
      </c>
      <c r="FI11" s="59">
        <f t="shared" si="23"/>
        <v>278.46336932360617</v>
      </c>
      <c r="FJ11" s="59">
        <f ca="1">AVERAGE(OFFSET($FI$3,0,0,'Données projet'!$E$16+1,1))-AVERAGE(OFFSET($H$3,0,0,'Données projet'!$E$16+1,1))</f>
        <v>328.55201074501201</v>
      </c>
      <c r="FK11" s="59">
        <f t="shared" si="48"/>
        <v>321.81422611044985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1.1000000000000001</v>
      </c>
      <c r="FZ11" s="12">
        <f>IF('Données projet'!$A$244&gt;35,FZ10+FY11-GH10,IF(A11&lt;'Données projet'!$A$244,$FW$205^A11,IF(A11='Données projet'!$A$244,'Données projet'!$B$244,FZ10+FY11-GH10)))</f>
        <v>6.8094831275223076</v>
      </c>
      <c r="GA11" s="17">
        <f>FZ11*VLOOKUP('Données projet'!$B$17,Paramètres!$A$1:$I$89,3,0)*VLOOKUP('Données projet'!$B$17,Paramètres!$A$1:$I$89,5,0)</f>
        <v>5.4176247762567487</v>
      </c>
      <c r="GB11" s="13">
        <f t="shared" si="49"/>
        <v>2.0509054013412618</v>
      </c>
      <c r="GC11" s="20">
        <f t="shared" si="25"/>
        <v>13.007690059316532</v>
      </c>
      <c r="GD11" s="59">
        <f t="shared" si="26"/>
        <v>279.45213450376099</v>
      </c>
      <c r="GE11" s="59">
        <f ca="1">AVERAGE(OFFSET($GD$3,0,0,'Données projet'!$E$17+1,1))-AVERAGE(OFFSET($H$3,0,0,'Données projet'!$E$17+1,1))</f>
        <v>353.37024194969638</v>
      </c>
      <c r="GF11" s="59">
        <f t="shared" si="50"/>
        <v>345.4750813433123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11.239444444444445</v>
      </c>
      <c r="N12" s="13">
        <f>IF('Données projet'!$A$36&gt;35,N11+M12-V11,IF(A12&lt;'Données projet'!$A$36,$K$205^A12,IF(A12='Données projet'!$A$36,'Données projet'!$B$36,N11+M12-V11)))</f>
        <v>14.223571984561403</v>
      </c>
      <c r="O12" s="13">
        <f>N12*VLOOKUP('Données projet'!$B$9,Paramètres!$A$1:$I$89,3,0)*VLOOKUP('Données projet'!$B$9,Paramètres!$A$1:$I$89,5,0)</f>
        <v>7.9509767393698239</v>
      </c>
      <c r="P12" s="13">
        <f t="shared" si="33"/>
        <v>2.8784825670706273</v>
      </c>
      <c r="Q12" s="20">
        <f t="shared" si="2"/>
        <v>18.861308292050449</v>
      </c>
      <c r="R12" s="59">
        <f t="shared" si="0"/>
        <v>286.52797495871715</v>
      </c>
      <c r="S12" s="59">
        <f ca="1">AVERAGE(OFFSET($R$3,0,0,'Données projet'!$E$9+1,1))-AVERAGE(OFFSET($H$3,0,0,'Données projet'!$E$9+1,1))</f>
        <v>404.65492118472037</v>
      </c>
      <c r="T12" s="59">
        <f t="shared" si="34"/>
        <v>534.22295841722166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8.0650000000000013</v>
      </c>
      <c r="AI12" s="13">
        <f>IF('Données projet'!$A$62&gt;35,AI11+AH12-AQ11,IF(A12&lt;'Données projet'!$A$62,$AF$205^A12,IF(A12='Données projet'!$A$62,'Données projet'!$B$62,AI11+AH12-AQ11)))</f>
        <v>72.584999999999994</v>
      </c>
      <c r="AJ12" s="13">
        <f>AI12*VLOOKUP('Données projet'!$B$10,Paramètres!$A$1:$I$89,3,0)*VLOOKUP('Données projet'!$B$10,Paramètres!$A$1:$I$89,5,0)</f>
        <v>33.96978</v>
      </c>
      <c r="AK12" s="13">
        <f t="shared" si="35"/>
        <v>10.385456830827925</v>
      </c>
      <c r="AL12" s="20">
        <f t="shared" si="4"/>
        <v>77.252037480358638</v>
      </c>
      <c r="AM12" s="59">
        <f t="shared" si="5"/>
        <v>344.91870414702532</v>
      </c>
      <c r="AN12" s="59">
        <f ca="1">AVERAGE(OFFSET($AM$3,0,0,'Données projet'!$E$10+1,1))-AVERAGE(OFFSET($H$3,0,0,'Données projet'!$E$10+1,1))</f>
        <v>331.17634116262298</v>
      </c>
      <c r="AO12" s="59">
        <f t="shared" si="36"/>
        <v>286.28916368940605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7.416666666666667</v>
      </c>
      <c r="BD12" s="12">
        <f>IF('Données projet'!$A$88&gt;35,BD11+BC12-BL11,IF(A12&lt;'Données projet'!$A$88,$BA$205^A12,IF(A12='Données projet'!$A$88,'Données projet'!$B$88,BD11+BC12-BL11)))</f>
        <v>28.976271684829264</v>
      </c>
      <c r="BE12" s="13">
        <f>BD12*VLOOKUP('Données projet'!$B$11,Paramètres!$A$1:$I$89,3,0)*VLOOKUP('Données projet'!$B$11,Paramètres!$A$1:$I$89,5,0)</f>
        <v>15.821044339916778</v>
      </c>
      <c r="BF12" s="13">
        <f t="shared" si="37"/>
        <v>5.2868409029643892</v>
      </c>
      <c r="BG12" s="20">
        <f t="shared" si="7"/>
        <v>36.762900131351365</v>
      </c>
      <c r="BH12" s="59">
        <f t="shared" si="8"/>
        <v>304.42956679801807</v>
      </c>
      <c r="BI12" s="59">
        <f ca="1">AVERAGE(OFFSET($BH$3,0,0,'Données projet'!$E$11+1,1))-AVERAGE(OFFSET($H$3,0,0,'Données projet'!$E$11+1,1))</f>
        <v>165.87377022031535</v>
      </c>
      <c r="BJ12" s="59">
        <f t="shared" si="38"/>
        <v>272.91122662088929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4.8385294117647053</v>
      </c>
      <c r="BY12" s="12">
        <f>IF('Données projet'!$A$114&gt;35,BY11+BX12-CG11,IF(A12&lt;'Données projet'!$A$114,$BV$205^A12,IF(A12='Données projet'!$A$114,'Données projet'!$B$114,BY11+BX12-CG11)))</f>
        <v>3.8604607286518373</v>
      </c>
      <c r="BZ12" s="13">
        <f>BY12*VLOOKUP('Données projet'!$B$12,Paramètres!$A$1:$I$89,3,0)*VLOOKUP('Données projet'!$B$12,Paramètres!$A$1:$I$89,5,0)</f>
        <v>3.4929448672841827</v>
      </c>
      <c r="CA12" s="13">
        <f t="shared" si="39"/>
        <v>1.3916059539120922</v>
      </c>
      <c r="CB12" s="20">
        <f t="shared" si="10"/>
        <v>8.5072593469168449</v>
      </c>
      <c r="CC12" s="59">
        <f t="shared" si="11"/>
        <v>276.17392601358353</v>
      </c>
      <c r="CD12" s="59">
        <f ca="1">AVERAGE(OFFSET($CC$3,0,0,'Données projet'!$E$12+1,1))-AVERAGE(OFFSET($H$3,0,0,'Données projet'!$E$12+1,1))</f>
        <v>639.86968831634636</v>
      </c>
      <c r="CE12" s="59">
        <f t="shared" si="40"/>
        <v>218.1556771431184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3.7180000000000004</v>
      </c>
      <c r="CT12" s="12">
        <f>IF('Données projet'!$A$140&gt;35,CT11+CS12-DB11,IF(A12&lt;'Données projet'!$A$140,$CQ$205^A12,IF(A12='Données projet'!$A$140,'Données projet'!$B$140,CT11+CS12-DB11)))</f>
        <v>11.164528500268899</v>
      </c>
      <c r="CU12" s="17">
        <f>CT12*VLOOKUP('Données projet'!$B$13,Paramètres!$A$1:$I$89,3,0)*VLOOKUP('Données projet'!$B$13,Paramètres!$A$1:$I$89,5,0)</f>
        <v>9.7533320978349121</v>
      </c>
      <c r="CV12" s="13">
        <f t="shared" si="41"/>
        <v>3.4480032485240644</v>
      </c>
      <c r="CW12" s="20">
        <f t="shared" si="13"/>
        <v>22.992325728241884</v>
      </c>
      <c r="CX12" s="59">
        <f t="shared" si="14"/>
        <v>290.65899239490858</v>
      </c>
      <c r="CY12" s="59">
        <f ca="1">AVERAGE(OFFSET($CX$3,0,0,'Données projet'!$E$13+1,1))-AVERAGE(OFFSET($H$3,0,0,'Données projet'!$E$13+1,1))</f>
        <v>218.76600554860482</v>
      </c>
      <c r="CZ12" s="59">
        <f t="shared" si="42"/>
        <v>264.34840059907702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5.2692857142857141</v>
      </c>
      <c r="DO12" s="12">
        <f>IF('Données projet'!$A$166&gt;35,DO11+DN12-DW11,IF(A12&lt;'Données projet'!$A$166,$DL$205^A12,IF(A12='Données projet'!$A$166,'Données projet'!$B$166,DO11+DN12-DW11)))</f>
        <v>47.423571428571428</v>
      </c>
      <c r="DP12" s="17">
        <f>DO12*VLOOKUP('Données projet'!$B$14,Paramètres!$A$1:$I$89,3,0)*VLOOKUP('Données projet'!$B$14,Paramètres!$A$1:$I$89,5,0)</f>
        <v>40.689424285714288</v>
      </c>
      <c r="DQ12" s="13">
        <f t="shared" si="43"/>
        <v>12.181196753944894</v>
      </c>
      <c r="DR12" s="20">
        <f t="shared" si="16"/>
        <v>92.08299831073974</v>
      </c>
      <c r="DS12" s="59">
        <f t="shared" si="17"/>
        <v>359.74966497740644</v>
      </c>
      <c r="DT12" s="59">
        <f ca="1">AVERAGE(OFFSET($DS$3,0,0,'Données projet'!$E$14+1,1))-AVERAGE(OFFSET($H$3,0,0,'Données projet'!$E$14+1,1))</f>
        <v>442.97490100035287</v>
      </c>
      <c r="DU12" s="59">
        <f t="shared" si="44"/>
        <v>334.36243356457049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2.6666666666666665</v>
      </c>
      <c r="EJ12" s="12">
        <f>IF('Données projet'!$A$192&gt;35,EJ11+EI12-ER11,IF(A12&lt;'Données projet'!$A$192,$EG$205^A12,IF(A12='Données projet'!$A$192,'Données projet'!$B$192,EJ11+EI12-ER11)))</f>
        <v>9.1461010385465205</v>
      </c>
      <c r="EK12" s="17">
        <f>EJ12*VLOOKUP('Données projet'!$B$15,Paramètres!$A$1:$I$89,3,0)*VLOOKUP('Données projet'!$B$15,Paramètres!$A$1:$I$89,5,0)</f>
        <v>7.1339588100662858</v>
      </c>
      <c r="EL12" s="13">
        <f t="shared" si="45"/>
        <v>2.6155015444227643</v>
      </c>
      <c r="EM12" s="20">
        <f t="shared" si="19"/>
        <v>16.980310117401761</v>
      </c>
      <c r="EN12" s="59">
        <f t="shared" si="20"/>
        <v>284.64697678406844</v>
      </c>
      <c r="EO12" s="59">
        <f ca="1">AVERAGE(OFFSET($EN$3,0,0,'Données projet'!$E$15+1,1))-AVERAGE(OFFSET($H$3,0,0,'Données projet'!$E$15+1,1))</f>
        <v>288.82868507674738</v>
      </c>
      <c r="EP12" s="59">
        <f t="shared" si="46"/>
        <v>283.48738729114024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6.3456464700054127</v>
      </c>
      <c r="FG12" s="13">
        <f t="shared" si="47"/>
        <v>2.3584123814576028</v>
      </c>
      <c r="FH12" s="20">
        <f t="shared" si="22"/>
        <v>15.159569166298086</v>
      </c>
      <c r="FI12" s="59">
        <f t="shared" si="23"/>
        <v>282.82623583296476</v>
      </c>
      <c r="FJ12" s="59">
        <f ca="1">AVERAGE(OFFSET($FI$3,0,0,'Données projet'!$E$16+1,1))-AVERAGE(OFFSET($H$3,0,0,'Données projet'!$E$16+1,1))</f>
        <v>328.55201074501201</v>
      </c>
      <c r="FK12" s="59">
        <f t="shared" si="48"/>
        <v>321.81422611044985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1.1000000000000001</v>
      </c>
      <c r="FZ12" s="12">
        <f>IF('Données projet'!$A$244&gt;35,FZ11+FY12-GH11,IF(A12&lt;'Données projet'!$A$244,$FW$205^A12,IF(A12='Données projet'!$A$244,'Données projet'!$B$244,FZ11+FY12-GH11)))</f>
        <v>8.6547278641645029</v>
      </c>
      <c r="GA12" s="17">
        <f>FZ12*VLOOKUP('Données projet'!$B$17,Paramètres!$A$1:$I$89,3,0)*VLOOKUP('Données projet'!$B$17,Paramètres!$A$1:$I$89,5,0)</f>
        <v>6.8857014887292793</v>
      </c>
      <c r="GB12" s="13">
        <f t="shared" si="49"/>
        <v>2.5349131627802968</v>
      </c>
      <c r="GC12" s="20">
        <f t="shared" si="25"/>
        <v>16.407570518045844</v>
      </c>
      <c r="GD12" s="59">
        <f t="shared" si="26"/>
        <v>284.0742371847125</v>
      </c>
      <c r="GE12" s="59">
        <f ca="1">AVERAGE(OFFSET($GD$3,0,0,'Données projet'!$E$17+1,1))-AVERAGE(OFFSET($H$3,0,0,'Données projet'!$E$17+1,1))</f>
        <v>353.37024194969638</v>
      </c>
      <c r="GF12" s="59">
        <f t="shared" si="50"/>
        <v>345.4750813433123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11.239444444444445</v>
      </c>
      <c r="N13" s="13">
        <f>IF('Données projet'!$A$36&gt;35,N12+M13-V12,IF(A13&lt;'Données projet'!$A$36,$K$205^A13,IF(A13='Données projet'!$A$36,'Données projet'!$B$36,N12+M13-V12)))</f>
        <v>19.103843427558129</v>
      </c>
      <c r="O13" s="13">
        <f>N13*VLOOKUP('Données projet'!$B$9,Paramètres!$A$1:$I$89,3,0)*VLOOKUP('Données projet'!$B$9,Paramètres!$A$1:$I$89,5,0)</f>
        <v>10.679048476004995</v>
      </c>
      <c r="P13" s="13">
        <f t="shared" si="33"/>
        <v>3.7356263752363374</v>
      </c>
      <c r="Q13" s="20">
        <f t="shared" si="2"/>
        <v>25.105558699245321</v>
      </c>
      <c r="R13" s="59">
        <f t="shared" si="0"/>
        <v>293.99444758813416</v>
      </c>
      <c r="S13" s="59">
        <f ca="1">AVERAGE(OFFSET($R$3,0,0,'Données projet'!$E$9+1,1))-AVERAGE(OFFSET($H$3,0,0,'Données projet'!$E$9+1,1))</f>
        <v>404.65492118472037</v>
      </c>
      <c r="T13" s="59">
        <f t="shared" si="34"/>
        <v>534.22295841722166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8.0650000000000013</v>
      </c>
      <c r="AI13" s="13">
        <f>IF('Données projet'!$A$62&gt;35,AI12+AH13-AQ12,IF(A13&lt;'Données projet'!$A$62,$AF$205^A13,IF(A13='Données projet'!$A$62,'Données projet'!$B$62,AI12+AH13-AQ12)))</f>
        <v>80.649999999999991</v>
      </c>
      <c r="AJ13" s="13">
        <f>AI13*VLOOKUP('Données projet'!$B$10,Paramètres!$A$1:$I$89,3,0)*VLOOKUP('Données projet'!$B$10,Paramètres!$A$1:$I$89,5,0)</f>
        <v>37.744199999999992</v>
      </c>
      <c r="AK13" s="13">
        <f t="shared" si="35"/>
        <v>11.398741989162001</v>
      </c>
      <c r="AL13" s="20">
        <f t="shared" si="4"/>
        <v>85.590623964457123</v>
      </c>
      <c r="AM13" s="59">
        <f t="shared" si="5"/>
        <v>354.47951285334597</v>
      </c>
      <c r="AN13" s="59">
        <f ca="1">AVERAGE(OFFSET($AM$3,0,0,'Données projet'!$E$10+1,1))-AVERAGE(OFFSET($H$3,0,0,'Données projet'!$E$10+1,1))</f>
        <v>331.17634116262298</v>
      </c>
      <c r="AO13" s="59">
        <f t="shared" si="36"/>
        <v>286.28916368940605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7.416666666666667</v>
      </c>
      <c r="BD13" s="12">
        <f>IF('Données projet'!$A$88&gt;35,BD12+BC13-BL12,IF(A13&lt;'Données projet'!$A$88,$BA$205^A13,IF(A13='Données projet'!$A$88,'Données projet'!$B$88,BD12+BC13-BL12)))</f>
        <v>42.120320991186802</v>
      </c>
      <c r="BE13" s="13">
        <f>BD13*VLOOKUP('Données projet'!$B$11,Paramètres!$A$1:$I$89,3,0)*VLOOKUP('Données projet'!$B$11,Paramètres!$A$1:$I$89,5,0)</f>
        <v>22.997695261187992</v>
      </c>
      <c r="BF13" s="13">
        <f t="shared" si="37"/>
        <v>7.3576025758912857</v>
      </c>
      <c r="BG13" s="20">
        <f t="shared" si="7"/>
        <v>52.868810399579736</v>
      </c>
      <c r="BH13" s="59">
        <f t="shared" si="8"/>
        <v>321.75769928846859</v>
      </c>
      <c r="BI13" s="59">
        <f ca="1">AVERAGE(OFFSET($BH$3,0,0,'Données projet'!$E$11+1,1))-AVERAGE(OFFSET($H$3,0,0,'Données projet'!$E$11+1,1))</f>
        <v>165.87377022031535</v>
      </c>
      <c r="BJ13" s="59">
        <f t="shared" si="38"/>
        <v>272.91122662088929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4.8385294117647053</v>
      </c>
      <c r="BY13" s="12">
        <f>IF('Données projet'!$A$114&gt;35,BY12+BX13-CG12,IF(A13&lt;'Données projet'!$A$114,$BV$205^A13,IF(A13='Données projet'!$A$114,'Données projet'!$B$114,BY12+BX13-CG12)))</f>
        <v>4.485607460374883</v>
      </c>
      <c r="BZ13" s="13">
        <f>BY13*VLOOKUP('Données projet'!$B$12,Paramètres!$A$1:$I$89,3,0)*VLOOKUP('Données projet'!$B$12,Paramètres!$A$1:$I$89,5,0)</f>
        <v>4.0585776301471936</v>
      </c>
      <c r="CA13" s="13">
        <f t="shared" si="39"/>
        <v>1.5889535630502463</v>
      </c>
      <c r="CB13" s="20">
        <f t="shared" si="10"/>
        <v>9.8361168281522069</v>
      </c>
      <c r="CC13" s="59">
        <f t="shared" si="11"/>
        <v>278.72500571704109</v>
      </c>
      <c r="CD13" s="59">
        <f ca="1">AVERAGE(OFFSET($CC$3,0,0,'Données projet'!$E$12+1,1))-AVERAGE(OFFSET($H$3,0,0,'Données projet'!$E$12+1,1))</f>
        <v>639.86968831634636</v>
      </c>
      <c r="CE13" s="59">
        <f t="shared" si="40"/>
        <v>218.1556771431184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3.7180000000000004</v>
      </c>
      <c r="CT13" s="12">
        <f>IF('Données projet'!$A$140&gt;35,CT12+CS13-DB12,IF(A13&lt;'Données projet'!$A$140,$CQ$205^A13,IF(A13='Données projet'!$A$140,'Données projet'!$B$140,CT12+CS13-DB12)))</f>
        <v>14.597117245314836</v>
      </c>
      <c r="CU13" s="17">
        <f>CT13*VLOOKUP('Données projet'!$B$13,Paramètres!$A$1:$I$89,3,0)*VLOOKUP('Données projet'!$B$13,Paramètres!$A$1:$I$89,5,0)</f>
        <v>12.752041625507042</v>
      </c>
      <c r="CV13" s="13">
        <f t="shared" si="41"/>
        <v>4.3696062798900686</v>
      </c>
      <c r="CW13" s="20">
        <f t="shared" si="13"/>
        <v>29.820203435233307</v>
      </c>
      <c r="CX13" s="59">
        <f t="shared" si="14"/>
        <v>298.70909232412214</v>
      </c>
      <c r="CY13" s="59">
        <f ca="1">AVERAGE(OFFSET($CX$3,0,0,'Données projet'!$E$13+1,1))-AVERAGE(OFFSET($H$3,0,0,'Données projet'!$E$13+1,1))</f>
        <v>218.76600554860482</v>
      </c>
      <c r="CZ13" s="59">
        <f t="shared" si="42"/>
        <v>264.34840059907702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5.2692857142857141</v>
      </c>
      <c r="DO13" s="12">
        <f>IF('Données projet'!$A$166&gt;35,DO12+DN13-DW12,IF(A13&lt;'Données projet'!$A$166,$DL$205^A13,IF(A13='Données projet'!$A$166,'Données projet'!$B$166,DO12+DN13-DW12)))</f>
        <v>52.692857142857143</v>
      </c>
      <c r="DP13" s="17">
        <f>DO13*VLOOKUP('Données projet'!$B$14,Paramètres!$A$1:$I$89,3,0)*VLOOKUP('Données projet'!$B$14,Paramètres!$A$1:$I$89,5,0)</f>
        <v>45.210471428571438</v>
      </c>
      <c r="DQ13" s="13">
        <f t="shared" si="43"/>
        <v>13.369688130162542</v>
      </c>
      <c r="DR13" s="20">
        <f t="shared" si="16"/>
        <v>102.02711123146169</v>
      </c>
      <c r="DS13" s="59">
        <f t="shared" si="17"/>
        <v>370.91600012035053</v>
      </c>
      <c r="DT13" s="59">
        <f ca="1">AVERAGE(OFFSET($DS$3,0,0,'Données projet'!$E$14+1,1))-AVERAGE(OFFSET($H$3,0,0,'Données projet'!$E$14+1,1))</f>
        <v>442.97490100035287</v>
      </c>
      <c r="DU13" s="59">
        <f t="shared" si="44"/>
        <v>334.36243356457049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2.6666666666666665</v>
      </c>
      <c r="EJ13" s="12">
        <f>IF('Données projet'!$A$192&gt;35,EJ12+EI13-ER12,IF(A13&lt;'Données projet'!$A$192,$EG$205^A13,IF(A13='Données projet'!$A$192,'Données projet'!$B$192,EJ12+EI13-ER12)))</f>
        <v>11.696070952851455</v>
      </c>
      <c r="EK13" s="17">
        <f>EJ13*VLOOKUP('Données projet'!$B$15,Paramètres!$A$1:$I$89,3,0)*VLOOKUP('Données projet'!$B$15,Paramètres!$A$1:$I$89,5,0)</f>
        <v>9.1229353432241354</v>
      </c>
      <c r="EL13" s="13">
        <f t="shared" si="45"/>
        <v>3.2503265450485803</v>
      </c>
      <c r="EM13" s="20">
        <f t="shared" si="19"/>
        <v>21.550097788741649</v>
      </c>
      <c r="EN13" s="59">
        <f t="shared" si="20"/>
        <v>290.43898667763051</v>
      </c>
      <c r="EO13" s="59">
        <f ca="1">AVERAGE(OFFSET($EN$3,0,0,'Données projet'!$E$15+1,1))-AVERAGE(OFFSET($H$3,0,0,'Données projet'!$E$15+1,1))</f>
        <v>288.82868507674738</v>
      </c>
      <c r="EP13" s="59">
        <f t="shared" si="46"/>
        <v>283.48738729114024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8.0652000000000008</v>
      </c>
      <c r="FG13" s="13">
        <f t="shared" si="47"/>
        <v>2.9149909035839161</v>
      </c>
      <c r="FH13" s="20">
        <f t="shared" si="22"/>
        <v>19.123832490408656</v>
      </c>
      <c r="FI13" s="59">
        <f t="shared" si="23"/>
        <v>288.01272137929749</v>
      </c>
      <c r="FJ13" s="59">
        <f ca="1">AVERAGE(OFFSET($FI$3,0,0,'Données projet'!$E$16+1,1))-AVERAGE(OFFSET($H$3,0,0,'Données projet'!$E$16+1,1))</f>
        <v>328.55201074501201</v>
      </c>
      <c r="FK13" s="59">
        <f t="shared" si="48"/>
        <v>321.81422611044985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11</v>
      </c>
      <c r="FX13" s="12">
        <f>VLOOKUP(A13,'Données projet'!$A$243:$I$263,9,0)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projet'!$A$244&gt;35,FZ12+FY13-GH12,IF(A13&lt;'Données projet'!$A$244,$FW$205^A13,IF(A13='Données projet'!$A$244,'Données projet'!$B$244,FZ12+FY13-GH12)))</f>
        <v>11</v>
      </c>
      <c r="GA13" s="17">
        <f>FZ13*VLOOKUP('Données projet'!$B$17,Paramètres!$A$1:$I$89,3,0)*VLOOKUP('Données projet'!$B$17,Paramètres!$A$1:$I$89,5,0)</f>
        <v>8.7516000000000016</v>
      </c>
      <c r="GB13" s="13">
        <f t="shared" si="49"/>
        <v>3.1331453604025001</v>
      </c>
      <c r="GC13" s="20">
        <f t="shared" si="25"/>
        <v>20.699264836034356</v>
      </c>
      <c r="GD13" s="59">
        <f t="shared" si="26"/>
        <v>289.58815372492319</v>
      </c>
      <c r="GE13" s="59">
        <f ca="1">AVERAGE(OFFSET($GD$3,0,0,'Données projet'!$E$17+1,1))-AVERAGE(OFFSET($H$3,0,0,'Données projet'!$E$17+1,1))</f>
        <v>353.37024194969638</v>
      </c>
      <c r="GF13" s="59">
        <f t="shared" si="50"/>
        <v>345.4750813433123</v>
      </c>
      <c r="GG13" s="15">
        <f>IF(ISNA(VLOOKUP(A13,'Données projet'!$A$243:$I$263,3,0)),0,VLOOKUP(A13,'Données projet'!$A$243:$I$263,3,0))</f>
        <v>1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11.239444444444445</v>
      </c>
      <c r="N14" s="13">
        <f>IF('Données projet'!$A$36&gt;35,N13+M14-V13,IF(A14&lt;'Données projet'!$A$36,$K$205^A14,IF(A14='Données projet'!$A$36,'Données projet'!$B$36,N13+M14-V13)))</f>
        <v>25.658592236942212</v>
      </c>
      <c r="O14" s="13">
        <f>N14*VLOOKUP('Données projet'!$B$9,Paramètres!$A$1:$I$89,3,0)*VLOOKUP('Données projet'!$B$9,Paramètres!$A$1:$I$89,5,0)</f>
        <v>14.343153060450696</v>
      </c>
      <c r="P14" s="13">
        <f t="shared" si="33"/>
        <v>4.8480072712627136</v>
      </c>
      <c r="Q14" s="20">
        <f t="shared" si="2"/>
        <v>33.424604244400854</v>
      </c>
      <c r="R14" s="59">
        <f t="shared" si="0"/>
        <v>303.53571535551202</v>
      </c>
      <c r="S14" s="59">
        <f ca="1">AVERAGE(OFFSET($R$3,0,0,'Données projet'!$E$9+1,1))-AVERAGE(OFFSET($H$3,0,0,'Données projet'!$E$9+1,1))</f>
        <v>404.65492118472037</v>
      </c>
      <c r="T14" s="59">
        <f t="shared" si="34"/>
        <v>534.22295841722166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8.0650000000000013</v>
      </c>
      <c r="AI14" s="13">
        <f>IF('Données projet'!$A$62&gt;35,AI13+AH14-AQ13,IF(A14&lt;'Données projet'!$A$62,$AF$205^A14,IF(A14='Données projet'!$A$62,'Données projet'!$B$62,AI13+AH14-AQ13)))</f>
        <v>88.714999999999989</v>
      </c>
      <c r="AJ14" s="13">
        <f>AI14*VLOOKUP('Données projet'!$B$10,Paramètres!$A$1:$I$89,3,0)*VLOOKUP('Données projet'!$B$10,Paramètres!$A$1:$I$89,5,0)</f>
        <v>41.518619999999999</v>
      </c>
      <c r="AK14" s="13">
        <f t="shared" si="35"/>
        <v>12.400280240035103</v>
      </c>
      <c r="AL14" s="20">
        <f t="shared" si="4"/>
        <v>93.908751251394463</v>
      </c>
      <c r="AM14" s="59">
        <f t="shared" si="5"/>
        <v>364.01986236250559</v>
      </c>
      <c r="AN14" s="59">
        <f ca="1">AVERAGE(OFFSET($AM$3,0,0,'Données projet'!$E$10+1,1))-AVERAGE(OFFSET($H$3,0,0,'Données projet'!$E$10+1,1))</f>
        <v>331.17634116262298</v>
      </c>
      <c r="AO14" s="59">
        <f t="shared" si="36"/>
        <v>286.28916368940605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7.416666666666667</v>
      </c>
      <c r="BD14" s="12">
        <f>IF('Données projet'!$A$88&gt;35,BD13+BC14-BL13,IF(A14&lt;'Données projet'!$A$88,$BA$205^A14,IF(A14='Données projet'!$A$88,'Données projet'!$B$88,BD13+BC14-BL13)))</f>
        <v>61.226698165225493</v>
      </c>
      <c r="BE14" s="13">
        <f>BD14*VLOOKUP('Données projet'!$B$11,Paramètres!$A$1:$I$89,3,0)*VLOOKUP('Données projet'!$B$11,Paramètres!$A$1:$I$89,5,0)</f>
        <v>33.429777198213117</v>
      </c>
      <c r="BF14" s="13">
        <f t="shared" si="37"/>
        <v>10.239444813708763</v>
      </c>
      <c r="BG14" s="20">
        <f t="shared" si="7"/>
        <v>76.057228337430601</v>
      </c>
      <c r="BH14" s="59">
        <f t="shared" si="8"/>
        <v>346.16833944854176</v>
      </c>
      <c r="BI14" s="59">
        <f ca="1">AVERAGE(OFFSET($BH$3,0,0,'Données projet'!$E$11+1,1))-AVERAGE(OFFSET($H$3,0,0,'Données projet'!$E$11+1,1))</f>
        <v>165.87377022031535</v>
      </c>
      <c r="BJ14" s="59">
        <f t="shared" si="38"/>
        <v>272.91122662088929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4.8385294117647053</v>
      </c>
      <c r="BY14" s="12">
        <f>IF('Données projet'!$A$114&gt;35,BY13+BX14-CG13,IF(A14&lt;'Données projet'!$A$114,$BV$205^A14,IF(A14='Données projet'!$A$114,'Données projet'!$B$114,BY13+BX14-CG13)))</f>
        <v>5.2119878177332</v>
      </c>
      <c r="BZ14" s="13">
        <f>BY14*VLOOKUP('Données projet'!$B$12,Paramètres!$A$1:$I$89,3,0)*VLOOKUP('Données projet'!$B$12,Paramètres!$A$1:$I$89,5,0)</f>
        <v>4.7158065774849991</v>
      </c>
      <c r="CA14" s="13">
        <f t="shared" si="39"/>
        <v>1.8142875994690977</v>
      </c>
      <c r="CB14" s="20">
        <f t="shared" si="10"/>
        <v>11.373247358195052</v>
      </c>
      <c r="CC14" s="59">
        <f t="shared" si="11"/>
        <v>281.48435846930619</v>
      </c>
      <c r="CD14" s="59">
        <f ca="1">AVERAGE(OFFSET($CC$3,0,0,'Données projet'!$E$12+1,1))-AVERAGE(OFFSET($H$3,0,0,'Données projet'!$E$12+1,1))</f>
        <v>639.86968831634636</v>
      </c>
      <c r="CE14" s="59">
        <f t="shared" si="40"/>
        <v>218.1556771431184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3.7180000000000004</v>
      </c>
      <c r="CT14" s="12">
        <f>IF('Données projet'!$A$140&gt;35,CT13+CS14-DB13,IF(A14&lt;'Données projet'!$A$140,$CQ$205^A14,IF(A14='Données projet'!$A$140,'Données projet'!$B$140,CT13+CS14-DB13)))</f>
        <v>19.085072143291658</v>
      </c>
      <c r="CU14" s="17">
        <f>CT14*VLOOKUP('Données projet'!$B$13,Paramètres!$A$1:$I$89,3,0)*VLOOKUP('Données projet'!$B$13,Paramètres!$A$1:$I$89,5,0)</f>
        <v>16.672719024379596</v>
      </c>
      <c r="CV14" s="13">
        <f t="shared" si="41"/>
        <v>5.5375409084744236</v>
      </c>
      <c r="CW14" s="20">
        <f t="shared" si="13"/>
        <v>38.682869383054083</v>
      </c>
      <c r="CX14" s="59">
        <f t="shared" si="14"/>
        <v>308.79398049416523</v>
      </c>
      <c r="CY14" s="59">
        <f ca="1">AVERAGE(OFFSET($CX$3,0,0,'Données projet'!$E$13+1,1))-AVERAGE(OFFSET($H$3,0,0,'Données projet'!$E$13+1,1))</f>
        <v>218.76600554860482</v>
      </c>
      <c r="CZ14" s="59">
        <f t="shared" si="42"/>
        <v>264.34840059907702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5.2692857142857141</v>
      </c>
      <c r="DO14" s="12">
        <f>IF('Données projet'!$A$166&gt;35,DO13+DN14-DW13,IF(A14&lt;'Données projet'!$A$166,$DL$205^A14,IF(A14='Données projet'!$A$166,'Données projet'!$B$166,DO13+DN14-DW13)))</f>
        <v>57.962142857142858</v>
      </c>
      <c r="DP14" s="17">
        <f>DO14*VLOOKUP('Données projet'!$B$14,Paramètres!$A$1:$I$89,3,0)*VLOOKUP('Données projet'!$B$14,Paramètres!$A$1:$I$89,5,0)</f>
        <v>49.73151857142858</v>
      </c>
      <c r="DQ14" s="13">
        <f t="shared" si="43"/>
        <v>14.544401451802187</v>
      </c>
      <c r="DR14" s="20">
        <f t="shared" si="16"/>
        <v>111.94722737379358</v>
      </c>
      <c r="DS14" s="59">
        <f t="shared" si="17"/>
        <v>382.05833848490471</v>
      </c>
      <c r="DT14" s="59">
        <f ca="1">AVERAGE(OFFSET($DS$3,0,0,'Données projet'!$E$14+1,1))-AVERAGE(OFFSET($H$3,0,0,'Données projet'!$E$14+1,1))</f>
        <v>442.97490100035287</v>
      </c>
      <c r="DU14" s="59">
        <f t="shared" si="44"/>
        <v>334.36243356457049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2.6666666666666665</v>
      </c>
      <c r="EJ14" s="12">
        <f>IF('Données projet'!$A$192&gt;35,EJ13+EI14-ER13,IF(A14&lt;'Données projet'!$A$192,$EG$205^A14,IF(A14='Données projet'!$A$192,'Données projet'!$B$192,EJ13+EI14-ER13)))</f>
        <v>14.956982779612416</v>
      </c>
      <c r="EK14" s="17">
        <f>EJ14*VLOOKUP('Données projet'!$B$15,Paramètres!$A$1:$I$89,3,0)*VLOOKUP('Données projet'!$B$15,Paramètres!$A$1:$I$89,5,0)</f>
        <v>11.666446568097685</v>
      </c>
      <c r="EL14" s="13">
        <f t="shared" si="45"/>
        <v>4.0392339557111736</v>
      </c>
      <c r="EM14" s="20">
        <f t="shared" si="19"/>
        <v>27.354060245633761</v>
      </c>
      <c r="EN14" s="59">
        <f t="shared" si="20"/>
        <v>297.46517135674492</v>
      </c>
      <c r="EO14" s="59">
        <f ca="1">AVERAGE(OFFSET($EN$3,0,0,'Données projet'!$E$15+1,1))-AVERAGE(OFFSET($H$3,0,0,'Données projet'!$E$15+1,1))</f>
        <v>288.82868507674738</v>
      </c>
      <c r="EP14" s="59">
        <f t="shared" si="46"/>
        <v>283.48738729114024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15.983760000000002</v>
      </c>
      <c r="FG14" s="13">
        <f t="shared" si="47"/>
        <v>5.3348570279475842</v>
      </c>
      <c r="FH14" s="20">
        <f t="shared" si="22"/>
        <v>37.129924657008708</v>
      </c>
      <c r="FI14" s="59">
        <f t="shared" si="23"/>
        <v>307.24103576811984</v>
      </c>
      <c r="FJ14" s="59">
        <f ca="1">AVERAGE(OFFSET($FI$3,0,0,'Données projet'!$E$16+1,1))-AVERAGE(OFFSET($H$3,0,0,'Données projet'!$E$16+1,1))</f>
        <v>328.55201074501201</v>
      </c>
      <c r="FK14" s="59">
        <f t="shared" si="48"/>
        <v>321.81422611044985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10.8</v>
      </c>
      <c r="FZ14" s="12">
        <f>IF('Données projet'!$A$244&gt;35,FZ13+FY14-GH13,IF(A14&lt;'Données projet'!$A$244,$FW$205^A14,IF(A14='Données projet'!$A$244,'Données projet'!$B$244,FZ13+FY14-GH13)))</f>
        <v>21.8</v>
      </c>
      <c r="GA14" s="17">
        <f>FZ14*VLOOKUP('Données projet'!$B$17,Paramètres!$A$1:$I$89,3,0)*VLOOKUP('Données projet'!$B$17,Paramètres!$A$1:$I$89,5,0)</f>
        <v>17.344080000000002</v>
      </c>
      <c r="GB14" s="13">
        <f t="shared" si="49"/>
        <v>5.7341113912136308</v>
      </c>
      <c r="GC14" s="20">
        <f t="shared" si="25"/>
        <v>40.194516673030414</v>
      </c>
      <c r="GD14" s="59">
        <f t="shared" si="26"/>
        <v>310.30562778414156</v>
      </c>
      <c r="GE14" s="59">
        <f ca="1">AVERAGE(OFFSET($GD$3,0,0,'Données projet'!$E$17+1,1))-AVERAGE(OFFSET($H$3,0,0,'Données projet'!$E$17+1,1))</f>
        <v>353.37024194969638</v>
      </c>
      <c r="GF14" s="59">
        <f t="shared" si="50"/>
        <v>345.4750813433123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11.239444444444445</v>
      </c>
      <c r="N15" s="13">
        <f>IF('Données projet'!$A$36&gt;35,N14+M15-V14,IF(A15&lt;'Données projet'!$A$36,$K$205^A15,IF(A15='Données projet'!$A$36,'Données projet'!$B$36,N14+M15-V14)))</f>
        <v>34.462350891755804</v>
      </c>
      <c r="O15" s="13">
        <f>N15*VLOOKUP('Données projet'!$B$9,Paramètres!$A$1:$I$89,3,0)*VLOOKUP('Données projet'!$B$9,Paramètres!$A$1:$I$89,5,0)</f>
        <v>19.264454148491495</v>
      </c>
      <c r="P15" s="13">
        <f t="shared" si="33"/>
        <v>6.2916288036779937</v>
      </c>
      <c r="Q15" s="20">
        <f t="shared" si="2"/>
        <v>44.510177808361867</v>
      </c>
      <c r="R15" s="59">
        <f t="shared" si="0"/>
        <v>315.84351114169516</v>
      </c>
      <c r="S15" s="59">
        <f ca="1">AVERAGE(OFFSET($R$3,0,0,'Données projet'!$E$9+1,1))-AVERAGE(OFFSET($H$3,0,0,'Données projet'!$E$9+1,1))</f>
        <v>404.65492118472037</v>
      </c>
      <c r="T15" s="59">
        <f t="shared" si="34"/>
        <v>534.22295841722166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8.0650000000000013</v>
      </c>
      <c r="AI15" s="13">
        <f>IF('Données projet'!$A$62&gt;35,AI14+AH15-AQ14,IF(A15&lt;'Données projet'!$A$62,$AF$205^A15,IF(A15='Données projet'!$A$62,'Données projet'!$B$62,AI14+AH15-AQ14)))</f>
        <v>96.779999999999987</v>
      </c>
      <c r="AJ15" s="13">
        <f>AI15*VLOOKUP('Données projet'!$B$10,Paramètres!$A$1:$I$89,3,0)*VLOOKUP('Données projet'!$B$10,Paramètres!$A$1:$I$89,5,0)</f>
        <v>45.293039999999998</v>
      </c>
      <c r="AK15" s="13">
        <f t="shared" si="35"/>
        <v>13.391260933583149</v>
      </c>
      <c r="AL15" s="20">
        <f t="shared" si="4"/>
        <v>102.20849079265732</v>
      </c>
      <c r="AM15" s="59">
        <f t="shared" si="5"/>
        <v>373.54182412599062</v>
      </c>
      <c r="AN15" s="59">
        <f ca="1">AVERAGE(OFFSET($AM$3,0,0,'Données projet'!$E$10+1,1))-AVERAGE(OFFSET($H$3,0,0,'Données projet'!$E$10+1,1))</f>
        <v>331.17634116262298</v>
      </c>
      <c r="AO15" s="59">
        <f t="shared" si="36"/>
        <v>286.28916368940605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89</v>
      </c>
      <c r="BB15" s="12">
        <f>VLOOKUP(A15,'Données projet'!$A$87:$I$107,9,0)</f>
        <v>7.416666666666667</v>
      </c>
      <c r="BC15" s="12">
        <f t="array" ref="BC15">INDEX(BB:BB,MIN(IF(ISNUMBER(BB15:BB211),ROW(BB15:BB211),"")))</f>
        <v>7.416666666666667</v>
      </c>
      <c r="BD15" s="12">
        <f>IF('Données projet'!$A$88&gt;35,BD14+BC15-BL14,IF(A15&lt;'Données projet'!$A$88,$BA$205^A15,IF(A15='Données projet'!$A$88,'Données projet'!$B$88,BD14+BC15-BL14)))</f>
        <v>89</v>
      </c>
      <c r="BE15" s="13">
        <f>BD15*VLOOKUP('Données projet'!$B$11,Paramètres!$A$1:$I$89,3,0)*VLOOKUP('Données projet'!$B$11,Paramètres!$A$1:$I$89,5,0)</f>
        <v>48.593999999999994</v>
      </c>
      <c r="BF15" s="13">
        <f t="shared" si="37"/>
        <v>14.250053466673734</v>
      </c>
      <c r="BG15" s="20">
        <f t="shared" si="7"/>
        <v>109.4533931211234</v>
      </c>
      <c r="BH15" s="59">
        <f t="shared" si="8"/>
        <v>380.7867264544567</v>
      </c>
      <c r="BI15" s="59">
        <f ca="1">AVERAGE(OFFSET($BH$3,0,0,'Données projet'!$E$11+1,1))-AVERAGE(OFFSET($H$3,0,0,'Données projet'!$E$11+1,1))</f>
        <v>165.87377022031535</v>
      </c>
      <c r="BJ15" s="59">
        <f t="shared" si="38"/>
        <v>272.91122662088929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16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0.33600000000000002</v>
      </c>
      <c r="BO15" s="16">
        <f>IF(ISNA(VLOOKUP(A15,'Données projet'!$A$87:$I$107,7,0)),0%,VLOOKUP(A15,'Données projet'!$A$87:$I$107,7,0))</f>
        <v>0.44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3.8785277318963658</v>
      </c>
      <c r="BR15" s="21">
        <f>EXP(-LN(2)/2)*BR14+(1-EXP(-LN(2)/2))/(LN(2)/2)*BL15*BO15*VLOOKUP('Données projet'!$B$11,Paramètres!$A$1:$I$89,3,0)*0.475*44/12</f>
        <v>4.352119794524131</v>
      </c>
      <c r="BS15" s="22">
        <f t="shared" si="9"/>
        <v>8.2306475264204977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4.8385294117647053</v>
      </c>
      <c r="BY15" s="12">
        <f>IF('Données projet'!$A$114&gt;35,BY14+BX15-CG14,IF(A15&lt;'Données projet'!$A$114,$BV$205^A15,IF(A15='Données projet'!$A$114,'Données projet'!$B$114,BY14+BX15-CG14)))</f>
        <v>6.0559951471832516</v>
      </c>
      <c r="BZ15" s="13">
        <f>BY15*VLOOKUP('Données projet'!$B$12,Paramètres!$A$1:$I$89,3,0)*VLOOKUP('Données projet'!$B$12,Paramètres!$A$1:$I$89,5,0)</f>
        <v>5.4794644091714053</v>
      </c>
      <c r="CA15" s="13">
        <f t="shared" si="39"/>
        <v>2.071576898237681</v>
      </c>
      <c r="CB15" s="20">
        <f t="shared" si="10"/>
        <v>13.15139694373749</v>
      </c>
      <c r="CC15" s="59">
        <f t="shared" si="11"/>
        <v>284.48473027707081</v>
      </c>
      <c r="CD15" s="59">
        <f ca="1">AVERAGE(OFFSET($CC$3,0,0,'Données projet'!$E$12+1,1))-AVERAGE(OFFSET($H$3,0,0,'Données projet'!$E$12+1,1))</f>
        <v>639.86968831634636</v>
      </c>
      <c r="CE15" s="59">
        <f t="shared" si="40"/>
        <v>218.1556771431184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3.7180000000000004</v>
      </c>
      <c r="CT15" s="12">
        <f>IF('Données projet'!$A$140&gt;35,CT14+CS15-DB14,IF(A15&lt;'Données projet'!$A$140,$CQ$205^A15,IF(A15='Données projet'!$A$140,'Données projet'!$B$140,CT14+CS15-DB14)))</f>
        <v>24.952870665716929</v>
      </c>
      <c r="CU15" s="17">
        <f>CT15*VLOOKUP('Données projet'!$B$13,Paramètres!$A$1:$I$89,3,0)*VLOOKUP('Données projet'!$B$13,Paramètres!$A$1:$I$89,5,0)</f>
        <v>21.798827813570313</v>
      </c>
      <c r="CV15" s="13">
        <f t="shared" si="41"/>
        <v>7.0176481240774917</v>
      </c>
      <c r="CW15" s="20">
        <f t="shared" si="13"/>
        <v>50.188695591403253</v>
      </c>
      <c r="CX15" s="59">
        <f t="shared" si="14"/>
        <v>321.52202892473656</v>
      </c>
      <c r="CY15" s="59">
        <f ca="1">AVERAGE(OFFSET($CX$3,0,0,'Données projet'!$E$13+1,1))-AVERAGE(OFFSET($H$3,0,0,'Données projet'!$E$13+1,1))</f>
        <v>218.76600554860482</v>
      </c>
      <c r="CZ15" s="59">
        <f t="shared" si="42"/>
        <v>264.34840059907702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5.2692857142857141</v>
      </c>
      <c r="DO15" s="12">
        <f>IF('Données projet'!$A$166&gt;35,DO14+DN15-DW14,IF(A15&lt;'Données projet'!$A$166,$DL$205^A15,IF(A15='Données projet'!$A$166,'Données projet'!$B$166,DO14+DN15-DW14)))</f>
        <v>63.231428571428573</v>
      </c>
      <c r="DP15" s="17">
        <f>DO15*VLOOKUP('Données projet'!$B$14,Paramètres!$A$1:$I$89,3,0)*VLOOKUP('Données projet'!$B$14,Paramètres!$A$1:$I$89,5,0)</f>
        <v>54.252565714285723</v>
      </c>
      <c r="DQ15" s="13">
        <f t="shared" si="43"/>
        <v>15.706731718453277</v>
      </c>
      <c r="DR15" s="20">
        <f t="shared" si="16"/>
        <v>121.8457763620204</v>
      </c>
      <c r="DS15" s="59">
        <f t="shared" si="17"/>
        <v>393.1791096953537</v>
      </c>
      <c r="DT15" s="59">
        <f ca="1">AVERAGE(OFFSET($DS$3,0,0,'Données projet'!$E$14+1,1))-AVERAGE(OFFSET($H$3,0,0,'Données projet'!$E$14+1,1))</f>
        <v>442.97490100035287</v>
      </c>
      <c r="DU15" s="59">
        <f t="shared" si="44"/>
        <v>334.36243356457049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2.6666666666666665</v>
      </c>
      <c r="EJ15" s="12">
        <f>IF('Données projet'!$A$192&gt;35,EJ14+EI15-ER14,IF(A15&lt;'Données projet'!$A$192,$EG$205^A15,IF(A15='Données projet'!$A$192,'Données projet'!$B$192,EJ14+EI15-ER14)))</f>
        <v>19.127049995800721</v>
      </c>
      <c r="EK15" s="17">
        <f>EJ15*VLOOKUP('Données projet'!$B$15,Paramètres!$A$1:$I$89,3,0)*VLOOKUP('Données projet'!$B$15,Paramètres!$A$1:$I$89,5,0)</f>
        <v>14.919098996724562</v>
      </c>
      <c r="EL15" s="13">
        <f t="shared" si="45"/>
        <v>5.019622097301081</v>
      </c>
      <c r="EM15" s="20">
        <f t="shared" si="19"/>
        <v>34.726605905427995</v>
      </c>
      <c r="EN15" s="59">
        <f t="shared" si="20"/>
        <v>306.05993923876133</v>
      </c>
      <c r="EO15" s="59">
        <f ca="1">AVERAGE(OFFSET($EN$3,0,0,'Données projet'!$E$15+1,1))-AVERAGE(OFFSET($H$3,0,0,'Données projet'!$E$15+1,1))</f>
        <v>288.82868507674738</v>
      </c>
      <c r="EP15" s="59">
        <f t="shared" si="46"/>
        <v>283.48738729114024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23.90232</v>
      </c>
      <c r="FG15" s="13">
        <f t="shared" si="47"/>
        <v>7.6127522913266521</v>
      </c>
      <c r="FH15" s="20">
        <f t="shared" si="22"/>
        <v>54.88875090739392</v>
      </c>
      <c r="FI15" s="59">
        <f t="shared" si="23"/>
        <v>326.22208424072721</v>
      </c>
      <c r="FJ15" s="59">
        <f ca="1">AVERAGE(OFFSET($FI$3,0,0,'Données projet'!$E$16+1,1))-AVERAGE(OFFSET($H$3,0,0,'Données projet'!$E$16+1,1))</f>
        <v>328.55201074501201</v>
      </c>
      <c r="FK15" s="59">
        <f t="shared" si="48"/>
        <v>321.81422611044985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10.8</v>
      </c>
      <c r="FZ15" s="12">
        <f>IF('Données projet'!$A$244&gt;35,FZ14+FY15-GH14,IF(A15&lt;'Données projet'!$A$244,$FW$205^A15,IF(A15='Données projet'!$A$244,'Données projet'!$B$244,FZ14+FY15-GH14)))</f>
        <v>32.6</v>
      </c>
      <c r="GA15" s="17">
        <f>FZ15*VLOOKUP('Données projet'!$B$17,Paramètres!$A$1:$I$89,3,0)*VLOOKUP('Données projet'!$B$17,Paramètres!$A$1:$I$89,5,0)</f>
        <v>25.936560000000004</v>
      </c>
      <c r="GB15" s="13">
        <f t="shared" si="49"/>
        <v>8.1824816304360635</v>
      </c>
      <c r="GC15" s="20">
        <f t="shared" si="25"/>
        <v>59.423997506342801</v>
      </c>
      <c r="GD15" s="59">
        <f t="shared" si="26"/>
        <v>330.75733083967611</v>
      </c>
      <c r="GE15" s="59">
        <f ca="1">AVERAGE(OFFSET($GD$3,0,0,'Données projet'!$E$17+1,1))-AVERAGE(OFFSET($H$3,0,0,'Données projet'!$E$17+1,1))</f>
        <v>353.37024194969638</v>
      </c>
      <c r="GF15" s="59">
        <f t="shared" si="50"/>
        <v>345.4750813433123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11.239444444444445</v>
      </c>
      <c r="N16" s="13">
        <f>IF('Données projet'!$A$36&gt;35,N15+M16-V15,IF(A16&lt;'Données projet'!$A$36,$K$205^A16,IF(A16='Données projet'!$A$36,'Données projet'!$B$36,N15+M16-V15)))</f>
        <v>46.2867805848119</v>
      </c>
      <c r="O16" s="13">
        <f>N16*VLOOKUP('Données projet'!$B$9,Paramètres!$A$1:$I$89,3,0)*VLOOKUP('Données projet'!$B$9,Paramètres!$A$1:$I$89,5,0)</f>
        <v>25.874310346909855</v>
      </c>
      <c r="P16" s="13">
        <f t="shared" si="33"/>
        <v>8.1651265743585348</v>
      </c>
      <c r="Q16" s="20">
        <f t="shared" si="2"/>
        <v>59.285352637875775</v>
      </c>
      <c r="R16" s="59">
        <f t="shared" si="0"/>
        <v>331.84090819343135</v>
      </c>
      <c r="S16" s="59">
        <f ca="1">AVERAGE(OFFSET($R$3,0,0,'Données projet'!$E$9+1,1))-AVERAGE(OFFSET($H$3,0,0,'Données projet'!$E$9+1,1))</f>
        <v>404.65492118472037</v>
      </c>
      <c r="T16" s="59">
        <f t="shared" si="34"/>
        <v>534.22295841722166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8.0650000000000013</v>
      </c>
      <c r="AI16" s="13">
        <f>IF('Données projet'!$A$62&gt;35,AI15+AH16-AQ15,IF(A16&lt;'Données projet'!$A$62,$AF$205^A16,IF(A16='Données projet'!$A$62,'Données projet'!$B$62,AI15+AH16-AQ15)))</f>
        <v>104.84499999999998</v>
      </c>
      <c r="AJ16" s="13">
        <f>AI16*VLOOKUP('Données projet'!$B$10,Paramètres!$A$1:$I$89,3,0)*VLOOKUP('Données projet'!$B$10,Paramètres!$A$1:$I$89,5,0)</f>
        <v>49.06745999999999</v>
      </c>
      <c r="AK16" s="13">
        <f t="shared" si="35"/>
        <v>14.372663891292262</v>
      </c>
      <c r="AL16" s="20">
        <f t="shared" si="4"/>
        <v>110.49154911066734</v>
      </c>
      <c r="AM16" s="59">
        <f t="shared" si="5"/>
        <v>383.04710466622288</v>
      </c>
      <c r="AN16" s="59">
        <f ca="1">AVERAGE(OFFSET($AM$3,0,0,'Données projet'!$E$10+1,1))-AVERAGE(OFFSET($H$3,0,0,'Données projet'!$E$10+1,1))</f>
        <v>331.17634116262298</v>
      </c>
      <c r="AO16" s="59">
        <f t="shared" si="36"/>
        <v>286.28916368940605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18.666666666666668</v>
      </c>
      <c r="BD16" s="12">
        <f>IF('Données projet'!$A$88&gt;35,BD15+BC16-BL15,IF(A16&lt;'Données projet'!$A$88,$BA$205^A16,IF(A16='Données projet'!$A$88,'Données projet'!$B$88,BD15+BC16-BL15)))</f>
        <v>91.666666666666671</v>
      </c>
      <c r="BE16" s="13">
        <f>BD16*VLOOKUP('Données projet'!$B$11,Paramètres!$A$1:$I$89,3,0)*VLOOKUP('Données projet'!$B$11,Paramètres!$A$1:$I$89,5,0)</f>
        <v>50.050000000000004</v>
      </c>
      <c r="BF16" s="13">
        <f t="shared" si="37"/>
        <v>14.626671630251748</v>
      </c>
      <c r="BG16" s="20">
        <f t="shared" si="7"/>
        <v>112.64520308935512</v>
      </c>
      <c r="BH16" s="59">
        <f t="shared" si="8"/>
        <v>385.20075864491065</v>
      </c>
      <c r="BI16" s="59">
        <f ca="1">AVERAGE(OFFSET($BH$3,0,0,'Données projet'!$E$11+1,1))-AVERAGE(OFFSET($H$3,0,0,'Données projet'!$E$11+1,1))</f>
        <v>165.87377022031535</v>
      </c>
      <c r="BJ16" s="59">
        <f t="shared" si="38"/>
        <v>272.91122662088929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3.7724691871047509</v>
      </c>
      <c r="BR16" s="21">
        <f>EXP(-LN(2)/2)*BR15+(1-EXP(-LN(2)/2))/(LN(2)/2)*BL16*BO16*VLOOKUP('Données projet'!$B$11,Paramètres!$A$1:$I$89,3,0)*0.475*44/12</f>
        <v>3.0774134192442171</v>
      </c>
      <c r="BS16" s="22">
        <f t="shared" si="9"/>
        <v>6.8498826063489684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4.8385294117647053</v>
      </c>
      <c r="BY16" s="12">
        <f>IF('Données projet'!$A$114&gt;35,BY15+BX16-CG15,IF(A16&lt;'Données projet'!$A$114,$BV$205^A16,IF(A16='Données projet'!$A$114,'Données projet'!$B$114,BY15+BX16-CG15)))</f>
        <v>7.0366774645796921</v>
      </c>
      <c r="BZ16" s="13">
        <f>BY16*VLOOKUP('Données projet'!$B$12,Paramètres!$A$1:$I$89,3,0)*VLOOKUP('Données projet'!$B$12,Paramètres!$A$1:$I$89,5,0)</f>
        <v>6.3667857699517061</v>
      </c>
      <c r="CA16" s="13">
        <f t="shared" si="39"/>
        <v>2.3653531262451577</v>
      </c>
      <c r="CB16" s="20">
        <f t="shared" si="10"/>
        <v>15.208475244209536</v>
      </c>
      <c r="CC16" s="59">
        <f t="shared" si="11"/>
        <v>287.76403079976507</v>
      </c>
      <c r="CD16" s="59">
        <f ca="1">AVERAGE(OFFSET($CC$3,0,0,'Données projet'!$E$12+1,1))-AVERAGE(OFFSET($H$3,0,0,'Données projet'!$E$12+1,1))</f>
        <v>639.86968831634636</v>
      </c>
      <c r="CE16" s="59">
        <f t="shared" si="40"/>
        <v>218.1556771431184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3.7180000000000004</v>
      </c>
      <c r="CT16" s="12">
        <f>IF('Données projet'!$A$140&gt;35,CT15+CS16-DB15,IF(A16&lt;'Données projet'!$A$140,$CQ$205^A16,IF(A16='Données projet'!$A$140,'Données projet'!$B$140,CT15+CS16-DB15)))</f>
        <v>32.624752465442185</v>
      </c>
      <c r="CU16" s="17">
        <f>CT16*VLOOKUP('Données projet'!$B$13,Paramètres!$A$1:$I$89,3,0)*VLOOKUP('Données projet'!$B$13,Paramètres!$A$1:$I$89,5,0)</f>
        <v>28.500983753810299</v>
      </c>
      <c r="CV16" s="13">
        <f t="shared" si="41"/>
        <v>8.8933672919692803</v>
      </c>
      <c r="CW16" s="20">
        <f t="shared" si="13"/>
        <v>65.128494738066095</v>
      </c>
      <c r="CX16" s="59">
        <f t="shared" si="14"/>
        <v>337.68405029362162</v>
      </c>
      <c r="CY16" s="59">
        <f ca="1">AVERAGE(OFFSET($CX$3,0,0,'Données projet'!$E$13+1,1))-AVERAGE(OFFSET($H$3,0,0,'Données projet'!$E$13+1,1))</f>
        <v>218.76600554860482</v>
      </c>
      <c r="CZ16" s="59">
        <f t="shared" si="42"/>
        <v>264.34840059907702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5.2692857142857141</v>
      </c>
      <c r="DO16" s="12">
        <f>IF('Données projet'!$A$166&gt;35,DO15+DN16-DW15,IF(A16&lt;'Données projet'!$A$166,$DL$205^A16,IF(A16='Données projet'!$A$166,'Données projet'!$B$166,DO15+DN16-DW15)))</f>
        <v>68.500714285714281</v>
      </c>
      <c r="DP16" s="17">
        <f>DO16*VLOOKUP('Données projet'!$B$14,Paramètres!$A$1:$I$89,3,0)*VLOOKUP('Données projet'!$B$14,Paramètres!$A$1:$I$89,5,0)</f>
        <v>58.773612857142865</v>
      </c>
      <c r="DQ16" s="13">
        <f t="shared" si="43"/>
        <v>16.857828171646577</v>
      </c>
      <c r="DR16" s="20">
        <f t="shared" si="16"/>
        <v>131.72475979180828</v>
      </c>
      <c r="DS16" s="59">
        <f t="shared" si="17"/>
        <v>404.28031534736385</v>
      </c>
      <c r="DT16" s="59">
        <f ca="1">AVERAGE(OFFSET($DS$3,0,0,'Données projet'!$E$14+1,1))-AVERAGE(OFFSET($H$3,0,0,'Données projet'!$E$14+1,1))</f>
        <v>442.97490100035287</v>
      </c>
      <c r="DU16" s="59">
        <f t="shared" si="44"/>
        <v>334.36243356457049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2.6666666666666665</v>
      </c>
      <c r="EJ16" s="12">
        <f>IF('Données projet'!$A$192&gt;35,EJ15+EI16-ER15,IF(A16&lt;'Données projet'!$A$192,$EG$205^A16,IF(A16='Données projet'!$A$192,'Données projet'!$B$192,EJ15+EI16-ER15)))</f>
        <v>24.459748796430759</v>
      </c>
      <c r="EK16" s="17">
        <f>EJ16*VLOOKUP('Données projet'!$B$15,Paramètres!$A$1:$I$89,3,0)*VLOOKUP('Données projet'!$B$15,Paramètres!$A$1:$I$89,5,0)</f>
        <v>19.078604061215994</v>
      </c>
      <c r="EL16" s="13">
        <f t="shared" si="45"/>
        <v>6.2379664748280286</v>
      </c>
      <c r="EM16" s="20">
        <f t="shared" si="19"/>
        <v>44.093027016943331</v>
      </c>
      <c r="EN16" s="59">
        <f t="shared" si="20"/>
        <v>316.64858257249887</v>
      </c>
      <c r="EO16" s="59">
        <f ca="1">AVERAGE(OFFSET($EN$3,0,0,'Données projet'!$E$15+1,1))-AVERAGE(OFFSET($H$3,0,0,'Données projet'!$E$15+1,1))</f>
        <v>288.82868507674738</v>
      </c>
      <c r="EP16" s="59">
        <f t="shared" si="46"/>
        <v>283.48738729114024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31.820880000000006</v>
      </c>
      <c r="FG16" s="13">
        <f t="shared" si="47"/>
        <v>9.8027641140385384</v>
      </c>
      <c r="FH16" s="20">
        <f t="shared" si="22"/>
        <v>72.494513498617124</v>
      </c>
      <c r="FI16" s="59">
        <f t="shared" si="23"/>
        <v>345.0500690541727</v>
      </c>
      <c r="FJ16" s="59">
        <f ca="1">AVERAGE(OFFSET($FI$3,0,0,'Données projet'!$E$16+1,1))-AVERAGE(OFFSET($H$3,0,0,'Données projet'!$E$16+1,1))</f>
        <v>328.55201074501201</v>
      </c>
      <c r="FK16" s="59">
        <f t="shared" si="48"/>
        <v>321.81422611044985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10.8</v>
      </c>
      <c r="FZ16" s="12">
        <f>IF('Données projet'!$A$244&gt;35,FZ15+FY16-GH15,IF(A16&lt;'Données projet'!$A$244,$FW$205^A16,IF(A16='Données projet'!$A$244,'Données projet'!$B$244,FZ15+FY16-GH15)))</f>
        <v>43.400000000000006</v>
      </c>
      <c r="GA16" s="17">
        <f>FZ16*VLOOKUP('Données projet'!$B$17,Paramètres!$A$1:$I$89,3,0)*VLOOKUP('Données projet'!$B$17,Paramètres!$A$1:$I$89,5,0)</f>
        <v>34.529040000000009</v>
      </c>
      <c r="GB16" s="13">
        <f t="shared" si="49"/>
        <v>10.536391336679102</v>
      </c>
      <c r="GC16" s="20">
        <f t="shared" si="25"/>
        <v>78.488959578049446</v>
      </c>
      <c r="GD16" s="59">
        <f t="shared" si="26"/>
        <v>351.04451513360499</v>
      </c>
      <c r="GE16" s="59">
        <f ca="1">AVERAGE(OFFSET($GD$3,0,0,'Données projet'!$E$17+1,1))-AVERAGE(OFFSET($H$3,0,0,'Données projet'!$E$17+1,1))</f>
        <v>353.37024194969638</v>
      </c>
      <c r="GF16" s="59">
        <f t="shared" si="50"/>
        <v>345.4750813433123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11.239444444444445</v>
      </c>
      <c r="N17" s="13">
        <f>IF('Données projet'!$A$36&gt;35,N16+M17-V16,IF(A17&lt;'Données projet'!$A$36,$K$205^A17,IF(A17='Données projet'!$A$36,'Données projet'!$B$36,N16+M17-V16)))</f>
        <v>62.168308355859935</v>
      </c>
      <c r="O17" s="13">
        <f>N17*VLOOKUP('Données projet'!$B$9,Paramètres!$A$1:$I$89,3,0)*VLOOKUP('Données projet'!$B$9,Paramètres!$A$1:$I$89,5,0)</f>
        <v>34.752084370925708</v>
      </c>
      <c r="P17" s="13">
        <f t="shared" si="33"/>
        <v>10.596507527005095</v>
      </c>
      <c r="Q17" s="20">
        <f t="shared" si="2"/>
        <v>78.982130888896151</v>
      </c>
      <c r="R17" s="59">
        <f t="shared" si="0"/>
        <v>352.75990866667394</v>
      </c>
      <c r="S17" s="59">
        <f ca="1">AVERAGE(OFFSET($R$3,0,0,'Données projet'!$E$9+1,1))-AVERAGE(OFFSET($H$3,0,0,'Données projet'!$E$9+1,1))</f>
        <v>404.65492118472037</v>
      </c>
      <c r="T17" s="59">
        <f t="shared" si="34"/>
        <v>534.22295841722166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8.0650000000000013</v>
      </c>
      <c r="AI17" s="13">
        <f>IF('Données projet'!$A$62&gt;35,AI16+AH17-AQ16,IF(A17&lt;'Données projet'!$A$62,$AF$205^A17,IF(A17='Données projet'!$A$62,'Données projet'!$B$62,AI16+AH17-AQ16)))</f>
        <v>112.90999999999998</v>
      </c>
      <c r="AJ17" s="13">
        <f>AI17*VLOOKUP('Données projet'!$B$10,Paramètres!$A$1:$I$89,3,0)*VLOOKUP('Données projet'!$B$10,Paramètres!$A$1:$I$89,5,0)</f>
        <v>52.841879999999989</v>
      </c>
      <c r="AK17" s="13">
        <f t="shared" si="35"/>
        <v>15.345309629779122</v>
      </c>
      <c r="AL17" s="20">
        <f t="shared" si="4"/>
        <v>118.75935527186527</v>
      </c>
      <c r="AM17" s="59">
        <f t="shared" si="5"/>
        <v>392.53713304964305</v>
      </c>
      <c r="AN17" s="59">
        <f ca="1">AVERAGE(OFFSET($AM$3,0,0,'Données projet'!$E$10+1,1))-AVERAGE(OFFSET($H$3,0,0,'Données projet'!$E$10+1,1))</f>
        <v>331.17634116262298</v>
      </c>
      <c r="AO17" s="59">
        <f t="shared" si="36"/>
        <v>286.28916368940605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18.666666666666668</v>
      </c>
      <c r="BD17" s="12">
        <f>IF('Données projet'!$A$88&gt;35,BD16+BC17-BL16,IF(A17&lt;'Données projet'!$A$88,$BA$205^A17,IF(A17='Données projet'!$A$88,'Données projet'!$B$88,BD16+BC17-BL16)))</f>
        <v>110.33333333333334</v>
      </c>
      <c r="BE17" s="13">
        <f>BD17*VLOOKUP('Données projet'!$B$11,Paramètres!$A$1:$I$89,3,0)*VLOOKUP('Données projet'!$B$11,Paramètres!$A$1:$I$89,5,0)</f>
        <v>60.242000000000004</v>
      </c>
      <c r="BF17" s="13">
        <f t="shared" si="37"/>
        <v>17.229439864144414</v>
      </c>
      <c r="BG17" s="20">
        <f t="shared" si="7"/>
        <v>134.92942443005151</v>
      </c>
      <c r="BH17" s="59">
        <f t="shared" si="8"/>
        <v>408.70720220782925</v>
      </c>
      <c r="BI17" s="59">
        <f ca="1">AVERAGE(OFFSET($BH$3,0,0,'Données projet'!$E$11+1,1))-AVERAGE(OFFSET($H$3,0,0,'Données projet'!$E$11+1,1))</f>
        <v>165.87377022031535</v>
      </c>
      <c r="BJ17" s="59">
        <f t="shared" si="38"/>
        <v>272.91122662088929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3.6693108187978392</v>
      </c>
      <c r="BR17" s="21">
        <f>EXP(-LN(2)/2)*BR16+(1-EXP(-LN(2)/2))/(LN(2)/2)*BL17*BO17*VLOOKUP('Données projet'!$B$11,Paramètres!$A$1:$I$89,3,0)*0.475*44/12</f>
        <v>2.1760598972620659</v>
      </c>
      <c r="BS17" s="22">
        <f t="shared" si="9"/>
        <v>5.8453707160599055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4.8385294117647053</v>
      </c>
      <c r="BY17" s="12">
        <f>IF('Données projet'!$A$114&gt;35,BY16+BX17-CG16,IF(A17&lt;'Données projet'!$A$114,$BV$205^A17,IF(A17='Données projet'!$A$114,'Données projet'!$B$114,BY16+BX17-CG16)))</f>
        <v>8.1761673411435751</v>
      </c>
      <c r="BZ17" s="13">
        <f>BY17*VLOOKUP('Données projet'!$B$12,Paramètres!$A$1:$I$89,3,0)*VLOOKUP('Données projet'!$B$12,Paramètres!$A$1:$I$89,5,0)</f>
        <v>7.3977962102667068</v>
      </c>
      <c r="CA17" s="13">
        <f t="shared" si="39"/>
        <v>2.7007905989864023</v>
      </c>
      <c r="CB17" s="20">
        <f t="shared" si="10"/>
        <v>17.588372026115831</v>
      </c>
      <c r="CC17" s="59">
        <f t="shared" si="11"/>
        <v>291.36614980389362</v>
      </c>
      <c r="CD17" s="59">
        <f ca="1">AVERAGE(OFFSET($CC$3,0,0,'Données projet'!$E$12+1,1))-AVERAGE(OFFSET($H$3,0,0,'Données projet'!$E$12+1,1))</f>
        <v>639.86968831634636</v>
      </c>
      <c r="CE17" s="59">
        <f t="shared" si="40"/>
        <v>218.1556771431184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3.7180000000000004</v>
      </c>
      <c r="CT17" s="12">
        <f>IF('Données projet'!$A$140&gt;35,CT16+CS17-DB16,IF(A17&lt;'Données projet'!$A$140,$CQ$205^A17,IF(A17='Données projet'!$A$140,'Données projet'!$B$140,CT16+CS17-DB16)))</f>
        <v>42.655391745917782</v>
      </c>
      <c r="CU17" s="17">
        <f>CT17*VLOOKUP('Données projet'!$B$13,Paramètres!$A$1:$I$89,3,0)*VLOOKUP('Données projet'!$B$13,Paramètres!$A$1:$I$89,5,0)</f>
        <v>37.263750229233779</v>
      </c>
      <c r="CV17" s="13">
        <f t="shared" si="41"/>
        <v>11.270439952454316</v>
      </c>
      <c r="CW17" s="20">
        <f t="shared" si="13"/>
        <v>84.530381233106766</v>
      </c>
      <c r="CX17" s="59">
        <f t="shared" si="14"/>
        <v>358.30815901088454</v>
      </c>
      <c r="CY17" s="59">
        <f ca="1">AVERAGE(OFFSET($CX$3,0,0,'Données projet'!$E$13+1,1))-AVERAGE(OFFSET($H$3,0,0,'Données projet'!$E$13+1,1))</f>
        <v>218.76600554860482</v>
      </c>
      <c r="CZ17" s="59">
        <f t="shared" si="42"/>
        <v>264.34840059907702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5.2692857142857141</v>
      </c>
      <c r="DO17" s="12">
        <f>IF('Données projet'!$A$166&gt;35,DO16+DN17-DW16,IF(A17&lt;'Données projet'!$A$166,$DL$205^A17,IF(A17='Données projet'!$A$166,'Données projet'!$B$166,DO16+DN17-DW16)))</f>
        <v>73.77</v>
      </c>
      <c r="DP17" s="17">
        <f>DO17*VLOOKUP('Données projet'!$B$14,Paramètres!$A$1:$I$89,3,0)*VLOOKUP('Données projet'!$B$14,Paramètres!$A$1:$I$89,5,0)</f>
        <v>63.294660000000007</v>
      </c>
      <c r="DQ17" s="13">
        <f t="shared" si="43"/>
        <v>17.998653202782926</v>
      </c>
      <c r="DR17" s="20">
        <f t="shared" si="16"/>
        <v>141.58585382818026</v>
      </c>
      <c r="DS17" s="59">
        <f t="shared" si="17"/>
        <v>415.36363160595806</v>
      </c>
      <c r="DT17" s="59">
        <f ca="1">AVERAGE(OFFSET($DS$3,0,0,'Données projet'!$E$14+1,1))-AVERAGE(OFFSET($H$3,0,0,'Données projet'!$E$14+1,1))</f>
        <v>442.97490100035287</v>
      </c>
      <c r="DU17" s="59">
        <f t="shared" si="44"/>
        <v>334.36243356457049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2.6666666666666665</v>
      </c>
      <c r="EJ17" s="12">
        <f>IF('Données projet'!$A$192&gt;35,EJ16+EI17-ER16,IF(A17&lt;'Données projet'!$A$192,$EG$205^A17,IF(A17='Données projet'!$A$192,'Données projet'!$B$192,EJ16+EI17-ER16)))</f>
        <v>31.279225563578599</v>
      </c>
      <c r="EK17" s="17">
        <f>EJ17*VLOOKUP('Données projet'!$B$15,Paramètres!$A$1:$I$89,3,0)*VLOOKUP('Données projet'!$B$15,Paramètres!$A$1:$I$89,5,0)</f>
        <v>24.397795939591308</v>
      </c>
      <c r="EL17" s="13">
        <f t="shared" si="45"/>
        <v>7.75202295846145</v>
      </c>
      <c r="EM17" s="20">
        <f t="shared" si="19"/>
        <v>55.994267914108548</v>
      </c>
      <c r="EN17" s="59">
        <f t="shared" si="20"/>
        <v>329.77204569188632</v>
      </c>
      <c r="EO17" s="59">
        <f ca="1">AVERAGE(OFFSET($EN$3,0,0,'Données projet'!$E$15+1,1))-AVERAGE(OFFSET($H$3,0,0,'Données projet'!$E$15+1,1))</f>
        <v>288.82868507674738</v>
      </c>
      <c r="EP17" s="59">
        <f t="shared" si="46"/>
        <v>283.48738729114024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39.739440000000002</v>
      </c>
      <c r="FG17" s="13">
        <f t="shared" si="47"/>
        <v>11.929559204083212</v>
      </c>
      <c r="FH17" s="20">
        <f t="shared" si="22"/>
        <v>89.990173613778268</v>
      </c>
      <c r="FI17" s="59">
        <f t="shared" si="23"/>
        <v>363.76795139155604</v>
      </c>
      <c r="FJ17" s="59">
        <f ca="1">AVERAGE(OFFSET($FI$3,0,0,'Données projet'!$E$16+1,1))-AVERAGE(OFFSET($H$3,0,0,'Données projet'!$E$16+1,1))</f>
        <v>328.55201074501201</v>
      </c>
      <c r="FK17" s="59">
        <f t="shared" si="48"/>
        <v>321.81422611044985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10.8</v>
      </c>
      <c r="FZ17" s="12">
        <f>IF('Données projet'!$A$244&gt;35,FZ16+FY17-GH16,IF(A17&lt;'Données projet'!$A$244,$FW$205^A17,IF(A17='Données projet'!$A$244,'Données projet'!$B$244,FZ16+FY17-GH16)))</f>
        <v>54.2</v>
      </c>
      <c r="GA17" s="17">
        <f>FZ17*VLOOKUP('Données projet'!$B$17,Paramètres!$A$1:$I$89,3,0)*VLOOKUP('Données projet'!$B$17,Paramètres!$A$1:$I$89,5,0)</f>
        <v>43.121520000000004</v>
      </c>
      <c r="GB17" s="13">
        <f t="shared" si="49"/>
        <v>12.822353245070515</v>
      </c>
      <c r="GC17" s="20">
        <f t="shared" si="25"/>
        <v>97.435579235164482</v>
      </c>
      <c r="GD17" s="59">
        <f t="shared" si="26"/>
        <v>371.21335701294225</v>
      </c>
      <c r="GE17" s="59">
        <f ca="1">AVERAGE(OFFSET($GD$3,0,0,'Données projet'!$E$17+1,1))-AVERAGE(OFFSET($H$3,0,0,'Données projet'!$E$17+1,1))</f>
        <v>353.37024194969638</v>
      </c>
      <c r="GF17" s="59">
        <f t="shared" si="50"/>
        <v>345.4750813433123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11.239444444444445</v>
      </c>
      <c r="N18" s="13">
        <f>IF('Données projet'!$A$36&gt;35,N17+M18-V17,IF(A18&lt;'Données projet'!$A$36,$K$205^A18,IF(A18='Données projet'!$A$36,'Données projet'!$B$36,N17+M18-V17)))</f>
        <v>83.498971304508402</v>
      </c>
      <c r="O18" s="13">
        <f>N18*VLOOKUP('Données projet'!$B$9,Paramètres!$A$1:$I$89,3,0)*VLOOKUP('Données projet'!$B$9,Paramètres!$A$1:$I$89,5,0)</f>
        <v>46.675924959220204</v>
      </c>
      <c r="P18" s="13">
        <f t="shared" si="33"/>
        <v>13.751896035818282</v>
      </c>
      <c r="Q18" s="20">
        <f t="shared" si="2"/>
        <v>105.24512156635869</v>
      </c>
      <c r="R18" s="59">
        <f t="shared" si="0"/>
        <v>380.2451215663587</v>
      </c>
      <c r="S18" s="59">
        <f ca="1">AVERAGE(OFFSET($R$3,0,0,'Données projet'!$E$9+1,1))-AVERAGE(OFFSET($H$3,0,0,'Données projet'!$E$9+1,1))</f>
        <v>404.65492118472037</v>
      </c>
      <c r="T18" s="59">
        <f t="shared" si="34"/>
        <v>534.22295841722166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8.0650000000000013</v>
      </c>
      <c r="AI18" s="13">
        <f>IF('Données projet'!$A$62&gt;35,AI17+AH18-AQ17,IF(A18&lt;'Données projet'!$A$62,$AF$205^A18,IF(A18='Données projet'!$A$62,'Données projet'!$B$62,AI17+AH18-AQ17)))</f>
        <v>120.97499999999998</v>
      </c>
      <c r="AJ18" s="13">
        <f>AI18*VLOOKUP('Données projet'!$B$10,Paramètres!$A$1:$I$89,3,0)*VLOOKUP('Données projet'!$B$10,Paramètres!$A$1:$I$89,5,0)</f>
        <v>56.616299999999988</v>
      </c>
      <c r="AK18" s="13">
        <f t="shared" si="35"/>
        <v>16.309894806952151</v>
      </c>
      <c r="AL18" s="20">
        <f t="shared" si="4"/>
        <v>127.01312262210831</v>
      </c>
      <c r="AM18" s="59">
        <f t="shared" si="5"/>
        <v>402.01312262210831</v>
      </c>
      <c r="AN18" s="59">
        <f ca="1">AVERAGE(OFFSET($AM$3,0,0,'Données projet'!$E$10+1,1))-AVERAGE(OFFSET($H$3,0,0,'Données projet'!$E$10+1,1))</f>
        <v>331.17634116262298</v>
      </c>
      <c r="AO18" s="59">
        <f t="shared" si="36"/>
        <v>286.28916368940605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129</v>
      </c>
      <c r="BB18" s="12">
        <f>VLOOKUP(A18,'Données projet'!$A$87:$I$107,9,0)</f>
        <v>18.666666666666668</v>
      </c>
      <c r="BC18" s="12">
        <f t="array" ref="BC18">INDEX(BB:BB,MIN(IF(ISNUMBER(BB18:BB214),ROW(BB18:BB214),"")))</f>
        <v>18.666666666666668</v>
      </c>
      <c r="BD18" s="12">
        <f>IF('Données projet'!$A$88&gt;35,BD17+BC18-BL17,IF(A18&lt;'Données projet'!$A$88,$BA$205^A18,IF(A18='Données projet'!$A$88,'Données projet'!$B$88,BD17+BC18-BL17)))</f>
        <v>129</v>
      </c>
      <c r="BE18" s="13">
        <f>BD18*VLOOKUP('Données projet'!$B$11,Paramètres!$A$1:$I$89,3,0)*VLOOKUP('Données projet'!$B$11,Paramètres!$A$1:$I$89,5,0)</f>
        <v>70.433999999999997</v>
      </c>
      <c r="BF18" s="13">
        <f t="shared" si="37"/>
        <v>19.78119626646561</v>
      </c>
      <c r="BG18" s="20">
        <f t="shared" si="7"/>
        <v>157.12480016409424</v>
      </c>
      <c r="BH18" s="59">
        <f t="shared" si="8"/>
        <v>432.12480016409427</v>
      </c>
      <c r="BI18" s="59">
        <f ca="1">AVERAGE(OFFSET($BH$3,0,0,'Données projet'!$E$11+1,1))-AVERAGE(OFFSET($H$3,0,0,'Données projet'!$E$11+1,1))</f>
        <v>165.87377022031535</v>
      </c>
      <c r="BJ18" s="59">
        <f t="shared" si="38"/>
        <v>272.91122662088929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36</v>
      </c>
      <c r="BM18" s="16">
        <f>IF(ISNA(VLOOKUP(A18,'Données projet'!$A$87:$I$107,5,0)),0%,VLOOKUP(A18,'Données projet'!$A$87:$I$107,5,0)*VLOOKUP('Données projet'!$B$11,Paramètres!$A$1:$I$89,7,0))</f>
        <v>0.12</v>
      </c>
      <c r="BN18" s="16">
        <f>IF(ISNA(VLOOKUP(A18,'Données projet'!$A$87:$I$107,6,0)),0%,VLOOKUP(A18,'Données projet'!$A$87:$I$107,6,0)*VLOOKUP('Données projet'!$B$11,Paramètres!$A$1:$I$89,7,0))</f>
        <v>0.27</v>
      </c>
      <c r="BO18" s="16">
        <f>IF(ISNA(VLOOKUP(A18,'Données projet'!$A$87:$I$107,7,0)),0%,VLOOKUP(A18,'Données projet'!$A$87:$I$107,7,0))</f>
        <v>0.35</v>
      </c>
      <c r="BP18" s="21">
        <f>EXP(-LN(2)/35)*BP17+(1-EXP(-LN(2)/35))/(LN(2)/35)*BL18*BM18*VLOOKUP('Données projet'!$B$11,Paramètres!$A$1:$I$89,3,0)*0.475*44/12</f>
        <v>3.1289941123343521</v>
      </c>
      <c r="BQ18" s="21">
        <f>EXP(-LN(2)/25)*BQ17+(1-EXP(-LN(2)/25))/(LN(2)/25)*Calculateur!BL18*Calculateur!BN18*VLOOKUP('Données projet'!$B$11,Paramètres!$A$1:$I$89,3,0)*0.475*44/12</f>
        <v>10.581489979613341</v>
      </c>
      <c r="BR18" s="21">
        <f>EXP(-LN(2)/2)*BR17+(1-EXP(-LN(2)/2))/(LN(2)/2)*BL18*BO18*VLOOKUP('Données projet'!$B$11,Paramètres!$A$1:$I$89,3,0)*0.475*44/12</f>
        <v>9.3280120236851829</v>
      </c>
      <c r="BS18" s="22">
        <f t="shared" si="9"/>
        <v>23.038496115632874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4.8385294117647053</v>
      </c>
      <c r="BY18" s="12">
        <f>IF('Données projet'!$A$114&gt;35,BY17+BX18-CG17,IF(A18&lt;'Données projet'!$A$114,$BV$205^A18,IF(A18='Données projet'!$A$114,'Données projet'!$B$114,BY17+BX18-CG17)))</f>
        <v>9.500181403351533</v>
      </c>
      <c r="BZ18" s="13">
        <f>BY18*VLOOKUP('Données projet'!$B$12,Paramètres!$A$1:$I$89,3,0)*VLOOKUP('Données projet'!$B$12,Paramètres!$A$1:$I$89,5,0)</f>
        <v>8.595764133752466</v>
      </c>
      <c r="CA18" s="13">
        <f t="shared" si="39"/>
        <v>3.0837974163935939</v>
      </c>
      <c r="CB18" s="20">
        <f t="shared" si="10"/>
        <v>20.341903033171054</v>
      </c>
      <c r="CC18" s="59">
        <f t="shared" si="11"/>
        <v>295.34190303317104</v>
      </c>
      <c r="CD18" s="59">
        <f ca="1">AVERAGE(OFFSET($CC$3,0,0,'Données projet'!$E$12+1,1))-AVERAGE(OFFSET($H$3,0,0,'Données projet'!$E$12+1,1))</f>
        <v>639.86968831634636</v>
      </c>
      <c r="CE18" s="59">
        <f t="shared" si="40"/>
        <v>218.1556771431184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55.77</v>
      </c>
      <c r="CR18" s="12">
        <f>VLOOKUP(A18,'Données projet'!$A$139:$I$159,9,0)</f>
        <v>3.7180000000000004</v>
      </c>
      <c r="CS18" s="12">
        <f t="array" ref="CS18">INDEX(CR:CR,MIN(IF(ISNUMBER(CR18:CR214),ROW(CR18:CR214),"")))</f>
        <v>3.7180000000000004</v>
      </c>
      <c r="CT18" s="12">
        <f>IF('Données projet'!$A$140&gt;35,CT17+CS18-DB17,IF(A18&lt;'Données projet'!$A$140,$CQ$205^A18,IF(A18='Données projet'!$A$140,'Données projet'!$B$140,CT17+CS18-DB17)))</f>
        <v>55.77</v>
      </c>
      <c r="CU18" s="17">
        <f>CT18*VLOOKUP('Données projet'!$B$13,Paramètres!$A$1:$I$89,3,0)*VLOOKUP('Données projet'!$B$13,Paramètres!$A$1:$I$89,5,0)</f>
        <v>48.720672000000008</v>
      </c>
      <c r="CV18" s="13">
        <f t="shared" si="41"/>
        <v>14.282870880254791</v>
      </c>
      <c r="CW18" s="20">
        <f t="shared" si="13"/>
        <v>109.73117051644375</v>
      </c>
      <c r="CX18" s="59">
        <f t="shared" si="14"/>
        <v>384.73117051644374</v>
      </c>
      <c r="CY18" s="59">
        <f ca="1">AVERAGE(OFFSET($CX$3,0,0,'Données projet'!$E$13+1,1))-AVERAGE(OFFSET($H$3,0,0,'Données projet'!$E$13+1,1))</f>
        <v>218.76600554860482</v>
      </c>
      <c r="CZ18" s="59">
        <f t="shared" si="42"/>
        <v>264.34840059907702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13.46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5.2692857142857141</v>
      </c>
      <c r="DO18" s="12">
        <f>IF('Données projet'!$A$166&gt;35,DO17+DN18-DW17,IF(A18&lt;'Données projet'!$A$166,$DL$205^A18,IF(A18='Données projet'!$A$166,'Données projet'!$B$166,DO17+DN18-DW17)))</f>
        <v>79.039285714285711</v>
      </c>
      <c r="DP18" s="17">
        <f>DO18*VLOOKUP('Données projet'!$B$14,Paramètres!$A$1:$I$89,3,0)*VLOOKUP('Données projet'!$B$14,Paramètres!$A$1:$I$89,5,0)</f>
        <v>67.81570714285715</v>
      </c>
      <c r="DQ18" s="13">
        <f t="shared" si="43"/>
        <v>19.130023928257955</v>
      </c>
      <c r="DR18" s="20">
        <f t="shared" si="16"/>
        <v>151.43048161552545</v>
      </c>
      <c r="DS18" s="59">
        <f t="shared" si="17"/>
        <v>426.43048161552542</v>
      </c>
      <c r="DT18" s="59">
        <f ca="1">AVERAGE(OFFSET($DS$3,0,0,'Données projet'!$E$14+1,1))-AVERAGE(OFFSET($H$3,0,0,'Données projet'!$E$14+1,1))</f>
        <v>442.97490100035287</v>
      </c>
      <c r="DU18" s="59">
        <f t="shared" si="44"/>
        <v>334.36243356457049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40</v>
      </c>
      <c r="EH18" s="12">
        <f>VLOOKUP(A18,'Données projet'!$A$191:$I$211,9,0)</f>
        <v>2.6666666666666665</v>
      </c>
      <c r="EI18" s="12">
        <f t="array" ref="EI18">INDEX(EH:EH,MIN(IF(ISNUMBER(EH18:EH214),ROW(EH18:EH214),"")))</f>
        <v>2.6666666666666665</v>
      </c>
      <c r="EJ18" s="12">
        <f>IF('Données projet'!$A$192&gt;35,EJ17+EI18-ER17,IF(A18&lt;'Données projet'!$A$192,$EG$205^A18,IF(A18='Données projet'!$A$192,'Données projet'!$B$192,EJ17+EI18-ER17)))</f>
        <v>40</v>
      </c>
      <c r="EK18" s="17">
        <f>EJ18*VLOOKUP('Données projet'!$B$15,Paramètres!$A$1:$I$89,3,0)*VLOOKUP('Données projet'!$B$15,Paramètres!$A$1:$I$89,5,0)</f>
        <v>31.200000000000003</v>
      </c>
      <c r="EL18" s="13">
        <f t="shared" si="45"/>
        <v>9.6335657126419925</v>
      </c>
      <c r="EM18" s="20">
        <f t="shared" si="19"/>
        <v>71.118460282851473</v>
      </c>
      <c r="EN18" s="59">
        <f t="shared" si="20"/>
        <v>346.11846028285146</v>
      </c>
      <c r="EO18" s="59">
        <f ca="1">AVERAGE(OFFSET($EN$3,0,0,'Données projet'!$E$15+1,1))-AVERAGE(OFFSET($H$3,0,0,'Données projet'!$E$15+1,1))</f>
        <v>288.82868507674738</v>
      </c>
      <c r="EP18" s="59">
        <f t="shared" si="46"/>
        <v>283.48738729114024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47.657999999999994</v>
      </c>
      <c r="FG18" s="13">
        <f t="shared" si="47"/>
        <v>14.007249652087213</v>
      </c>
      <c r="FH18" s="20">
        <f t="shared" si="22"/>
        <v>107.40030981071855</v>
      </c>
      <c r="FI18" s="59">
        <f t="shared" si="23"/>
        <v>382.40030981071857</v>
      </c>
      <c r="FJ18" s="59">
        <f ca="1">AVERAGE(OFFSET($FI$3,0,0,'Données projet'!$E$16+1,1))-AVERAGE(OFFSET($H$3,0,0,'Données projet'!$E$16+1,1))</f>
        <v>328.55201074501201</v>
      </c>
      <c r="FK18" s="59">
        <f t="shared" si="48"/>
        <v>321.81422611044985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65</v>
      </c>
      <c r="FX18" s="12">
        <f>VLOOKUP(A18,'Données projet'!$A$243:$I$263,9,0)</f>
        <v>10.8</v>
      </c>
      <c r="FY18" s="12">
        <f t="array" ref="FY18">INDEX(FX:FX,MIN(IF(ISNUMBER(FX18:FX214),ROW(FX18:FX214),"")))</f>
        <v>10.8</v>
      </c>
      <c r="FZ18" s="12">
        <f>IF('Données projet'!$A$244&gt;35,FZ17+FY18-GH17,IF(A18&lt;'Données projet'!$A$244,$FW$205^A18,IF(A18='Données projet'!$A$244,'Données projet'!$B$244,FZ17+FY18-GH17)))</f>
        <v>65</v>
      </c>
      <c r="GA18" s="17">
        <f>FZ18*VLOOKUP('Données projet'!$B$17,Paramètres!$A$1:$I$89,3,0)*VLOOKUP('Données projet'!$B$17,Paramètres!$A$1:$I$89,5,0)</f>
        <v>51.713999999999999</v>
      </c>
      <c r="GB18" s="13">
        <f t="shared" si="49"/>
        <v>15.055535578337075</v>
      </c>
      <c r="GC18" s="20">
        <f t="shared" si="25"/>
        <v>116.29027446560372</v>
      </c>
      <c r="GD18" s="59">
        <f t="shared" si="26"/>
        <v>391.29027446560372</v>
      </c>
      <c r="GE18" s="59">
        <f ca="1">AVERAGE(OFFSET($GD$3,0,0,'Données projet'!$E$17+1,1))-AVERAGE(OFFSET($H$3,0,0,'Données projet'!$E$17+1,1))</f>
        <v>353.37024194969638</v>
      </c>
      <c r="GF18" s="59">
        <f t="shared" si="50"/>
        <v>345.4750813433123</v>
      </c>
      <c r="GG18" s="15">
        <f>IF(ISNA(VLOOKUP(A18,'Données projet'!$A$243:$I$263,3,0)),0,VLOOKUP(A18,'Données projet'!$A$243:$I$263,3,0))</f>
        <v>2</v>
      </c>
      <c r="GH18" s="15">
        <f>IF(ISNA(VLOOKUP(A18,'Données projet'!$A$243:$I$263,4,0)),0,VLOOKUP(A18,'Données projet'!$A$243:$I$263,4,0))</f>
        <v>32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11.239444444444445</v>
      </c>
      <c r="N19" s="13">
        <f>IF('Données projet'!$A$36&gt;35,N18+M19-V18,IF(A19&lt;'Données projet'!$A$36,$K$205^A19,IF(A19='Données projet'!$A$36,'Données projet'!$B$36,N18+M19-V18)))</f>
        <v>112.14843049937892</v>
      </c>
      <c r="O19" s="13">
        <f>N19*VLOOKUP('Données projet'!$B$9,Paramètres!$A$1:$I$89,3,0)*VLOOKUP('Données projet'!$B$9,Paramètres!$A$1:$I$89,5,0)</f>
        <v>62.690972649152812</v>
      </c>
      <c r="P19" s="13">
        <f t="shared" si="33"/>
        <v>17.846884371855328</v>
      </c>
      <c r="Q19" s="20">
        <f t="shared" si="2"/>
        <v>140.27010097825584</v>
      </c>
      <c r="R19" s="59">
        <f t="shared" si="0"/>
        <v>416.49232320047804</v>
      </c>
      <c r="S19" s="59">
        <f ca="1">AVERAGE(OFFSET($R$3,0,0,'Données projet'!$E$9+1,1))-AVERAGE(OFFSET($H$3,0,0,'Données projet'!$E$9+1,1))</f>
        <v>404.65492118472037</v>
      </c>
      <c r="T19" s="59">
        <f t="shared" si="34"/>
        <v>534.22295841722166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8.0650000000000013</v>
      </c>
      <c r="AI19" s="13">
        <f>IF('Données projet'!$A$62&gt;35,AI18+AH19-AQ18,IF(A19&lt;'Données projet'!$A$62,$AF$205^A19,IF(A19='Données projet'!$A$62,'Données projet'!$B$62,AI18+AH19-AQ18)))</f>
        <v>129.04</v>
      </c>
      <c r="AJ19" s="13">
        <f>AI19*VLOOKUP('Données projet'!$B$10,Paramètres!$A$1:$I$89,3,0)*VLOOKUP('Données projet'!$B$10,Paramètres!$A$1:$I$89,5,0)</f>
        <v>60.390719999999995</v>
      </c>
      <c r="AK19" s="13">
        <f t="shared" si="35"/>
        <v>17.267017937911401</v>
      </c>
      <c r="AL19" s="20">
        <f t="shared" si="4"/>
        <v>135.25389357519569</v>
      </c>
      <c r="AM19" s="59">
        <f t="shared" si="5"/>
        <v>411.47611579741795</v>
      </c>
      <c r="AN19" s="59">
        <f ca="1">AVERAGE(OFFSET($AM$3,0,0,'Données projet'!$E$10+1,1))-AVERAGE(OFFSET($H$3,0,0,'Données projet'!$E$10+1,1))</f>
        <v>331.17634116262298</v>
      </c>
      <c r="AO19" s="59">
        <f t="shared" si="36"/>
        <v>286.28916368940605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16.333333333333332</v>
      </c>
      <c r="BD19" s="12">
        <f>IF('Données projet'!$A$88&gt;35,BD18+BC19-BL18,IF(A19&lt;'Données projet'!$A$88,$BA$205^A19,IF(A19='Données projet'!$A$88,'Données projet'!$B$88,BD18+BC19-BL18)))</f>
        <v>109.33333333333334</v>
      </c>
      <c r="BE19" s="13">
        <f>BD19*VLOOKUP('Données projet'!$B$11,Paramètres!$A$1:$I$89,3,0)*VLOOKUP('Données projet'!$B$11,Paramètres!$A$1:$I$89,5,0)</f>
        <v>59.696000000000005</v>
      </c>
      <c r="BF19" s="13">
        <f t="shared" si="37"/>
        <v>17.091385566957076</v>
      </c>
      <c r="BG19" s="20">
        <f t="shared" si="7"/>
        <v>133.73802986245025</v>
      </c>
      <c r="BH19" s="59">
        <f t="shared" si="8"/>
        <v>409.96025208467245</v>
      </c>
      <c r="BI19" s="59">
        <f ca="1">AVERAGE(OFFSET($BH$3,0,0,'Données projet'!$E$11+1,1))-AVERAGE(OFFSET($H$3,0,0,'Données projet'!$E$11+1,1))</f>
        <v>165.87377022031535</v>
      </c>
      <c r="BJ19" s="59">
        <f t="shared" si="38"/>
        <v>272.91122662088929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3.0676364462894354</v>
      </c>
      <c r="BQ19" s="21">
        <f>EXP(-LN(2)/25)*BQ18+(1-EXP(-LN(2)/25))/(LN(2)/25)*Calculateur!BL19*Calculateur!BN19*VLOOKUP('Données projet'!$B$11,Paramètres!$A$1:$I$89,3,0)*0.475*44/12</f>
        <v>10.29213857966444</v>
      </c>
      <c r="BR19" s="21">
        <f>EXP(-LN(2)/2)*BR18+(1-EXP(-LN(2)/2))/(LN(2)/2)*BL19*BO19*VLOOKUP('Données projet'!$B$11,Paramètres!$A$1:$I$89,3,0)*0.475*44/12</f>
        <v>6.5959005569374431</v>
      </c>
      <c r="BS19" s="22">
        <f t="shared" si="9"/>
        <v>19.95567558289132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4.8385294117647053</v>
      </c>
      <c r="BY19" s="12">
        <f>IF('Données projet'!$A$114&gt;35,BY18+BX19-CG18,IF(A19&lt;'Données projet'!$A$114,$BV$205^A19,IF(A19='Données projet'!$A$114,'Données projet'!$B$114,BY18+BX19-CG18)))</f>
        <v>11.038600719730724</v>
      </c>
      <c r="BZ19" s="13">
        <f>BY19*VLOOKUP('Données projet'!$B$12,Paramètres!$A$1:$I$89,3,0)*VLOOKUP('Données projet'!$B$12,Paramètres!$A$1:$I$89,5,0)</f>
        <v>9.9877259312123581</v>
      </c>
      <c r="CA19" s="13">
        <f t="shared" si="39"/>
        <v>3.5211195229000016</v>
      </c>
      <c r="CB19" s="20">
        <f t="shared" si="10"/>
        <v>23.527905832579023</v>
      </c>
      <c r="CC19" s="59">
        <f t="shared" si="11"/>
        <v>299.75012805480128</v>
      </c>
      <c r="CD19" s="59">
        <f ca="1">AVERAGE(OFFSET($CC$3,0,0,'Données projet'!$E$12+1,1))-AVERAGE(OFFSET($H$3,0,0,'Données projet'!$E$12+1,1))</f>
        <v>639.86968831634636</v>
      </c>
      <c r="CE19" s="59">
        <f t="shared" si="40"/>
        <v>218.1556771431184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9.1019999999999985</v>
      </c>
      <c r="CT19" s="12">
        <f>IF('Données projet'!$A$140&gt;35,CT18+CS19-DB18,IF(A19&lt;'Données projet'!$A$140,$CQ$205^A19,IF(A19='Données projet'!$A$140,'Données projet'!$B$140,CT18+CS19-DB18)))</f>
        <v>51.411999999999999</v>
      </c>
      <c r="CU19" s="17">
        <f>CT19*VLOOKUP('Données projet'!$B$13,Paramètres!$A$1:$I$89,3,0)*VLOOKUP('Données projet'!$B$13,Paramètres!$A$1:$I$89,5,0)</f>
        <v>44.913523200000007</v>
      </c>
      <c r="CV19" s="13">
        <f t="shared" si="41"/>
        <v>13.292066085550497</v>
      </c>
      <c r="CW19" s="20">
        <f t="shared" si="13"/>
        <v>101.37473467233379</v>
      </c>
      <c r="CX19" s="59">
        <f t="shared" si="14"/>
        <v>377.596956894556</v>
      </c>
      <c r="CY19" s="59">
        <f ca="1">AVERAGE(OFFSET($CX$3,0,0,'Données projet'!$E$13+1,1))-AVERAGE(OFFSET($H$3,0,0,'Données projet'!$E$13+1,1))</f>
        <v>218.76600554860482</v>
      </c>
      <c r="CZ19" s="59">
        <f t="shared" si="42"/>
        <v>264.34840059907702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5.2692857142857141</v>
      </c>
      <c r="DO19" s="12">
        <f>IF('Données projet'!$A$166&gt;35,DO18+DN19-DW18,IF(A19&lt;'Données projet'!$A$166,$DL$205^A19,IF(A19='Données projet'!$A$166,'Données projet'!$B$166,DO18+DN19-DW18)))</f>
        <v>84.308571428571426</v>
      </c>
      <c r="DP19" s="17">
        <f>DO19*VLOOKUP('Données projet'!$B$14,Paramètres!$A$1:$I$89,3,0)*VLOOKUP('Données projet'!$B$14,Paramètres!$A$1:$I$89,5,0)</f>
        <v>72.336754285714292</v>
      </c>
      <c r="DQ19" s="13">
        <f t="shared" si="43"/>
        <v>20.252642351874957</v>
      </c>
      <c r="DR19" s="20">
        <f t="shared" si="16"/>
        <v>161.25986581046794</v>
      </c>
      <c r="DS19" s="59">
        <f t="shared" si="17"/>
        <v>437.48208803269017</v>
      </c>
      <c r="DT19" s="59">
        <f ca="1">AVERAGE(OFFSET($DS$3,0,0,'Données projet'!$E$14+1,1))-AVERAGE(OFFSET($H$3,0,0,'Données projet'!$E$14+1,1))</f>
        <v>442.97490100035287</v>
      </c>
      <c r="DU19" s="59">
        <f t="shared" si="44"/>
        <v>334.36243356457049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9.6</v>
      </c>
      <c r="EJ19" s="12">
        <f>IF('Données projet'!$A$192&gt;35,EJ18+EI19-ER18,IF(A19&lt;'Données projet'!$A$192,$EG$205^A19,IF(A19='Données projet'!$A$192,'Données projet'!$B$192,EJ18+EI19-ER18)))</f>
        <v>46.6</v>
      </c>
      <c r="EK19" s="17">
        <f>EJ19*VLOOKUP('Données projet'!$B$15,Paramètres!$A$1:$I$89,3,0)*VLOOKUP('Données projet'!$B$15,Paramètres!$A$1:$I$89,5,0)</f>
        <v>36.347999999999999</v>
      </c>
      <c r="EL19" s="13">
        <f t="shared" si="45"/>
        <v>11.025356771848859</v>
      </c>
      <c r="EM19" s="20">
        <f t="shared" si="19"/>
        <v>82.508596377636763</v>
      </c>
      <c r="EN19" s="59">
        <f t="shared" si="20"/>
        <v>358.73081859985899</v>
      </c>
      <c r="EO19" s="59">
        <f ca="1">AVERAGE(OFFSET($EN$3,0,0,'Données projet'!$E$15+1,1))-AVERAGE(OFFSET($H$3,0,0,'Données projet'!$E$15+1,1))</f>
        <v>288.82868507674738</v>
      </c>
      <c r="EP19" s="59">
        <f t="shared" si="46"/>
        <v>283.48738729114024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34.313760000000002</v>
      </c>
      <c r="FG19" s="13">
        <f t="shared" si="47"/>
        <v>10.478324962562111</v>
      </c>
      <c r="FH19" s="20">
        <f t="shared" si="22"/>
        <v>78.012881309795674</v>
      </c>
      <c r="FI19" s="59">
        <f t="shared" si="23"/>
        <v>354.23510353201789</v>
      </c>
      <c r="FJ19" s="59">
        <f ca="1">AVERAGE(OFFSET($FI$3,0,0,'Données projet'!$E$16+1,1))-AVERAGE(OFFSET($H$3,0,0,'Données projet'!$E$16+1,1))</f>
        <v>328.55201074501201</v>
      </c>
      <c r="FK19" s="59">
        <f t="shared" si="48"/>
        <v>321.81422611044985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13.8</v>
      </c>
      <c r="FZ19" s="12">
        <f>IF('Données projet'!$A$244&gt;35,FZ18+FY19-GH18,IF(A19&lt;'Données projet'!$A$244,$FW$205^A19,IF(A19='Données projet'!$A$244,'Données projet'!$B$244,FZ18+FY19-GH18)))</f>
        <v>46.8</v>
      </c>
      <c r="GA19" s="17">
        <f>FZ19*VLOOKUP('Données projet'!$B$17,Paramètres!$A$1:$I$89,3,0)*VLOOKUP('Données projet'!$B$17,Paramètres!$A$1:$I$89,5,0)</f>
        <v>37.234079999999999</v>
      </c>
      <c r="GB19" s="13">
        <f t="shared" si="49"/>
        <v>11.262510356679771</v>
      </c>
      <c r="GC19" s="20">
        <f t="shared" si="25"/>
        <v>84.464894871217254</v>
      </c>
      <c r="GD19" s="59">
        <f t="shared" si="26"/>
        <v>360.6871170934395</v>
      </c>
      <c r="GE19" s="59">
        <f ca="1">AVERAGE(OFFSET($GD$3,0,0,'Données projet'!$E$17+1,1))-AVERAGE(OFFSET($H$3,0,0,'Données projet'!$E$17+1,1))</f>
        <v>353.37024194969638</v>
      </c>
      <c r="GF19" s="59">
        <f t="shared" si="50"/>
        <v>345.4750813433123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11.239444444444445</v>
      </c>
      <c r="N20" s="13">
        <f>IF('Données projet'!$A$36&gt;35,N19+M20-V19,IF(A20&lt;'Données projet'!$A$36,$K$205^A20,IF(A20='Données projet'!$A$36,'Données projet'!$B$36,N19+M20-V19)))</f>
        <v>150.62784926543083</v>
      </c>
      <c r="O20" s="13">
        <f>N20*VLOOKUP('Données projet'!$B$9,Paramètres!$A$1:$I$89,3,0)*VLOOKUP('Données projet'!$B$9,Paramètres!$A$1:$I$89,5,0)</f>
        <v>84.200967739375827</v>
      </c>
      <c r="P20" s="13">
        <f t="shared" si="33"/>
        <v>23.161263068945349</v>
      </c>
      <c r="Q20" s="20">
        <f t="shared" si="2"/>
        <v>186.989218657826</v>
      </c>
      <c r="R20" s="59">
        <f t="shared" si="0"/>
        <v>464.43366310227043</v>
      </c>
      <c r="S20" s="59">
        <f ca="1">AVERAGE(OFFSET($R$3,0,0,'Données projet'!$E$9+1,1))-AVERAGE(OFFSET($H$3,0,0,'Données projet'!$E$9+1,1))</f>
        <v>404.65492118472037</v>
      </c>
      <c r="T20" s="59">
        <f t="shared" si="34"/>
        <v>534.22295841722166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8.0650000000000013</v>
      </c>
      <c r="AI20" s="13">
        <f>IF('Données projet'!$A$62&gt;35,AI19+AH20-AQ19,IF(A20&lt;'Données projet'!$A$62,$AF$205^A20,IF(A20='Données projet'!$A$62,'Données projet'!$B$62,AI19+AH20-AQ19)))</f>
        <v>137.10499999999999</v>
      </c>
      <c r="AJ20" s="13">
        <f>AI20*VLOOKUP('Données projet'!$B$10,Paramètres!$A$1:$I$89,3,0)*VLOOKUP('Données projet'!$B$10,Paramètres!$A$1:$I$89,5,0)</f>
        <v>64.165139999999994</v>
      </c>
      <c r="AK20" s="13">
        <f t="shared" si="35"/>
        <v>18.217198494846638</v>
      </c>
      <c r="AL20" s="20">
        <f t="shared" si="4"/>
        <v>143.48257287852456</v>
      </c>
      <c r="AM20" s="59">
        <f t="shared" si="5"/>
        <v>420.92701732296905</v>
      </c>
      <c r="AN20" s="59">
        <f ca="1">AVERAGE(OFFSET($AM$3,0,0,'Données projet'!$E$10+1,1))-AVERAGE(OFFSET($H$3,0,0,'Données projet'!$E$10+1,1))</f>
        <v>331.17634116262298</v>
      </c>
      <c r="AO20" s="59">
        <f t="shared" si="36"/>
        <v>286.28916368940605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16.333333333333332</v>
      </c>
      <c r="BD20" s="12">
        <f>IF('Données projet'!$A$88&gt;35,BD19+BC20-BL19,IF(A20&lt;'Données projet'!$A$88,$BA$205^A20,IF(A20='Données projet'!$A$88,'Données projet'!$B$88,BD19+BC20-BL19)))</f>
        <v>125.66666666666667</v>
      </c>
      <c r="BE20" s="13">
        <f>BD20*VLOOKUP('Données projet'!$B$11,Paramètres!$A$1:$I$89,3,0)*VLOOKUP('Données projet'!$B$11,Paramètres!$A$1:$I$89,5,0)</f>
        <v>68.614000000000004</v>
      </c>
      <c r="BF20" s="13">
        <f t="shared" si="37"/>
        <v>19.328865335265945</v>
      </c>
      <c r="BG20" s="20">
        <f t="shared" si="7"/>
        <v>153.16715712558818</v>
      </c>
      <c r="BH20" s="59">
        <f t="shared" si="8"/>
        <v>430.61160157003263</v>
      </c>
      <c r="BI20" s="59">
        <f ca="1">AVERAGE(OFFSET($BH$3,0,0,'Données projet'!$E$11+1,1))-AVERAGE(OFFSET($H$3,0,0,'Données projet'!$E$11+1,1))</f>
        <v>165.87377022031535</v>
      </c>
      <c r="BJ20" s="59">
        <f t="shared" si="38"/>
        <v>272.91122662088929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3.0074819666511785</v>
      </c>
      <c r="BQ20" s="21">
        <f>EXP(-LN(2)/25)*BQ19+(1-EXP(-LN(2)/25))/(LN(2)/25)*Calculateur!BL20*Calculateur!BN20*VLOOKUP('Données projet'!$B$11,Paramètres!$A$1:$I$89,3,0)*0.475*44/12</f>
        <v>10.010699508963471</v>
      </c>
      <c r="BR20" s="21">
        <f>EXP(-LN(2)/2)*BR19+(1-EXP(-LN(2)/2))/(LN(2)/2)*BL20*BO20*VLOOKUP('Données projet'!$B$11,Paramètres!$A$1:$I$89,3,0)*0.475*44/12</f>
        <v>4.6640060118425914</v>
      </c>
      <c r="BS20" s="22">
        <f t="shared" si="9"/>
        <v>17.682187487457242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4.8385294117647053</v>
      </c>
      <c r="BY20" s="12">
        <f>IF('Données projet'!$A$114&gt;35,BY19+BX20-CG19,IF(A20&lt;'Données projet'!$A$114,$BV$205^A20,IF(A20='Données projet'!$A$114,'Données projet'!$B$114,BY19+BX20-CG19)))</f>
        <v>12.826145173044001</v>
      </c>
      <c r="BZ20" s="13">
        <f>BY20*VLOOKUP('Données projet'!$B$12,Paramètres!$A$1:$I$89,3,0)*VLOOKUP('Données projet'!$B$12,Paramètres!$A$1:$I$89,5,0)</f>
        <v>11.60509615257021</v>
      </c>
      <c r="CA20" s="13">
        <f t="shared" si="39"/>
        <v>4.0204595245581789</v>
      </c>
      <c r="CB20" s="20">
        <f t="shared" si="10"/>
        <v>27.214509470998607</v>
      </c>
      <c r="CC20" s="59">
        <f t="shared" si="11"/>
        <v>304.65895391544308</v>
      </c>
      <c r="CD20" s="59">
        <f ca="1">AVERAGE(OFFSET($CC$3,0,0,'Données projet'!$E$12+1,1))-AVERAGE(OFFSET($H$3,0,0,'Données projet'!$E$12+1,1))</f>
        <v>639.86968831634636</v>
      </c>
      <c r="CE20" s="59">
        <f t="shared" si="40"/>
        <v>218.1556771431184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9.1019999999999985</v>
      </c>
      <c r="CT20" s="12">
        <f>IF('Données projet'!$A$140&gt;35,CT19+CS20-DB19,IF(A20&lt;'Données projet'!$A$140,$CQ$205^A20,IF(A20='Données projet'!$A$140,'Données projet'!$B$140,CT19+CS20-DB19)))</f>
        <v>60.513999999999996</v>
      </c>
      <c r="CU20" s="17">
        <f>CT20*VLOOKUP('Données projet'!$B$13,Paramètres!$A$1:$I$89,3,0)*VLOOKUP('Données projet'!$B$13,Paramètres!$A$1:$I$89,5,0)</f>
        <v>52.865030400000009</v>
      </c>
      <c r="CV20" s="13">
        <f t="shared" si="41"/>
        <v>15.351249822427294</v>
      </c>
      <c r="CW20" s="20">
        <f t="shared" si="13"/>
        <v>118.8100213873942</v>
      </c>
      <c r="CX20" s="59">
        <f t="shared" si="14"/>
        <v>396.25446583183867</v>
      </c>
      <c r="CY20" s="59">
        <f ca="1">AVERAGE(OFFSET($CX$3,0,0,'Données projet'!$E$13+1,1))-AVERAGE(OFFSET($H$3,0,0,'Données projet'!$E$13+1,1))</f>
        <v>218.76600554860482</v>
      </c>
      <c r="CZ20" s="59">
        <f t="shared" si="42"/>
        <v>264.34840059907702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5.2692857142857141</v>
      </c>
      <c r="DO20" s="12">
        <f>IF('Données projet'!$A$166&gt;35,DO19+DN20-DW19,IF(A20&lt;'Données projet'!$A$166,$DL$205^A20,IF(A20='Données projet'!$A$166,'Données projet'!$B$166,DO19+DN20-DW19)))</f>
        <v>89.577857142857141</v>
      </c>
      <c r="DP20" s="17">
        <f>DO20*VLOOKUP('Données projet'!$B$14,Paramètres!$A$1:$I$89,3,0)*VLOOKUP('Données projet'!$B$14,Paramètres!$A$1:$I$89,5,0)</f>
        <v>76.857801428571435</v>
      </c>
      <c r="DQ20" s="13">
        <f t="shared" si="43"/>
        <v>21.36711776728896</v>
      </c>
      <c r="DR20" s="20">
        <f t="shared" si="16"/>
        <v>171.07506759945684</v>
      </c>
      <c r="DS20" s="59">
        <f t="shared" si="17"/>
        <v>448.51951204390127</v>
      </c>
      <c r="DT20" s="59">
        <f ca="1">AVERAGE(OFFSET($DS$3,0,0,'Données projet'!$E$14+1,1))-AVERAGE(OFFSET($H$3,0,0,'Données projet'!$E$14+1,1))</f>
        <v>442.97490100035287</v>
      </c>
      <c r="DU20" s="59">
        <f t="shared" si="44"/>
        <v>334.36243356457049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9.6</v>
      </c>
      <c r="EJ20" s="12">
        <f>IF('Données projet'!$A$192&gt;35,EJ19+EI20-ER19,IF(A20&lt;'Données projet'!$A$192,$EG$205^A20,IF(A20='Données projet'!$A$192,'Données projet'!$B$192,EJ19+EI20-ER19)))</f>
        <v>56.2</v>
      </c>
      <c r="EK20" s="17">
        <f>EJ20*VLOOKUP('Données projet'!$B$15,Paramètres!$A$1:$I$89,3,0)*VLOOKUP('Données projet'!$B$15,Paramètres!$A$1:$I$89,5,0)</f>
        <v>43.836000000000006</v>
      </c>
      <c r="EL20" s="13">
        <f t="shared" si="45"/>
        <v>13.009897179721728</v>
      </c>
      <c r="EM20" s="20">
        <f t="shared" si="19"/>
        <v>99.006604254682017</v>
      </c>
      <c r="EN20" s="59">
        <f t="shared" si="20"/>
        <v>376.45104869912649</v>
      </c>
      <c r="EO20" s="59">
        <f ca="1">AVERAGE(OFFSET($EN$3,0,0,'Données projet'!$E$15+1,1))-AVERAGE(OFFSET($H$3,0,0,'Données projet'!$E$15+1,1))</f>
        <v>288.82868507674738</v>
      </c>
      <c r="EP20" s="59">
        <f t="shared" si="46"/>
        <v>283.48738729114024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44.431919999999998</v>
      </c>
      <c r="FG20" s="13">
        <f t="shared" si="47"/>
        <v>13.166048117528</v>
      </c>
      <c r="FH20" s="20">
        <f t="shared" si="22"/>
        <v>100.31646113802792</v>
      </c>
      <c r="FI20" s="59">
        <f t="shared" si="23"/>
        <v>377.76090558247239</v>
      </c>
      <c r="FJ20" s="59">
        <f ca="1">AVERAGE(OFFSET($FI$3,0,0,'Données projet'!$E$16+1,1))-AVERAGE(OFFSET($H$3,0,0,'Données projet'!$E$16+1,1))</f>
        <v>328.55201074501201</v>
      </c>
      <c r="FK20" s="59">
        <f t="shared" si="48"/>
        <v>321.81422611044985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13.8</v>
      </c>
      <c r="FZ20" s="12">
        <f>IF('Données projet'!$A$244&gt;35,FZ19+FY20-GH19,IF(A20&lt;'Données projet'!$A$244,$FW$205^A20,IF(A20='Données projet'!$A$244,'Données projet'!$B$244,FZ19+FY20-GH19)))</f>
        <v>60.599999999999994</v>
      </c>
      <c r="GA20" s="17">
        <f>FZ20*VLOOKUP('Données projet'!$B$17,Paramètres!$A$1:$I$89,3,0)*VLOOKUP('Données projet'!$B$17,Paramètres!$A$1:$I$89,5,0)</f>
        <v>48.213360000000002</v>
      </c>
      <c r="GB20" s="13">
        <f t="shared" si="49"/>
        <v>14.151379520104694</v>
      </c>
      <c r="GC20" s="20">
        <f t="shared" si="25"/>
        <v>108.61858799751566</v>
      </c>
      <c r="GD20" s="59">
        <f t="shared" si="26"/>
        <v>386.0630324419601</v>
      </c>
      <c r="GE20" s="59">
        <f ca="1">AVERAGE(OFFSET($GD$3,0,0,'Données projet'!$E$17+1,1))-AVERAGE(OFFSET($H$3,0,0,'Données projet'!$E$17+1,1))</f>
        <v>353.37024194969638</v>
      </c>
      <c r="GF20" s="59">
        <f t="shared" si="50"/>
        <v>345.4750813433123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202.31</v>
      </c>
      <c r="L21" s="12">
        <f>VLOOKUP(A21,'Données projet'!$A$35:$I$55,9,0)</f>
        <v>11.239444444444445</v>
      </c>
      <c r="M21" s="12">
        <f t="array" ref="M21">INDEX(L:L,MIN(IF(ISNUMBER(L21:L217),ROW(L21:L217),"")))</f>
        <v>11.239444444444445</v>
      </c>
      <c r="N21" s="13">
        <f>IF('Données projet'!$A$36&gt;35,N20+M21-V20,IF(A21&lt;'Données projet'!$A$36,$K$205^A21,IF(A21='Données projet'!$A$36,'Données projet'!$B$36,N20+M21-V20)))</f>
        <v>202.31</v>
      </c>
      <c r="O21" s="13">
        <f>N21*VLOOKUP('Données projet'!$B$9,Paramètres!$A$1:$I$89,3,0)*VLOOKUP('Données projet'!$B$9,Paramètres!$A$1:$I$89,5,0)</f>
        <v>113.09129000000001</v>
      </c>
      <c r="P21" s="13">
        <f t="shared" si="33"/>
        <v>30.05813764305373</v>
      </c>
      <c r="Q21" s="20">
        <f t="shared" si="2"/>
        <v>249.31858647831859</v>
      </c>
      <c r="R21" s="59">
        <f t="shared" si="0"/>
        <v>527.98525314498534</v>
      </c>
      <c r="S21" s="59">
        <f ca="1">AVERAGE(OFFSET($R$3,0,0,'Données projet'!$E$9+1,1))-AVERAGE(OFFSET($H$3,0,0,'Données projet'!$E$9+1,1))</f>
        <v>404.65492118472037</v>
      </c>
      <c r="T21" s="59">
        <f t="shared" si="34"/>
        <v>534.22295841722166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17.021397995775043</v>
      </c>
      <c r="AB21" s="21">
        <f>EXP(-LN(2)/2)*AB20+(1-EXP(-LN(2)/2))/(LN(2)/2)*V21*Y21*VLOOKUP('Données projet'!$B$9,Paramètres!$A$1:$I$89,3,0)*0.475*44/12</f>
        <v>20.836162098408781</v>
      </c>
      <c r="AC21" s="22">
        <f t="shared" si="3"/>
        <v>37.857560094183825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8.0650000000000013</v>
      </c>
      <c r="AI21" s="13">
        <f>IF('Données projet'!$A$62&gt;35,AI20+AH21-AQ20,IF(A21&lt;'Données projet'!$A$62,$AF$205^A21,IF(A21='Données projet'!$A$62,'Données projet'!$B$62,AI20+AH21-AQ20)))</f>
        <v>145.16999999999999</v>
      </c>
      <c r="AJ21" s="13">
        <f>AI21*VLOOKUP('Données projet'!$B$10,Paramètres!$A$1:$I$89,3,0)*VLOOKUP('Données projet'!$B$10,Paramètres!$A$1:$I$89,5,0)</f>
        <v>67.93956</v>
      </c>
      <c r="AK21" s="13">
        <f t="shared" si="35"/>
        <v>19.160891383176736</v>
      </c>
      <c r="AL21" s="20">
        <f t="shared" si="4"/>
        <v>151.69995282569948</v>
      </c>
      <c r="AM21" s="59">
        <f t="shared" si="5"/>
        <v>430.36661949236617</v>
      </c>
      <c r="AN21" s="59">
        <f ca="1">AVERAGE(OFFSET($AM$3,0,0,'Données projet'!$E$10+1,1))-AVERAGE(OFFSET($H$3,0,0,'Données projet'!$E$10+1,1))</f>
        <v>331.17634116262298</v>
      </c>
      <c r="AO21" s="59">
        <f t="shared" si="36"/>
        <v>286.28916368940605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142</v>
      </c>
      <c r="BB21" s="12">
        <f>VLOOKUP(A21,'Données projet'!$A$87:$I$107,9,0)</f>
        <v>16.333333333333332</v>
      </c>
      <c r="BC21" s="12">
        <f t="array" ref="BC21">INDEX(BB:BB,MIN(IF(ISNUMBER(BB21:BB217),ROW(BB21:BB217),"")))</f>
        <v>16.333333333333332</v>
      </c>
      <c r="BD21" s="12">
        <f>IF('Données projet'!$A$88&gt;35,BD20+BC21-BL20,IF(A21&lt;'Données projet'!$A$88,$BA$205^A21,IF(A21='Données projet'!$A$88,'Données projet'!$B$88,BD20+BC21-BL20)))</f>
        <v>142</v>
      </c>
      <c r="BE21" s="13">
        <f>BD21*VLOOKUP('Données projet'!$B$11,Paramètres!$A$1:$I$89,3,0)*VLOOKUP('Données projet'!$B$11,Paramètres!$A$1:$I$89,5,0)</f>
        <v>77.531999999999996</v>
      </c>
      <c r="BF21" s="13">
        <f t="shared" si="37"/>
        <v>21.532649196514885</v>
      </c>
      <c r="BG21" s="20">
        <f t="shared" si="7"/>
        <v>172.53759735059677</v>
      </c>
      <c r="BH21" s="59">
        <f t="shared" si="8"/>
        <v>451.20426401726343</v>
      </c>
      <c r="BI21" s="59">
        <f ca="1">AVERAGE(OFFSET($BH$3,0,0,'Données projet'!$E$11+1,1))-AVERAGE(OFFSET($H$3,0,0,'Données projet'!$E$11+1,1))</f>
        <v>165.87377022031535</v>
      </c>
      <c r="BJ21" s="59">
        <f t="shared" si="38"/>
        <v>272.91122662088929</v>
      </c>
      <c r="BK21" s="15">
        <f>IF(ISNA(VLOOKUP(A21,'Données projet'!$A$87:$I$107,3,0)),0,VLOOKUP(A21,'Données projet'!$A$87:$I$107,3,0))</f>
        <v>3</v>
      </c>
      <c r="BL21" s="15">
        <f>IF(ISNA(VLOOKUP(A21,'Données projet'!$A$87:$I$107,4,0)),0,VLOOKUP(A21,'Données projet'!$A$87:$I$107,4,0))</f>
        <v>47</v>
      </c>
      <c r="BM21" s="16">
        <f>IF(ISNA(VLOOKUP(A21,'Données projet'!$A$87:$I$107,5,0)),0%,VLOOKUP(A21,'Données projet'!$A$87:$I$107,5,0)*VLOOKUP('Données projet'!$B$11,Paramètres!$A$1:$I$89,7,0))</f>
        <v>0.12</v>
      </c>
      <c r="BN21" s="16">
        <f>IF(ISNA(VLOOKUP(A21,'Données projet'!$A$87:$I$107,6,0)),0%,VLOOKUP(A21,'Données projet'!$A$87:$I$107,6,0)*VLOOKUP('Données projet'!$B$11,Paramètres!$A$1:$I$89,7,0))</f>
        <v>0.27</v>
      </c>
      <c r="BO21" s="16">
        <f>IF(ISNA(VLOOKUP(A21,'Données projet'!$A$87:$I$107,7,0)),0%,VLOOKUP(A21,'Données projet'!$A$87:$I$107,7,0))</f>
        <v>0.35</v>
      </c>
      <c r="BP21" s="21">
        <f>EXP(-LN(2)/35)*BP20+(1-EXP(-LN(2)/35))/(LN(2)/35)*BL21*BM21*VLOOKUP('Données projet'!$B$11,Paramètres!$A$1:$I$89,3,0)*0.475*44/12</f>
        <v>7.0335827263267552</v>
      </c>
      <c r="BQ21" s="21">
        <f>EXP(-LN(2)/25)*BQ20+(1-EXP(-LN(2)/25))/(LN(2)/25)*Calculateur!BL21*Calculateur!BN21*VLOOKUP('Données projet'!$B$11,Paramètres!$A$1:$I$89,3,0)*0.475*44/12</f>
        <v>18.892186485880536</v>
      </c>
      <c r="BR21" s="21">
        <f>EXP(-LN(2)/2)*BR20+(1-EXP(-LN(2)/2))/(LN(2)/2)*BL21*BO21*VLOOKUP('Données projet'!$B$11,Paramètres!$A$1:$I$89,3,0)*0.475*44/12</f>
        <v>13.467321105162178</v>
      </c>
      <c r="BS21" s="22">
        <f t="shared" si="9"/>
        <v>39.39309031736947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4.8385294117647053</v>
      </c>
      <c r="BY21" s="12">
        <f>IF('Données projet'!$A$114&gt;35,BY20+BX21-CG20,IF(A21&lt;'Données projet'!$A$114,$BV$205^A21,IF(A21='Données projet'!$A$114,'Données projet'!$B$114,BY20+BX21-CG20)))</f>
        <v>14.903157037463076</v>
      </c>
      <c r="BZ21" s="13">
        <f>BY21*VLOOKUP('Données projet'!$B$12,Paramètres!$A$1:$I$89,3,0)*VLOOKUP('Données projet'!$B$12,Paramètres!$A$1:$I$89,5,0)</f>
        <v>13.48437648749659</v>
      </c>
      <c r="CA21" s="13">
        <f t="shared" si="39"/>
        <v>4.5906123559525751</v>
      </c>
      <c r="CB21" s="20">
        <f t="shared" si="10"/>
        <v>31.480605569007299</v>
      </c>
      <c r="CC21" s="59">
        <f t="shared" si="11"/>
        <v>310.147272235674</v>
      </c>
      <c r="CD21" s="59">
        <f ca="1">AVERAGE(OFFSET($CC$3,0,0,'Données projet'!$E$12+1,1))-AVERAGE(OFFSET($H$3,0,0,'Données projet'!$E$12+1,1))</f>
        <v>639.86968831634636</v>
      </c>
      <c r="CE21" s="59">
        <f t="shared" si="40"/>
        <v>218.1556771431184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9.1019999999999985</v>
      </c>
      <c r="CT21" s="12">
        <f>IF('Données projet'!$A$140&gt;35,CT20+CS21-DB20,IF(A21&lt;'Données projet'!$A$140,$CQ$205^A21,IF(A21='Données projet'!$A$140,'Données projet'!$B$140,CT20+CS21-DB20)))</f>
        <v>69.616</v>
      </c>
      <c r="CU21" s="17">
        <f>CT21*VLOOKUP('Données projet'!$B$13,Paramètres!$A$1:$I$89,3,0)*VLOOKUP('Données projet'!$B$13,Paramètres!$A$1:$I$89,5,0)</f>
        <v>60.816537600000004</v>
      </c>
      <c r="CV21" s="13">
        <f t="shared" si="41"/>
        <v>17.374552644765899</v>
      </c>
      <c r="CW21" s="20">
        <f t="shared" si="13"/>
        <v>136.18281550963394</v>
      </c>
      <c r="CX21" s="59">
        <f t="shared" si="14"/>
        <v>414.84948217630063</v>
      </c>
      <c r="CY21" s="59">
        <f ca="1">AVERAGE(OFFSET($CX$3,0,0,'Données projet'!$E$13+1,1))-AVERAGE(OFFSET($H$3,0,0,'Données projet'!$E$13+1,1))</f>
        <v>218.76600554860482</v>
      </c>
      <c r="CZ21" s="59">
        <f t="shared" si="42"/>
        <v>264.34840059907702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5.2692857142857141</v>
      </c>
      <c r="DO21" s="12">
        <f>IF('Données projet'!$A$166&gt;35,DO20+DN21-DW20,IF(A21&lt;'Données projet'!$A$166,$DL$205^A21,IF(A21='Données projet'!$A$166,'Données projet'!$B$166,DO20+DN21-DW20)))</f>
        <v>94.847142857142856</v>
      </c>
      <c r="DP21" s="17">
        <f>DO21*VLOOKUP('Données projet'!$B$14,Paramètres!$A$1:$I$89,3,0)*VLOOKUP('Données projet'!$B$14,Paramètres!$A$1:$I$89,5,0)</f>
        <v>81.378848571428577</v>
      </c>
      <c r="DQ21" s="13">
        <f t="shared" si="43"/>
        <v>22.473983737202285</v>
      </c>
      <c r="DR21" s="20">
        <f t="shared" si="16"/>
        <v>180.8770162708654</v>
      </c>
      <c r="DS21" s="59">
        <f t="shared" si="17"/>
        <v>459.54368293753208</v>
      </c>
      <c r="DT21" s="59">
        <f ca="1">AVERAGE(OFFSET($DS$3,0,0,'Données projet'!$E$14+1,1))-AVERAGE(OFFSET($H$3,0,0,'Données projet'!$E$14+1,1))</f>
        <v>442.97490100035287</v>
      </c>
      <c r="DU21" s="59">
        <f t="shared" si="44"/>
        <v>334.36243356457049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9.6</v>
      </c>
      <c r="EJ21" s="12">
        <f>IF('Données projet'!$A$192&gt;35,EJ20+EI21-ER20,IF(A21&lt;'Données projet'!$A$192,$EG$205^A21,IF(A21='Données projet'!$A$192,'Données projet'!$B$192,EJ20+EI21-ER20)))</f>
        <v>65.8</v>
      </c>
      <c r="EK21" s="17">
        <f>EJ21*VLOOKUP('Données projet'!$B$15,Paramètres!$A$1:$I$89,3,0)*VLOOKUP('Données projet'!$B$15,Paramètres!$A$1:$I$89,5,0)</f>
        <v>51.323999999999998</v>
      </c>
      <c r="EL21" s="13">
        <f t="shared" si="45"/>
        <v>14.95516659950003</v>
      </c>
      <c r="EM21" s="20">
        <f t="shared" si="19"/>
        <v>115.43621516079588</v>
      </c>
      <c r="EN21" s="59">
        <f t="shared" si="20"/>
        <v>394.10288182746257</v>
      </c>
      <c r="EO21" s="59">
        <f ca="1">AVERAGE(OFFSET($EN$3,0,0,'Données projet'!$E$15+1,1))-AVERAGE(OFFSET($H$3,0,0,'Données projet'!$E$15+1,1))</f>
        <v>288.82868507674738</v>
      </c>
      <c r="EP21" s="59">
        <f t="shared" si="46"/>
        <v>283.48738729114024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54.550079999999994</v>
      </c>
      <c r="FG21" s="13">
        <f t="shared" si="47"/>
        <v>15.782815260920117</v>
      </c>
      <c r="FH21" s="20">
        <f t="shared" si="22"/>
        <v>122.49645924610253</v>
      </c>
      <c r="FI21" s="59">
        <f t="shared" si="23"/>
        <v>401.1631259127692</v>
      </c>
      <c r="FJ21" s="59">
        <f ca="1">AVERAGE(OFFSET($FI$3,0,0,'Données projet'!$E$16+1,1))-AVERAGE(OFFSET($H$3,0,0,'Données projet'!$E$16+1,1))</f>
        <v>328.55201074501201</v>
      </c>
      <c r="FK21" s="59">
        <f t="shared" si="48"/>
        <v>321.81422611044985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13.8</v>
      </c>
      <c r="FZ21" s="12">
        <f>IF('Données projet'!$A$244&gt;35,FZ20+FY21-GH20,IF(A21&lt;'Données projet'!$A$244,$FW$205^A21,IF(A21='Données projet'!$A$244,'Données projet'!$B$244,FZ20+FY21-GH20)))</f>
        <v>74.399999999999991</v>
      </c>
      <c r="GA21" s="17">
        <f>FZ21*VLOOKUP('Données projet'!$B$17,Paramètres!$A$1:$I$89,3,0)*VLOOKUP('Données projet'!$B$17,Paramètres!$A$1:$I$89,5,0)</f>
        <v>59.192639999999997</v>
      </c>
      <c r="GB21" s="13">
        <f t="shared" si="49"/>
        <v>16.963982408330725</v>
      </c>
      <c r="GC21" s="20">
        <f t="shared" si="25"/>
        <v>132.63945069450935</v>
      </c>
      <c r="GD21" s="59">
        <f t="shared" si="26"/>
        <v>411.30611736117601</v>
      </c>
      <c r="GE21" s="59">
        <f ca="1">AVERAGE(OFFSET($GD$3,0,0,'Données projet'!$E$17+1,1))-AVERAGE(OFFSET($H$3,0,0,'Données projet'!$E$17+1,1))</f>
        <v>353.37024194969638</v>
      </c>
      <c r="GF21" s="59">
        <f t="shared" si="50"/>
        <v>345.4750813433123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26.933333333333326</v>
      </c>
      <c r="N22" s="13">
        <f>IF('Données projet'!$A$36&gt;35,N21+M22-V21,IF(A22&lt;'Données projet'!$A$36,$K$205^A22,IF(A22='Données projet'!$A$36,'Données projet'!$B$36,N21+M22-V21)))</f>
        <v>154.42333333333335</v>
      </c>
      <c r="O22" s="13">
        <f>N22*VLOOKUP('Données projet'!$B$9,Paramètres!$A$1:$I$89,3,0)*VLOOKUP('Données projet'!$B$9,Paramètres!$A$1:$I$89,5,0)</f>
        <v>86.322643333333346</v>
      </c>
      <c r="P22" s="13">
        <f t="shared" si="33"/>
        <v>23.676193291195577</v>
      </c>
      <c r="Q22" s="20">
        <f t="shared" si="2"/>
        <v>191.58130712105455</v>
      </c>
      <c r="R22" s="59">
        <f t="shared" si="0"/>
        <v>471.47019600994338</v>
      </c>
      <c r="S22" s="59">
        <f ca="1">AVERAGE(OFFSET($R$3,0,0,'Données projet'!$E$9+1,1))-AVERAGE(OFFSET($H$3,0,0,'Données projet'!$E$9+1,1))</f>
        <v>404.65492118472037</v>
      </c>
      <c r="T22" s="59">
        <f t="shared" si="34"/>
        <v>534.22295841722166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16.555946972464156</v>
      </c>
      <c r="AB22" s="21">
        <f>EXP(-LN(2)/2)*AB21+(1-EXP(-LN(2)/2))/(LN(2)/2)*V22*Y22*VLOOKUP('Données projet'!$B$9,Paramètres!$A$1:$I$89,3,0)*0.475*44/12</f>
        <v>14.733391513686975</v>
      </c>
      <c r="AC22" s="22">
        <f t="shared" si="3"/>
        <v>31.289338486151131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8.0650000000000013</v>
      </c>
      <c r="AI22" s="13">
        <f>IF('Données projet'!$A$62&gt;35,AI21+AH22-AQ21,IF(A22&lt;'Données projet'!$A$62,$AF$205^A22,IF(A22='Données projet'!$A$62,'Données projet'!$B$62,AI21+AH22-AQ21)))</f>
        <v>153.23499999999999</v>
      </c>
      <c r="AJ22" s="13">
        <f>AI22*VLOOKUP('Données projet'!$B$10,Paramètres!$A$1:$I$89,3,0)*VLOOKUP('Données projet'!$B$10,Paramètres!$A$1:$I$89,5,0)</f>
        <v>71.713979999999992</v>
      </c>
      <c r="AK22" s="13">
        <f t="shared" si="35"/>
        <v>20.098498108543062</v>
      </c>
      <c r="AL22" s="20">
        <f t="shared" si="4"/>
        <v>159.90673270571247</v>
      </c>
      <c r="AM22" s="59">
        <f t="shared" si="5"/>
        <v>439.79562159460136</v>
      </c>
      <c r="AN22" s="59">
        <f ca="1">AVERAGE(OFFSET($AM$3,0,0,'Données projet'!$E$10+1,1))-AVERAGE(OFFSET($H$3,0,0,'Données projet'!$E$10+1,1))</f>
        <v>331.17634116262298</v>
      </c>
      <c r="AO22" s="59">
        <f t="shared" si="36"/>
        <v>286.28916368940605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14.833333333333334</v>
      </c>
      <c r="BD22" s="12">
        <f>IF('Données projet'!$A$88&gt;35,BD21+BC22-BL21,IF(A22&lt;'Données projet'!$A$88,$BA$205^A22,IF(A22='Données projet'!$A$88,'Données projet'!$B$88,BD21+BC22-BL21)))</f>
        <v>109.83333333333334</v>
      </c>
      <c r="BE22" s="13">
        <f>BD22*VLOOKUP('Données projet'!$B$11,Paramètres!$A$1:$I$89,3,0)*VLOOKUP('Données projet'!$B$11,Paramètres!$A$1:$I$89,5,0)</f>
        <v>59.969000000000008</v>
      </c>
      <c r="BF22" s="13">
        <f t="shared" si="37"/>
        <v>17.160431004145448</v>
      </c>
      <c r="BG22" s="20">
        <f t="shared" si="7"/>
        <v>134.33375899888668</v>
      </c>
      <c r="BH22" s="59">
        <f t="shared" si="8"/>
        <v>414.22264788777557</v>
      </c>
      <c r="BI22" s="59">
        <f ca="1">AVERAGE(OFFSET($BH$3,0,0,'Données projet'!$E$11+1,1))-AVERAGE(OFFSET($H$3,0,0,'Données projet'!$E$11+1,1))</f>
        <v>165.87377022031535</v>
      </c>
      <c r="BJ22" s="59">
        <f t="shared" si="38"/>
        <v>272.91122662088929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6.8956584591253423</v>
      </c>
      <c r="BQ22" s="21">
        <f>EXP(-LN(2)/25)*BQ21+(1-EXP(-LN(2)/25))/(LN(2)/25)*Calculateur!BL22*Calculateur!BN22*VLOOKUP('Données projet'!$B$11,Paramètres!$A$1:$I$89,3,0)*0.475*44/12</f>
        <v>18.375578652927224</v>
      </c>
      <c r="BR22" s="21">
        <f>EXP(-LN(2)/2)*BR21+(1-EXP(-LN(2)/2))/(LN(2)/2)*BL22*BO22*VLOOKUP('Données projet'!$B$11,Paramètres!$A$1:$I$89,3,0)*0.475*44/12</f>
        <v>9.5228340778768867</v>
      </c>
      <c r="BS22" s="22">
        <f t="shared" si="9"/>
        <v>34.794071189929454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4.8385294117647053</v>
      </c>
      <c r="BY22" s="12">
        <f>IF('Données projet'!$A$114&gt;35,BY21+BX22-CG21,IF(A22&lt;'Données projet'!$A$114,$BV$205^A22,IF(A22='Données projet'!$A$114,'Données projet'!$B$114,BY21+BX22-CG21)))</f>
        <v>17.316511444924938</v>
      </c>
      <c r="BZ22" s="13">
        <f>BY22*VLOOKUP('Données projet'!$B$12,Paramètres!$A$1:$I$89,3,0)*VLOOKUP('Données projet'!$B$12,Paramètres!$A$1:$I$89,5,0)</f>
        <v>15.667979555368083</v>
      </c>
      <c r="CA22" s="13">
        <f t="shared" si="39"/>
        <v>5.2416201864239147</v>
      </c>
      <c r="CB22" s="20">
        <f t="shared" si="10"/>
        <v>36.417552883621063</v>
      </c>
      <c r="CC22" s="59">
        <f t="shared" si="11"/>
        <v>316.30644177250991</v>
      </c>
      <c r="CD22" s="59">
        <f ca="1">AVERAGE(OFFSET($CC$3,0,0,'Données projet'!$E$12+1,1))-AVERAGE(OFFSET($H$3,0,0,'Données projet'!$E$12+1,1))</f>
        <v>639.86968831634636</v>
      </c>
      <c r="CE22" s="59">
        <f t="shared" si="40"/>
        <v>218.1556771431184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9.1019999999999985</v>
      </c>
      <c r="CT22" s="12">
        <f>IF('Données projet'!$A$140&gt;35,CT21+CS22-DB21,IF(A22&lt;'Données projet'!$A$140,$CQ$205^A22,IF(A22='Données projet'!$A$140,'Données projet'!$B$140,CT21+CS22-DB21)))</f>
        <v>78.718000000000004</v>
      </c>
      <c r="CU22" s="17">
        <f>CT22*VLOOKUP('Données projet'!$B$13,Paramètres!$A$1:$I$89,3,0)*VLOOKUP('Données projet'!$B$13,Paramètres!$A$1:$I$89,5,0)</f>
        <v>68.768044800000013</v>
      </c>
      <c r="CV22" s="13">
        <f t="shared" si="41"/>
        <v>19.367204237091215</v>
      </c>
      <c r="CW22" s="20">
        <f t="shared" si="13"/>
        <v>153.50222540626723</v>
      </c>
      <c r="CX22" s="59">
        <f t="shared" si="14"/>
        <v>433.39111429515606</v>
      </c>
      <c r="CY22" s="59">
        <f ca="1">AVERAGE(OFFSET($CX$3,0,0,'Données projet'!$E$13+1,1))-AVERAGE(OFFSET($H$3,0,0,'Données projet'!$E$13+1,1))</f>
        <v>218.76600554860482</v>
      </c>
      <c r="CZ22" s="59">
        <f t="shared" si="42"/>
        <v>264.34840059907702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5.2692857142857141</v>
      </c>
      <c r="DO22" s="12">
        <f>IF('Données projet'!$A$166&gt;35,DO21+DN22-DW21,IF(A22&lt;'Données projet'!$A$166,$DL$205^A22,IF(A22='Données projet'!$A$166,'Données projet'!$B$166,DO21+DN22-DW21)))</f>
        <v>100.11642857142857</v>
      </c>
      <c r="DP22" s="17">
        <f>DO22*VLOOKUP('Données projet'!$B$14,Paramètres!$A$1:$I$89,3,0)*VLOOKUP('Données projet'!$B$14,Paramètres!$A$1:$I$89,5,0)</f>
        <v>85.899895714285719</v>
      </c>
      <c r="DQ22" s="13">
        <f t="shared" si="43"/>
        <v>23.5737111912327</v>
      </c>
      <c r="DR22" s="20">
        <f t="shared" si="16"/>
        <v>190.66653202711123</v>
      </c>
      <c r="DS22" s="59">
        <f t="shared" si="17"/>
        <v>470.55542091600012</v>
      </c>
      <c r="DT22" s="59">
        <f ca="1">AVERAGE(OFFSET($DS$3,0,0,'Données projet'!$E$14+1,1))-AVERAGE(OFFSET($H$3,0,0,'Données projet'!$E$14+1,1))</f>
        <v>442.97490100035287</v>
      </c>
      <c r="DU22" s="59">
        <f t="shared" si="44"/>
        <v>334.36243356457049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9.6</v>
      </c>
      <c r="EJ22" s="12">
        <f>IF('Données projet'!$A$192&gt;35,EJ21+EI22-ER21,IF(A22&lt;'Données projet'!$A$192,$EG$205^A22,IF(A22='Données projet'!$A$192,'Données projet'!$B$192,EJ21+EI22-ER21)))</f>
        <v>75.399999999999991</v>
      </c>
      <c r="EK22" s="17">
        <f>EJ22*VLOOKUP('Données projet'!$B$15,Paramètres!$A$1:$I$89,3,0)*VLOOKUP('Données projet'!$B$15,Paramètres!$A$1:$I$89,5,0)</f>
        <v>58.811999999999998</v>
      </c>
      <c r="EL22" s="13">
        <f t="shared" si="45"/>
        <v>16.86755663452599</v>
      </c>
      <c r="EM22" s="20">
        <f t="shared" si="19"/>
        <v>131.8085611384661</v>
      </c>
      <c r="EN22" s="59">
        <f t="shared" si="20"/>
        <v>411.69745002735499</v>
      </c>
      <c r="EO22" s="59">
        <f ca="1">AVERAGE(OFFSET($EN$3,0,0,'Données projet'!$E$15+1,1))-AVERAGE(OFFSET($H$3,0,0,'Données projet'!$E$15+1,1))</f>
        <v>288.82868507674738</v>
      </c>
      <c r="EP22" s="59">
        <f t="shared" si="46"/>
        <v>283.48738729114024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64.668239999999997</v>
      </c>
      <c r="FG22" s="13">
        <f t="shared" si="47"/>
        <v>18.34335069187722</v>
      </c>
      <c r="FH22" s="20">
        <f t="shared" si="22"/>
        <v>144.57852045501949</v>
      </c>
      <c r="FI22" s="59">
        <f t="shared" si="23"/>
        <v>424.46740934390834</v>
      </c>
      <c r="FJ22" s="59">
        <f ca="1">AVERAGE(OFFSET($FI$3,0,0,'Données projet'!$E$16+1,1))-AVERAGE(OFFSET($H$3,0,0,'Données projet'!$E$16+1,1))</f>
        <v>328.55201074501201</v>
      </c>
      <c r="FK22" s="59">
        <f t="shared" si="48"/>
        <v>321.81422611044985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13.8</v>
      </c>
      <c r="FZ22" s="12">
        <f>IF('Données projet'!$A$244&gt;35,FZ21+FY22-GH21,IF(A22&lt;'Données projet'!$A$244,$FW$205^A22,IF(A22='Données projet'!$A$244,'Données projet'!$B$244,FZ21+FY22-GH21)))</f>
        <v>88.199999999999989</v>
      </c>
      <c r="GA22" s="17">
        <f>FZ22*VLOOKUP('Données projet'!$B$17,Paramètres!$A$1:$I$89,3,0)*VLOOKUP('Données projet'!$B$17,Paramètres!$A$1:$I$89,5,0)</f>
        <v>70.171919999999986</v>
      </c>
      <c r="GB22" s="13">
        <f t="shared" si="49"/>
        <v>19.716145269554726</v>
      </c>
      <c r="GC22" s="20">
        <f t="shared" si="25"/>
        <v>156.55504701114111</v>
      </c>
      <c r="GD22" s="59">
        <f t="shared" si="26"/>
        <v>436.44393590002994</v>
      </c>
      <c r="GE22" s="59">
        <f ca="1">AVERAGE(OFFSET($GD$3,0,0,'Données projet'!$E$17+1,1))-AVERAGE(OFFSET($H$3,0,0,'Données projet'!$E$17+1,1))</f>
        <v>353.37024194969638</v>
      </c>
      <c r="GF22" s="59">
        <f t="shared" si="50"/>
        <v>345.4750813433123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26.933333333333326</v>
      </c>
      <c r="N23" s="13">
        <f>IF('Données projet'!$A$36&gt;35,N22+M23-V22,IF(A23&lt;'Données projet'!$A$36,$K$205^A23,IF(A23='Données projet'!$A$36,'Données projet'!$B$36,N22+M23-V22)))</f>
        <v>181.35666666666668</v>
      </c>
      <c r="O23" s="13">
        <f>N23*VLOOKUP('Données projet'!$B$9,Paramètres!$A$1:$I$89,3,0)*VLOOKUP('Données projet'!$B$9,Paramètres!$A$1:$I$89,5,0)</f>
        <v>101.37837666666667</v>
      </c>
      <c r="P23" s="13">
        <f t="shared" si="33"/>
        <v>27.290114692486956</v>
      </c>
      <c r="Q23" s="20">
        <f t="shared" si="2"/>
        <v>224.0976224505259</v>
      </c>
      <c r="R23" s="59">
        <f t="shared" si="0"/>
        <v>505.20873356163702</v>
      </c>
      <c r="S23" s="59">
        <f ca="1">AVERAGE(OFFSET($R$3,0,0,'Données projet'!$E$9+1,1))-AVERAGE(OFFSET($H$3,0,0,'Données projet'!$E$9+1,1))</f>
        <v>404.65492118472037</v>
      </c>
      <c r="T23" s="59">
        <f t="shared" si="34"/>
        <v>534.22295841722166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16.103223731862712</v>
      </c>
      <c r="AB23" s="21">
        <f>EXP(-LN(2)/2)*AB22+(1-EXP(-LN(2)/2))/(LN(2)/2)*V23*Y23*VLOOKUP('Données projet'!$B$9,Paramètres!$A$1:$I$89,3,0)*0.475*44/12</f>
        <v>10.418081049204392</v>
      </c>
      <c r="AC23" s="22">
        <f t="shared" si="3"/>
        <v>26.521304781067105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8.0650000000000013</v>
      </c>
      <c r="AI23" s="13">
        <f>IF('Données projet'!$A$62&gt;35,AI22+AH23-AQ22,IF(A23&lt;'Données projet'!$A$62,$AF$205^A23,IF(A23='Données projet'!$A$62,'Données projet'!$B$62,AI22+AH23-AQ22)))</f>
        <v>161.29999999999998</v>
      </c>
      <c r="AJ23" s="13">
        <f>AI23*VLOOKUP('Données projet'!$B$10,Paramètres!$A$1:$I$89,3,0)*VLOOKUP('Données projet'!$B$10,Paramètres!$A$1:$I$89,5,0)</f>
        <v>75.488399999999984</v>
      </c>
      <c r="AK23" s="13">
        <f t="shared" si="35"/>
        <v>21.030375525789701</v>
      </c>
      <c r="AL23" s="20">
        <f t="shared" si="4"/>
        <v>168.10353404075036</v>
      </c>
      <c r="AM23" s="59">
        <f t="shared" si="5"/>
        <v>449.21464515186153</v>
      </c>
      <c r="AN23" s="59">
        <f ca="1">AVERAGE(OFFSET($AM$3,0,0,'Données projet'!$E$10+1,1))-AVERAGE(OFFSET($H$3,0,0,'Données projet'!$E$10+1,1))</f>
        <v>331.17634116262298</v>
      </c>
      <c r="AO23" s="59">
        <f t="shared" si="36"/>
        <v>286.28916368940605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14.833333333333334</v>
      </c>
      <c r="BD23" s="12">
        <f>IF('Données projet'!$A$88&gt;35,BD22+BC23-BL22,IF(A23&lt;'Données projet'!$A$88,$BA$205^A23,IF(A23='Données projet'!$A$88,'Données projet'!$B$88,BD22+BC23-BL22)))</f>
        <v>124.66666666666667</v>
      </c>
      <c r="BE23" s="13">
        <f>BD23*VLOOKUP('Données projet'!$B$11,Paramètres!$A$1:$I$89,3,0)*VLOOKUP('Données projet'!$B$11,Paramètres!$A$1:$I$89,5,0)</f>
        <v>68.067999999999998</v>
      </c>
      <c r="BF23" s="13">
        <f t="shared" si="37"/>
        <v>19.192895159755647</v>
      </c>
      <c r="BG23" s="20">
        <f t="shared" si="7"/>
        <v>151.97939240324109</v>
      </c>
      <c r="BH23" s="59">
        <f t="shared" si="8"/>
        <v>433.09050351435224</v>
      </c>
      <c r="BI23" s="59">
        <f ca="1">AVERAGE(OFFSET($BH$3,0,0,'Données projet'!$E$11+1,1))-AVERAGE(OFFSET($H$3,0,0,'Données projet'!$E$11+1,1))</f>
        <v>165.87377022031535</v>
      </c>
      <c r="BJ23" s="59">
        <f t="shared" si="38"/>
        <v>272.91122662088929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6.7604388026782525</v>
      </c>
      <c r="BQ23" s="21">
        <f>EXP(-LN(2)/25)*BQ22+(1-EXP(-LN(2)/25))/(LN(2)/25)*Calculateur!BL23*Calculateur!BN23*VLOOKUP('Données projet'!$B$11,Paramètres!$A$1:$I$89,3,0)*0.475*44/12</f>
        <v>17.873097488333247</v>
      </c>
      <c r="BR23" s="21">
        <f>EXP(-LN(2)/2)*BR22+(1-EXP(-LN(2)/2))/(LN(2)/2)*BL23*BO23*VLOOKUP('Données projet'!$B$11,Paramètres!$A$1:$I$89,3,0)*0.475*44/12</f>
        <v>6.7336605525810906</v>
      </c>
      <c r="BS23" s="22">
        <f t="shared" si="9"/>
        <v>31.367196843592588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4.8385294117647053</v>
      </c>
      <c r="BY23" s="12">
        <f>IF('Données projet'!$A$114&gt;35,BY22+BX23-CG22,IF(A23&lt;'Données projet'!$A$114,$BV$205^A23,IF(A23='Données projet'!$A$114,'Données projet'!$B$114,BY22+BX23-CG22)))</f>
        <v>20.120674288570807</v>
      </c>
      <c r="BZ23" s="13">
        <f>BY23*VLOOKUP('Données projet'!$B$12,Paramètres!$A$1:$I$89,3,0)*VLOOKUP('Données projet'!$B$12,Paramètres!$A$1:$I$89,5,0)</f>
        <v>18.205186096298867</v>
      </c>
      <c r="CA23" s="13">
        <f t="shared" si="39"/>
        <v>5.9849492939870697</v>
      </c>
      <c r="CB23" s="20">
        <f t="shared" si="10"/>
        <v>42.131152471414673</v>
      </c>
      <c r="CC23" s="59">
        <f t="shared" si="11"/>
        <v>323.24226358252582</v>
      </c>
      <c r="CD23" s="59">
        <f ca="1">AVERAGE(OFFSET($CC$3,0,0,'Données projet'!$E$12+1,1))-AVERAGE(OFFSET($H$3,0,0,'Données projet'!$E$12+1,1))</f>
        <v>639.86968831634636</v>
      </c>
      <c r="CE23" s="59">
        <f t="shared" si="40"/>
        <v>218.1556771431184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87.82</v>
      </c>
      <c r="CR23" s="12">
        <f>VLOOKUP(A23,'Données projet'!$A$139:$I$159,9,0)</f>
        <v>9.1019999999999985</v>
      </c>
      <c r="CS23" s="12">
        <f t="array" ref="CS23">INDEX(CR:CR,MIN(IF(ISNUMBER(CR23:CR219),ROW(CR23:CR219),"")))</f>
        <v>9.1019999999999985</v>
      </c>
      <c r="CT23" s="12">
        <f>IF('Données projet'!$A$140&gt;35,CT22+CS23-DB22,IF(A23&lt;'Données projet'!$A$140,$CQ$205^A23,IF(A23='Données projet'!$A$140,'Données projet'!$B$140,CT22+CS23-DB22)))</f>
        <v>87.820000000000007</v>
      </c>
      <c r="CU23" s="17">
        <f>CT23*VLOOKUP('Données projet'!$B$13,Paramètres!$A$1:$I$89,3,0)*VLOOKUP('Données projet'!$B$13,Paramètres!$A$1:$I$89,5,0)</f>
        <v>76.719552000000022</v>
      </c>
      <c r="CV23" s="13">
        <f t="shared" si="41"/>
        <v>21.333153477911772</v>
      </c>
      <c r="CW23" s="20">
        <f t="shared" si="13"/>
        <v>170.77512870736302</v>
      </c>
      <c r="CX23" s="59">
        <f t="shared" si="14"/>
        <v>451.88623981847417</v>
      </c>
      <c r="CY23" s="59">
        <f ca="1">AVERAGE(OFFSET($CX$3,0,0,'Données projet'!$E$13+1,1))-AVERAGE(OFFSET($H$3,0,0,'Données projet'!$E$13+1,1))</f>
        <v>218.76600554860482</v>
      </c>
      <c r="CZ23" s="59">
        <f t="shared" si="42"/>
        <v>264.34840059907702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27.56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5.2692857142857141</v>
      </c>
      <c r="DO23" s="12">
        <f>IF('Données projet'!$A$166&gt;35,DO22+DN23-DW22,IF(A23&lt;'Données projet'!$A$166,$DL$205^A23,IF(A23='Données projet'!$A$166,'Données projet'!$B$166,DO22+DN23-DW22)))</f>
        <v>105.38571428571429</v>
      </c>
      <c r="DP23" s="17">
        <f>DO23*VLOOKUP('Données projet'!$B$14,Paramètres!$A$1:$I$89,3,0)*VLOOKUP('Données projet'!$B$14,Paramètres!$A$1:$I$89,5,0)</f>
        <v>90.420942857142876</v>
      </c>
      <c r="DQ23" s="13">
        <f t="shared" si="43"/>
        <v>24.666718687671793</v>
      </c>
      <c r="DR23" s="20">
        <f t="shared" si="16"/>
        <v>200.44434385721888</v>
      </c>
      <c r="DS23" s="59">
        <f t="shared" si="17"/>
        <v>481.55545496833003</v>
      </c>
      <c r="DT23" s="59">
        <f ca="1">AVERAGE(OFFSET($DS$3,0,0,'Données projet'!$E$14+1,1))-AVERAGE(OFFSET($H$3,0,0,'Données projet'!$E$14+1,1))</f>
        <v>442.97490100035287</v>
      </c>
      <c r="DU23" s="59">
        <f t="shared" si="44"/>
        <v>334.36243356457049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85</v>
      </c>
      <c r="EH23" s="12">
        <f>VLOOKUP(A23,'Données projet'!$A$191:$I$211,9,0)</f>
        <v>9.6</v>
      </c>
      <c r="EI23" s="12">
        <f t="array" ref="EI23">INDEX(EH:EH,MIN(IF(ISNUMBER(EH23:EH219),ROW(EH23:EH219),"")))</f>
        <v>9.6</v>
      </c>
      <c r="EJ23" s="12">
        <f>IF('Données projet'!$A$192&gt;35,EJ22+EI23-ER22,IF(A23&lt;'Données projet'!$A$192,$EG$205^A23,IF(A23='Données projet'!$A$192,'Données projet'!$B$192,EJ22+EI23-ER22)))</f>
        <v>84.999999999999986</v>
      </c>
      <c r="EK23" s="17">
        <f>EJ23*VLOOKUP('Données projet'!$B$15,Paramètres!$A$1:$I$89,3,0)*VLOOKUP('Données projet'!$B$15,Paramètres!$A$1:$I$89,5,0)</f>
        <v>66.3</v>
      </c>
      <c r="EL23" s="13">
        <f t="shared" si="45"/>
        <v>18.751733344032118</v>
      </c>
      <c r="EM23" s="20">
        <f t="shared" si="19"/>
        <v>148.13176890752257</v>
      </c>
      <c r="EN23" s="59">
        <f t="shared" si="20"/>
        <v>429.24288001863374</v>
      </c>
      <c r="EO23" s="59">
        <f ca="1">AVERAGE(OFFSET($EN$3,0,0,'Données projet'!$E$15+1,1))-AVERAGE(OFFSET($H$3,0,0,'Données projet'!$E$15+1,1))</f>
        <v>288.82868507674738</v>
      </c>
      <c r="EP23" s="59">
        <f t="shared" si="46"/>
        <v>283.48738729114024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25</v>
      </c>
      <c r="ES23" s="16">
        <f>IF(ISNA(VLOOKUP(A23,'Données projet'!$A$191:$I$211,5,0)),0%,VLOOKUP(A23,'Données projet'!$A$191:$I$211,5,0)*VLOOKUP('Données projet'!$B$15,Paramètres!$A$1:$I$89,7,0))</f>
        <v>8.6000000000000007E-2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1.8538738264767576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1.8538738264767576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74.786399999999986</v>
      </c>
      <c r="FG23" s="13">
        <f t="shared" si="47"/>
        <v>20.857475351088951</v>
      </c>
      <c r="FH23" s="20">
        <f t="shared" si="22"/>
        <v>166.57974956981323</v>
      </c>
      <c r="FI23" s="59">
        <f t="shared" si="23"/>
        <v>447.6908606809244</v>
      </c>
      <c r="FJ23" s="59">
        <f ca="1">AVERAGE(OFFSET($FI$3,0,0,'Données projet'!$E$16+1,1))-AVERAGE(OFFSET($H$3,0,0,'Données projet'!$E$16+1,1))</f>
        <v>328.55201074501201</v>
      </c>
      <c r="FK23" s="59">
        <f t="shared" si="48"/>
        <v>321.81422611044985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102</v>
      </c>
      <c r="FX23" s="12">
        <f>VLOOKUP(A23,'Données projet'!$A$243:$I$263,9,0)</f>
        <v>13.8</v>
      </c>
      <c r="FY23" s="12">
        <f t="array" ref="FY23">INDEX(FX:FX,MIN(IF(ISNUMBER(FX23:FX219),ROW(FX23:FX219),"")))</f>
        <v>13.8</v>
      </c>
      <c r="FZ23" s="12">
        <f>IF('Données projet'!$A$244&gt;35,FZ22+FY23-GH22,IF(A23&lt;'Données projet'!$A$244,$FW$205^A23,IF(A23='Données projet'!$A$244,'Données projet'!$B$244,FZ22+FY23-GH22)))</f>
        <v>101.99999999999999</v>
      </c>
      <c r="GA23" s="17">
        <f>FZ23*VLOOKUP('Données projet'!$B$17,Paramètres!$A$1:$I$89,3,0)*VLOOKUP('Données projet'!$B$17,Paramètres!$A$1:$I$89,5,0)</f>
        <v>81.151200000000003</v>
      </c>
      <c r="GB23" s="13">
        <f t="shared" si="49"/>
        <v>22.418424032002342</v>
      </c>
      <c r="GC23" s="20">
        <f t="shared" si="25"/>
        <v>180.38376185573739</v>
      </c>
      <c r="GD23" s="59">
        <f t="shared" si="26"/>
        <v>461.49487296684856</v>
      </c>
      <c r="GE23" s="59">
        <f ca="1">AVERAGE(OFFSET($GD$3,0,0,'Données projet'!$E$17+1,1))-AVERAGE(OFFSET($H$3,0,0,'Données projet'!$E$17+1,1))</f>
        <v>353.37024194969638</v>
      </c>
      <c r="GF23" s="59">
        <f t="shared" si="50"/>
        <v>345.4750813433123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35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26.933333333333326</v>
      </c>
      <c r="N24" s="13">
        <f>IF('Données projet'!$A$36&gt;35,N23+M24-V23,IF(A24&lt;'Données projet'!$A$36,$K$205^A24,IF(A24='Données projet'!$A$36,'Données projet'!$B$36,N23+M24-V23)))</f>
        <v>208.29000000000002</v>
      </c>
      <c r="O24" s="13">
        <f>N24*VLOOKUP('Données projet'!$B$9,Paramètres!$A$1:$I$89,3,0)*VLOOKUP('Données projet'!$B$9,Paramètres!$A$1:$I$89,5,0)</f>
        <v>116.43411</v>
      </c>
      <c r="P24" s="13">
        <f t="shared" si="33"/>
        <v>30.841859485988415</v>
      </c>
      <c r="Q24" s="20">
        <f t="shared" si="2"/>
        <v>256.50564685476314</v>
      </c>
      <c r="R24" s="59">
        <f t="shared" si="0"/>
        <v>538.83898018809646</v>
      </c>
      <c r="S24" s="59">
        <f ca="1">AVERAGE(OFFSET($R$3,0,0,'Données projet'!$E$9+1,1))-AVERAGE(OFFSET($H$3,0,0,'Données projet'!$E$9+1,1))</f>
        <v>404.65492118472037</v>
      </c>
      <c r="T24" s="59">
        <f t="shared" si="34"/>
        <v>534.22295841722166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15.662880232083195</v>
      </c>
      <c r="AB24" s="21">
        <f>EXP(-LN(2)/2)*AB23+(1-EXP(-LN(2)/2))/(LN(2)/2)*V24*Y24*VLOOKUP('Données projet'!$B$9,Paramètres!$A$1:$I$89,3,0)*0.475*44/12</f>
        <v>7.3666957568434883</v>
      </c>
      <c r="AC24" s="22">
        <f t="shared" si="3"/>
        <v>23.029575988926684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8.0650000000000013</v>
      </c>
      <c r="AI24" s="13">
        <f>IF('Données projet'!$A$62&gt;35,AI23+AH24-AQ23,IF(A24&lt;'Données projet'!$A$62,$AF$205^A24,IF(A24='Données projet'!$A$62,'Données projet'!$B$62,AI23+AH24-AQ23)))</f>
        <v>169.36499999999998</v>
      </c>
      <c r="AJ24" s="13">
        <f>AI24*VLOOKUP('Données projet'!$B$10,Paramètres!$A$1:$I$89,3,0)*VLOOKUP('Données projet'!$B$10,Paramètres!$A$1:$I$89,5,0)</f>
        <v>79.262819999999991</v>
      </c>
      <c r="AK24" s="13">
        <f t="shared" si="35"/>
        <v>21.956842788421355</v>
      </c>
      <c r="AL24" s="20">
        <f t="shared" si="4"/>
        <v>176.29091268983385</v>
      </c>
      <c r="AM24" s="59">
        <f t="shared" si="5"/>
        <v>458.62424602316719</v>
      </c>
      <c r="AN24" s="59">
        <f ca="1">AVERAGE(OFFSET($AM$3,0,0,'Données projet'!$E$10+1,1))-AVERAGE(OFFSET($H$3,0,0,'Données projet'!$E$10+1,1))</f>
        <v>331.17634116262298</v>
      </c>
      <c r="AO24" s="59">
        <f t="shared" si="36"/>
        <v>286.28916368940605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14.833333333333334</v>
      </c>
      <c r="BD24" s="12">
        <f>IF('Données projet'!$A$88&gt;35,BD23+BC24-BL23,IF(A24&lt;'Données projet'!$A$88,$BA$205^A24,IF(A24='Données projet'!$A$88,'Données projet'!$B$88,BD23+BC24-BL23)))</f>
        <v>139.5</v>
      </c>
      <c r="BE24" s="13">
        <f>BD24*VLOOKUP('Données projet'!$B$11,Paramètres!$A$1:$I$89,3,0)*VLOOKUP('Données projet'!$B$11,Paramètres!$A$1:$I$89,5,0)</f>
        <v>76.167000000000002</v>
      </c>
      <c r="BF24" s="13">
        <f t="shared" si="37"/>
        <v>21.197334531649798</v>
      </c>
      <c r="BG24" s="20">
        <f t="shared" si="7"/>
        <v>169.57621597595673</v>
      </c>
      <c r="BH24" s="59">
        <f t="shared" si="8"/>
        <v>451.90954930929001</v>
      </c>
      <c r="BI24" s="59">
        <f ca="1">AVERAGE(OFFSET($BH$3,0,0,'Données projet'!$E$11+1,1))-AVERAGE(OFFSET($H$3,0,0,'Données projet'!$E$11+1,1))</f>
        <v>165.87377022031535</v>
      </c>
      <c r="BJ24" s="59">
        <f t="shared" si="38"/>
        <v>272.91122662088929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6.6278707212182439</v>
      </c>
      <c r="BQ24" s="21">
        <f>EXP(-LN(2)/25)*BQ23+(1-EXP(-LN(2)/25))/(LN(2)/25)*Calculateur!BL24*Calculateur!BN24*VLOOKUP('Données projet'!$B$11,Paramètres!$A$1:$I$89,3,0)*0.475*44/12</f>
        <v>17.384356697609427</v>
      </c>
      <c r="BR24" s="21">
        <f>EXP(-LN(2)/2)*BR23+(1-EXP(-LN(2)/2))/(LN(2)/2)*BL24*BO24*VLOOKUP('Données projet'!$B$11,Paramètres!$A$1:$I$89,3,0)*0.475*44/12</f>
        <v>4.7614170389384443</v>
      </c>
      <c r="BS24" s="22">
        <f t="shared" si="9"/>
        <v>28.773644457766114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4.8385294117647053</v>
      </c>
      <c r="BY24" s="12">
        <f>IF('Données projet'!$A$114&gt;35,BY23+BX24-CG23,IF(A24&lt;'Données projet'!$A$114,$BV$205^A24,IF(A24='Données projet'!$A$114,'Données projet'!$B$114,BY23+BX24-CG23)))</f>
        <v>23.378931438607047</v>
      </c>
      <c r="BZ24" s="13">
        <f>BY24*VLOOKUP('Données projet'!$B$12,Paramètres!$A$1:$I$89,3,0)*VLOOKUP('Données projet'!$B$12,Paramètres!$A$1:$I$89,5,0)</f>
        <v>21.153257165651656</v>
      </c>
      <c r="CA24" s="13">
        <f t="shared" si="39"/>
        <v>6.8336920222436373</v>
      </c>
      <c r="CB24" s="20">
        <f t="shared" si="10"/>
        <v>48.743936502250968</v>
      </c>
      <c r="CC24" s="59">
        <f t="shared" si="11"/>
        <v>331.07726983558427</v>
      </c>
      <c r="CD24" s="59">
        <f ca="1">AVERAGE(OFFSET($CC$3,0,0,'Données projet'!$E$12+1,1))-AVERAGE(OFFSET($H$3,0,0,'Données projet'!$E$12+1,1))</f>
        <v>639.86968831634636</v>
      </c>
      <c r="CE24" s="59">
        <f t="shared" si="40"/>
        <v>218.1556771431184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8.8460000000000001</v>
      </c>
      <c r="CT24" s="12">
        <f>IF('Données projet'!$A$140&gt;35,CT23+CS24-DB23,IF(A24&lt;'Données projet'!$A$140,$CQ$205^A24,IF(A24='Données projet'!$A$140,'Données projet'!$B$140,CT23+CS24-DB23)))</f>
        <v>69.106000000000009</v>
      </c>
      <c r="CU24" s="17">
        <f>CT24*VLOOKUP('Données projet'!$B$13,Paramètres!$A$1:$I$89,3,0)*VLOOKUP('Données projet'!$B$13,Paramètres!$A$1:$I$89,5,0)</f>
        <v>60.371001600000014</v>
      </c>
      <c r="CV24" s="13">
        <f t="shared" si="41"/>
        <v>17.262036178314684</v>
      </c>
      <c r="CW24" s="20">
        <f t="shared" si="13"/>
        <v>135.21087413056475</v>
      </c>
      <c r="CX24" s="59">
        <f t="shared" si="14"/>
        <v>417.54420746389803</v>
      </c>
      <c r="CY24" s="59">
        <f ca="1">AVERAGE(OFFSET($CX$3,0,0,'Données projet'!$E$13+1,1))-AVERAGE(OFFSET($H$3,0,0,'Données projet'!$E$13+1,1))</f>
        <v>218.76600554860482</v>
      </c>
      <c r="CZ24" s="59">
        <f t="shared" si="42"/>
        <v>264.34840059907702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5.2692857142857141</v>
      </c>
      <c r="DO24" s="12">
        <f>IF('Données projet'!$A$166&gt;35,DO23+DN24-DW23,IF(A24&lt;'Données projet'!$A$166,$DL$205^A24,IF(A24='Données projet'!$A$166,'Données projet'!$B$166,DO23+DN24-DW23)))</f>
        <v>110.655</v>
      </c>
      <c r="DP24" s="17">
        <f>DO24*VLOOKUP('Données projet'!$B$14,Paramètres!$A$1:$I$89,3,0)*VLOOKUP('Données projet'!$B$14,Paramètres!$A$1:$I$89,5,0)</f>
        <v>94.941990000000018</v>
      </c>
      <c r="DQ24" s="13">
        <f t="shared" si="43"/>
        <v>25.753380564567308</v>
      </c>
      <c r="DR24" s="20">
        <f t="shared" si="16"/>
        <v>210.21110373328807</v>
      </c>
      <c r="DS24" s="59">
        <f t="shared" si="17"/>
        <v>492.54443706662141</v>
      </c>
      <c r="DT24" s="59">
        <f ca="1">AVERAGE(OFFSET($DS$3,0,0,'Données projet'!$E$14+1,1))-AVERAGE(OFFSET($H$3,0,0,'Données projet'!$E$14+1,1))</f>
        <v>442.97490100035287</v>
      </c>
      <c r="DU24" s="59">
        <f t="shared" si="44"/>
        <v>334.36243356457049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10.6</v>
      </c>
      <c r="EJ24" s="12">
        <f>IF('Données projet'!$A$192&gt;35,EJ23+EI24-ER23,IF(A24&lt;'Données projet'!$A$192,$EG$205^A24,IF(A24='Données projet'!$A$192,'Données projet'!$B$192,EJ23+EI24-ER23)))</f>
        <v>70.59999999999998</v>
      </c>
      <c r="EK24" s="17">
        <f>EJ24*VLOOKUP('Données projet'!$B$15,Paramètres!$A$1:$I$89,3,0)*VLOOKUP('Données projet'!$B$15,Paramètres!$A$1:$I$89,5,0)</f>
        <v>55.067999999999984</v>
      </c>
      <c r="EL24" s="13">
        <f t="shared" si="45"/>
        <v>15.915148294580479</v>
      </c>
      <c r="EM24" s="20">
        <f t="shared" si="19"/>
        <v>123.62898327972762</v>
      </c>
      <c r="EN24" s="59">
        <f t="shared" si="20"/>
        <v>405.96231661306092</v>
      </c>
      <c r="EO24" s="59">
        <f ca="1">AVERAGE(OFFSET($EN$3,0,0,'Données projet'!$E$15+1,1))-AVERAGE(OFFSET($H$3,0,0,'Données projet'!$E$15+1,1))</f>
        <v>288.82868507674738</v>
      </c>
      <c r="EP24" s="59">
        <f t="shared" si="46"/>
        <v>283.48738729114024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1.81752049149093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1.81752049149093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59.975759999999987</v>
      </c>
      <c r="FG24" s="13">
        <f t="shared" si="47"/>
        <v>17.162140235844557</v>
      </c>
      <c r="FH24" s="20">
        <f t="shared" si="22"/>
        <v>134.34850957742924</v>
      </c>
      <c r="FI24" s="59">
        <f t="shared" si="23"/>
        <v>416.68184291076255</v>
      </c>
      <c r="FJ24" s="59">
        <f ca="1">AVERAGE(OFFSET($FI$3,0,0,'Données projet'!$E$16+1,1))-AVERAGE(OFFSET($H$3,0,0,'Données projet'!$E$16+1,1))</f>
        <v>328.55201074501201</v>
      </c>
      <c r="FK24" s="59">
        <f t="shared" si="48"/>
        <v>321.81422611044985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14.8</v>
      </c>
      <c r="FZ24" s="12">
        <f>IF('Données projet'!$A$244&gt;35,FZ23+FY24-GH23,IF(A24&lt;'Données projet'!$A$244,$FW$205^A24,IF(A24='Données projet'!$A$244,'Données projet'!$B$244,FZ23+FY24-GH23)))</f>
        <v>81.799999999999983</v>
      </c>
      <c r="GA24" s="17">
        <f>FZ24*VLOOKUP('Données projet'!$B$17,Paramètres!$A$1:$I$89,3,0)*VLOOKUP('Données projet'!$B$17,Paramètres!$A$1:$I$89,5,0)</f>
        <v>65.080079999999981</v>
      </c>
      <c r="GB24" s="13">
        <f t="shared" si="49"/>
        <v>18.44653442602603</v>
      </c>
      <c r="GC24" s="20">
        <f t="shared" si="25"/>
        <v>145.47552012532864</v>
      </c>
      <c r="GD24" s="59">
        <f t="shared" si="26"/>
        <v>427.80885345866193</v>
      </c>
      <c r="GE24" s="59">
        <f ca="1">AVERAGE(OFFSET($GD$3,0,0,'Données projet'!$E$17+1,1))-AVERAGE(OFFSET($H$3,0,0,'Données projet'!$E$17+1,1))</f>
        <v>353.37024194969638</v>
      </c>
      <c r="GF24" s="59">
        <f t="shared" si="50"/>
        <v>345.4750813433123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26.933333333333326</v>
      </c>
      <c r="N25" s="13">
        <f>IF('Données projet'!$A$36&gt;35,N24+M25-V24,IF(A25&lt;'Données projet'!$A$36,$K$205^A25,IF(A25='Données projet'!$A$36,'Données projet'!$B$36,N24+M25-V24)))</f>
        <v>235.22333333333336</v>
      </c>
      <c r="O25" s="13">
        <f>N25*VLOOKUP('Données projet'!$B$9,Paramètres!$A$1:$I$89,3,0)*VLOOKUP('Données projet'!$B$9,Paramètres!$A$1:$I$89,5,0)</f>
        <v>131.48984333333334</v>
      </c>
      <c r="P25" s="13">
        <f t="shared" si="33"/>
        <v>34.340389739351416</v>
      </c>
      <c r="Q25" s="20">
        <f t="shared" si="2"/>
        <v>288.82098926825927</v>
      </c>
      <c r="R25" s="59">
        <f t="shared" si="0"/>
        <v>572.37654482381481</v>
      </c>
      <c r="S25" s="59">
        <f ca="1">AVERAGE(OFFSET($R$3,0,0,'Données projet'!$E$9+1,1))-AVERAGE(OFFSET($H$3,0,0,'Données projet'!$E$9+1,1))</f>
        <v>404.65492118472037</v>
      </c>
      <c r="T25" s="59">
        <f t="shared" si="34"/>
        <v>534.22295841722166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15.234577948461807</v>
      </c>
      <c r="AB25" s="21">
        <f>EXP(-LN(2)/2)*AB24+(1-EXP(-LN(2)/2))/(LN(2)/2)*V25*Y25*VLOOKUP('Données projet'!$B$9,Paramètres!$A$1:$I$89,3,0)*0.475*44/12</f>
        <v>5.2090405246021971</v>
      </c>
      <c r="AC25" s="22">
        <f t="shared" si="3"/>
        <v>20.443618473064003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8.0650000000000013</v>
      </c>
      <c r="AI25" s="13">
        <f>IF('Données projet'!$A$62&gt;35,AI24+AH25-AQ24,IF(A25&lt;'Données projet'!$A$62,$AF$205^A25,IF(A25='Données projet'!$A$62,'Données projet'!$B$62,AI24+AH25-AQ24)))</f>
        <v>177.42999999999998</v>
      </c>
      <c r="AJ25" s="13">
        <f>AI25*VLOOKUP('Données projet'!$B$10,Paramètres!$A$1:$I$89,3,0)*VLOOKUP('Données projet'!$B$10,Paramètres!$A$1:$I$89,5,0)</f>
        <v>83.037239999999997</v>
      </c>
      <c r="AK25" s="13">
        <f t="shared" si="35"/>
        <v>22.878186936849833</v>
      </c>
      <c r="AL25" s="20">
        <f t="shared" si="4"/>
        <v>184.4693685816801</v>
      </c>
      <c r="AM25" s="59">
        <f t="shared" si="5"/>
        <v>468.02492413723564</v>
      </c>
      <c r="AN25" s="59">
        <f ca="1">AVERAGE(OFFSET($AM$3,0,0,'Données projet'!$E$10+1,1))-AVERAGE(OFFSET($H$3,0,0,'Données projet'!$E$10+1,1))</f>
        <v>331.17634116262298</v>
      </c>
      <c r="AO25" s="59">
        <f t="shared" si="36"/>
        <v>286.28916368940605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14.833333333333334</v>
      </c>
      <c r="BD25" s="12">
        <f>IF('Données projet'!$A$88&gt;35,BD24+BC25-BL24,IF(A25&lt;'Données projet'!$A$88,$BA$205^A25,IF(A25='Données projet'!$A$88,'Données projet'!$B$88,BD24+BC25-BL24)))</f>
        <v>154.33333333333334</v>
      </c>
      <c r="BE25" s="13">
        <f>BD25*VLOOKUP('Données projet'!$B$11,Paramètres!$A$1:$I$89,3,0)*VLOOKUP('Données projet'!$B$11,Paramètres!$A$1:$I$89,5,0)</f>
        <v>84.26600000000002</v>
      </c>
      <c r="BF25" s="13">
        <f t="shared" si="37"/>
        <v>23.177068640238346</v>
      </c>
      <c r="BG25" s="20">
        <f t="shared" si="7"/>
        <v>187.13001121508182</v>
      </c>
      <c r="BH25" s="59">
        <f t="shared" si="8"/>
        <v>470.68556677063737</v>
      </c>
      <c r="BI25" s="59">
        <f ca="1">AVERAGE(OFFSET($BH$3,0,0,'Données projet'!$E$11+1,1))-AVERAGE(OFFSET($H$3,0,0,'Données projet'!$E$11+1,1))</f>
        <v>165.87377022031535</v>
      </c>
      <c r="BJ25" s="59">
        <f t="shared" si="38"/>
        <v>272.91122662088929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6.4979022189771207</v>
      </c>
      <c r="BQ25" s="21">
        <f>EXP(-LN(2)/25)*BQ24+(1-EXP(-LN(2)/25))/(LN(2)/25)*Calculateur!BL25*Calculateur!BN25*VLOOKUP('Données projet'!$B$11,Paramètres!$A$1:$I$89,3,0)*0.475*44/12</f>
        <v>16.90898054950971</v>
      </c>
      <c r="BR25" s="21">
        <f>EXP(-LN(2)/2)*BR24+(1-EXP(-LN(2)/2))/(LN(2)/2)*BL25*BO25*VLOOKUP('Données projet'!$B$11,Paramètres!$A$1:$I$89,3,0)*0.475*44/12</f>
        <v>3.3668302762905458</v>
      </c>
      <c r="BS25" s="22">
        <f t="shared" si="9"/>
        <v>26.773713044777377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4.8385294117647053</v>
      </c>
      <c r="BY25" s="12">
        <f>IF('Données projet'!$A$114&gt;35,BY24+BX25-CG24,IF(A25&lt;'Données projet'!$A$114,$BV$205^A25,IF(A25='Données projet'!$A$114,'Données projet'!$B$114,BY24+BX25-CG24)))</f>
        <v>27.164817012199283</v>
      </c>
      <c r="BZ25" s="13">
        <f>BY25*VLOOKUP('Données projet'!$B$12,Paramètres!$A$1:$I$89,3,0)*VLOOKUP('Données projet'!$B$12,Paramètres!$A$1:$I$89,5,0)</f>
        <v>24.578726432637907</v>
      </c>
      <c r="CA25" s="13">
        <f t="shared" si="39"/>
        <v>7.8027973773802888</v>
      </c>
      <c r="CB25" s="20">
        <f t="shared" si="10"/>
        <v>56.397820635781677</v>
      </c>
      <c r="CC25" s="59">
        <f t="shared" si="11"/>
        <v>339.95337619133721</v>
      </c>
      <c r="CD25" s="59">
        <f ca="1">AVERAGE(OFFSET($CC$3,0,0,'Données projet'!$E$12+1,1))-AVERAGE(OFFSET($H$3,0,0,'Données projet'!$E$12+1,1))</f>
        <v>639.86968831634636</v>
      </c>
      <c r="CE25" s="59">
        <f t="shared" si="40"/>
        <v>218.1556771431184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8.8460000000000001</v>
      </c>
      <c r="CT25" s="12">
        <f>IF('Données projet'!$A$140&gt;35,CT24+CS25-DB24,IF(A25&lt;'Données projet'!$A$140,$CQ$205^A25,IF(A25='Données projet'!$A$140,'Données projet'!$B$140,CT24+CS25-DB24)))</f>
        <v>77.952000000000012</v>
      </c>
      <c r="CU25" s="17">
        <f>CT25*VLOOKUP('Données projet'!$B$13,Paramètres!$A$1:$I$89,3,0)*VLOOKUP('Données projet'!$B$13,Paramètres!$A$1:$I$89,5,0)</f>
        <v>68.098867200000015</v>
      </c>
      <c r="CV25" s="13">
        <f t="shared" si="41"/>
        <v>19.200585383642359</v>
      </c>
      <c r="CW25" s="20">
        <f t="shared" si="13"/>
        <v>152.04654658317713</v>
      </c>
      <c r="CX25" s="59">
        <f t="shared" si="14"/>
        <v>435.60210213873268</v>
      </c>
      <c r="CY25" s="59">
        <f ca="1">AVERAGE(OFFSET($CX$3,0,0,'Données projet'!$E$13+1,1))-AVERAGE(OFFSET($H$3,0,0,'Données projet'!$E$13+1,1))</f>
        <v>218.76600554860482</v>
      </c>
      <c r="CZ25" s="59">
        <f t="shared" si="42"/>
        <v>264.34840059907702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5.2692857142857141</v>
      </c>
      <c r="DO25" s="12">
        <f>IF('Données projet'!$A$166&gt;35,DO24+DN25-DW24,IF(A25&lt;'Données projet'!$A$166,$DL$205^A25,IF(A25='Données projet'!$A$166,'Données projet'!$B$166,DO24+DN25-DW24)))</f>
        <v>115.92428571428572</v>
      </c>
      <c r="DP25" s="17">
        <f>DO25*VLOOKUP('Données projet'!$B$14,Paramètres!$A$1:$I$89,3,0)*VLOOKUP('Données projet'!$B$14,Paramètres!$A$1:$I$89,5,0)</f>
        <v>99.463037142857161</v>
      </c>
      <c r="DQ25" s="13">
        <f t="shared" si="43"/>
        <v>26.834033494228422</v>
      </c>
      <c r="DR25" s="20">
        <f t="shared" si="16"/>
        <v>219.96739802625737</v>
      </c>
      <c r="DS25" s="59">
        <f t="shared" si="17"/>
        <v>503.52295358181289</v>
      </c>
      <c r="DT25" s="59">
        <f ca="1">AVERAGE(OFFSET($DS$3,0,0,'Données projet'!$E$14+1,1))-AVERAGE(OFFSET($H$3,0,0,'Données projet'!$E$14+1,1))</f>
        <v>442.97490100035287</v>
      </c>
      <c r="DU25" s="59">
        <f t="shared" si="44"/>
        <v>334.36243356457049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10.6</v>
      </c>
      <c r="EJ25" s="12">
        <f>IF('Données projet'!$A$192&gt;35,EJ24+EI25-ER24,IF(A25&lt;'Données projet'!$A$192,$EG$205^A25,IF(A25='Données projet'!$A$192,'Données projet'!$B$192,EJ24+EI25-ER24)))</f>
        <v>81.199999999999974</v>
      </c>
      <c r="EK25" s="17">
        <f>EJ25*VLOOKUP('Données projet'!$B$15,Paramètres!$A$1:$I$89,3,0)*VLOOKUP('Données projet'!$B$15,Paramètres!$A$1:$I$89,5,0)</f>
        <v>63.335999999999984</v>
      </c>
      <c r="EL25" s="13">
        <f t="shared" si="45"/>
        <v>18.009040022946227</v>
      </c>
      <c r="EM25" s="20">
        <f t="shared" si="19"/>
        <v>141.67594470663133</v>
      </c>
      <c r="EN25" s="59">
        <f t="shared" si="20"/>
        <v>425.23150026218684</v>
      </c>
      <c r="EO25" s="59">
        <f ca="1">AVERAGE(OFFSET($EN$3,0,0,'Données projet'!$E$15+1,1))-AVERAGE(OFFSET($H$3,0,0,'Données projet'!$E$15+1,1))</f>
        <v>288.82868507674738</v>
      </c>
      <c r="EP25" s="59">
        <f t="shared" si="46"/>
        <v>283.48738729114024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1.7818800232308296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1.7818800232308296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70.827119999999979</v>
      </c>
      <c r="FG25" s="13">
        <f t="shared" si="47"/>
        <v>19.878719982140016</v>
      </c>
      <c r="FH25" s="20">
        <f t="shared" si="22"/>
        <v>157.97933796889382</v>
      </c>
      <c r="FI25" s="59">
        <f t="shared" si="23"/>
        <v>441.53489352444933</v>
      </c>
      <c r="FJ25" s="59">
        <f ca="1">AVERAGE(OFFSET($FI$3,0,0,'Données projet'!$E$16+1,1))-AVERAGE(OFFSET($H$3,0,0,'Données projet'!$E$16+1,1))</f>
        <v>328.55201074501201</v>
      </c>
      <c r="FK25" s="59">
        <f t="shared" si="48"/>
        <v>321.81422611044985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14.8</v>
      </c>
      <c r="FZ25" s="12">
        <f>IF('Données projet'!$A$244&gt;35,FZ24+FY25-GH24,IF(A25&lt;'Données projet'!$A$244,$FW$205^A25,IF(A25='Données projet'!$A$244,'Données projet'!$B$244,FZ24+FY25-GH24)))</f>
        <v>96.59999999999998</v>
      </c>
      <c r="GA25" s="17">
        <f>FZ25*VLOOKUP('Données projet'!$B$17,Paramètres!$A$1:$I$89,3,0)*VLOOKUP('Données projet'!$B$17,Paramètres!$A$1:$I$89,5,0)</f>
        <v>76.854959999999991</v>
      </c>
      <c r="GB25" s="13">
        <f t="shared" si="49"/>
        <v>21.366419773799993</v>
      </c>
      <c r="GC25" s="20">
        <f t="shared" si="25"/>
        <v>171.06890310603498</v>
      </c>
      <c r="GD25" s="59">
        <f t="shared" si="26"/>
        <v>454.62445866159055</v>
      </c>
      <c r="GE25" s="59">
        <f ca="1">AVERAGE(OFFSET($GD$3,0,0,'Données projet'!$E$17+1,1))-AVERAGE(OFFSET($H$3,0,0,'Données projet'!$E$17+1,1))</f>
        <v>353.37024194969638</v>
      </c>
      <c r="GF25" s="59">
        <f t="shared" si="50"/>
        <v>345.4750813433123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26.933333333333326</v>
      </c>
      <c r="N26" s="13">
        <f>IF('Données projet'!$A$36&gt;35,N25+M26-V25,IF(A26&lt;'Données projet'!$A$36,$K$205^A26,IF(A26='Données projet'!$A$36,'Données projet'!$B$36,N25+M26-V25)))</f>
        <v>262.15666666666669</v>
      </c>
      <c r="O26" s="13">
        <f>N26*VLOOKUP('Données projet'!$B$9,Paramètres!$A$1:$I$89,3,0)*VLOOKUP('Données projet'!$B$9,Paramètres!$A$1:$I$89,5,0)</f>
        <v>146.5455766666667</v>
      </c>
      <c r="P26" s="13">
        <f t="shared" si="33"/>
        <v>37.792494205249398</v>
      </c>
      <c r="Q26" s="20">
        <f t="shared" si="2"/>
        <v>321.05547343525387</v>
      </c>
      <c r="R26" s="59">
        <f t="shared" si="0"/>
        <v>605.83325121303164</v>
      </c>
      <c r="S26" s="59">
        <f ca="1">AVERAGE(OFFSET($R$3,0,0,'Données projet'!$E$9+1,1))-AVERAGE(OFFSET($H$3,0,0,'Données projet'!$E$9+1,1))</f>
        <v>404.65492118472037</v>
      </c>
      <c r="T26" s="59">
        <f t="shared" si="34"/>
        <v>534.22295841722166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14.817987613309484</v>
      </c>
      <c r="AB26" s="21">
        <f>EXP(-LN(2)/2)*AB25+(1-EXP(-LN(2)/2))/(LN(2)/2)*V26*Y26*VLOOKUP('Données projet'!$B$9,Paramètres!$A$1:$I$89,3,0)*0.475*44/12</f>
        <v>3.6833478784217446</v>
      </c>
      <c r="AC26" s="22">
        <f t="shared" si="3"/>
        <v>18.501335491731229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8.0650000000000013</v>
      </c>
      <c r="AI26" s="13">
        <f>IF('Données projet'!$A$62&gt;35,AI25+AH26-AQ25,IF(A26&lt;'Données projet'!$A$62,$AF$205^A26,IF(A26='Données projet'!$A$62,'Données projet'!$B$62,AI25+AH26-AQ25)))</f>
        <v>185.49499999999998</v>
      </c>
      <c r="AJ26" s="13">
        <f>AI26*VLOOKUP('Données projet'!$B$10,Paramètres!$A$1:$I$89,3,0)*VLOOKUP('Données projet'!$B$10,Paramètres!$A$1:$I$89,5,0)</f>
        <v>86.811659999999989</v>
      </c>
      <c r="AK26" s="13">
        <f t="shared" si="35"/>
        <v>23.794667441874584</v>
      </c>
      <c r="AL26" s="20">
        <f t="shared" si="4"/>
        <v>192.63935362793154</v>
      </c>
      <c r="AM26" s="59">
        <f t="shared" si="5"/>
        <v>477.41713140570931</v>
      </c>
      <c r="AN26" s="59">
        <f ca="1">AVERAGE(OFFSET($AM$3,0,0,'Données projet'!$E$10+1,1))-AVERAGE(OFFSET($H$3,0,0,'Données projet'!$E$10+1,1))</f>
        <v>331.17634116262298</v>
      </c>
      <c r="AO26" s="59">
        <f t="shared" si="36"/>
        <v>286.28916368940605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14.833333333333334</v>
      </c>
      <c r="BD26" s="12">
        <f>IF('Données projet'!$A$88&gt;35,BD25+BC26-BL25,IF(A26&lt;'Données projet'!$A$88,$BA$205^A26,IF(A26='Données projet'!$A$88,'Données projet'!$B$88,BD25+BC26-BL25)))</f>
        <v>169.16666666666669</v>
      </c>
      <c r="BE26" s="13">
        <f>BD26*VLOOKUP('Données projet'!$B$11,Paramètres!$A$1:$I$89,3,0)*VLOOKUP('Données projet'!$B$11,Paramètres!$A$1:$I$89,5,0)</f>
        <v>92.365000000000023</v>
      </c>
      <c r="BF26" s="13">
        <f t="shared" si="37"/>
        <v>25.134742136663231</v>
      </c>
      <c r="BG26" s="20">
        <f t="shared" si="7"/>
        <v>204.64538422135516</v>
      </c>
      <c r="BH26" s="59">
        <f t="shared" si="8"/>
        <v>489.42316199913296</v>
      </c>
      <c r="BI26" s="59">
        <f ca="1">AVERAGE(OFFSET($BH$3,0,0,'Données projet'!$E$11+1,1))-AVERAGE(OFFSET($H$3,0,0,'Données projet'!$E$11+1,1))</f>
        <v>165.87377022031535</v>
      </c>
      <c r="BJ26" s="59">
        <f t="shared" si="38"/>
        <v>272.91122662088929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6.3704823197919866</v>
      </c>
      <c r="BQ26" s="21">
        <f>EXP(-LN(2)/25)*BQ25+(1-EXP(-LN(2)/25))/(LN(2)/25)*Calculateur!BL26*Calculateur!BN26*VLOOKUP('Données projet'!$B$11,Paramètres!$A$1:$I$89,3,0)*0.475*44/12</f>
        <v>16.446603587178725</v>
      </c>
      <c r="BR26" s="21">
        <f>EXP(-LN(2)/2)*BR25+(1-EXP(-LN(2)/2))/(LN(2)/2)*BL26*BO26*VLOOKUP('Données projet'!$B$11,Paramètres!$A$1:$I$89,3,0)*0.475*44/12</f>
        <v>2.3807085194692226</v>
      </c>
      <c r="BS26" s="22">
        <f t="shared" si="9"/>
        <v>25.197794426439934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4.8385294117647053</v>
      </c>
      <c r="BY26" s="12">
        <f>IF('Données projet'!$A$114&gt;35,BY25+BX26-CG25,IF(A26&lt;'Données projet'!$A$114,$BV$205^A26,IF(A26='Données projet'!$A$114,'Données projet'!$B$114,BY25+BX26-CG25)))</f>
        <v>31.563772931370483</v>
      </c>
      <c r="BZ26" s="13">
        <f>BY26*VLOOKUP('Données projet'!$B$12,Paramètres!$A$1:$I$89,3,0)*VLOOKUP('Données projet'!$B$12,Paramètres!$A$1:$I$89,5,0)</f>
        <v>28.55890174830401</v>
      </c>
      <c r="CA26" s="13">
        <f t="shared" si="39"/>
        <v>8.9093343267851051</v>
      </c>
      <c r="CB26" s="20">
        <f t="shared" si="10"/>
        <v>65.257177830780208</v>
      </c>
      <c r="CC26" s="59">
        <f t="shared" si="11"/>
        <v>350.03495560855799</v>
      </c>
      <c r="CD26" s="59">
        <f ca="1">AVERAGE(OFFSET($CC$3,0,0,'Données projet'!$E$12+1,1))-AVERAGE(OFFSET($H$3,0,0,'Données projet'!$E$12+1,1))</f>
        <v>639.86968831634636</v>
      </c>
      <c r="CE26" s="59">
        <f t="shared" si="40"/>
        <v>218.1556771431184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8.8460000000000001</v>
      </c>
      <c r="CT26" s="12">
        <f>IF('Données projet'!$A$140&gt;35,CT25+CS26-DB25,IF(A26&lt;'Données projet'!$A$140,$CQ$205^A26,IF(A26='Données projet'!$A$140,'Données projet'!$B$140,CT25+CS26-DB25)))</f>
        <v>86.798000000000016</v>
      </c>
      <c r="CU26" s="17">
        <f>CT26*VLOOKUP('Données projet'!$B$13,Paramètres!$A$1:$I$89,3,0)*VLOOKUP('Données projet'!$B$13,Paramètres!$A$1:$I$89,5,0)</f>
        <v>75.826732800000016</v>
      </c>
      <c r="CV26" s="13">
        <f t="shared" si="41"/>
        <v>21.113638804126253</v>
      </c>
      <c r="CW26" s="20">
        <f t="shared" si="13"/>
        <v>168.83781387718656</v>
      </c>
      <c r="CX26" s="59">
        <f t="shared" si="14"/>
        <v>453.61559165496431</v>
      </c>
      <c r="CY26" s="59">
        <f ca="1">AVERAGE(OFFSET($CX$3,0,0,'Données projet'!$E$13+1,1))-AVERAGE(OFFSET($H$3,0,0,'Données projet'!$E$13+1,1))</f>
        <v>218.76600554860482</v>
      </c>
      <c r="CZ26" s="59">
        <f t="shared" si="42"/>
        <v>264.34840059907702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5.2692857142857141</v>
      </c>
      <c r="DO26" s="12">
        <f>IF('Données projet'!$A$166&gt;35,DO25+DN26-DW25,IF(A26&lt;'Données projet'!$A$166,$DL$205^A26,IF(A26='Données projet'!$A$166,'Données projet'!$B$166,DO25+DN26-DW25)))</f>
        <v>121.19357142857143</v>
      </c>
      <c r="DP26" s="17">
        <f>DO26*VLOOKUP('Données projet'!$B$14,Paramètres!$A$1:$I$89,3,0)*VLOOKUP('Données projet'!$B$14,Paramètres!$A$1:$I$89,5,0)</f>
        <v>103.9840842857143</v>
      </c>
      <c r="DQ26" s="13">
        <f t="shared" si="43"/>
        <v>27.908981812315197</v>
      </c>
      <c r="DR26" s="20">
        <f t="shared" si="16"/>
        <v>229.71375678740137</v>
      </c>
      <c r="DS26" s="59">
        <f t="shared" si="17"/>
        <v>514.49153456517911</v>
      </c>
      <c r="DT26" s="59">
        <f ca="1">AVERAGE(OFFSET($DS$3,0,0,'Données projet'!$E$14+1,1))-AVERAGE(OFFSET($H$3,0,0,'Données projet'!$E$14+1,1))</f>
        <v>442.97490100035287</v>
      </c>
      <c r="DU26" s="59">
        <f t="shared" si="44"/>
        <v>334.36243356457049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10.6</v>
      </c>
      <c r="EJ26" s="12">
        <f>IF('Données projet'!$A$192&gt;35,EJ25+EI26-ER25,IF(A26&lt;'Données projet'!$A$192,$EG$205^A26,IF(A26='Données projet'!$A$192,'Données projet'!$B$192,EJ25+EI26-ER25)))</f>
        <v>91.799999999999969</v>
      </c>
      <c r="EK26" s="17">
        <f>EJ26*VLOOKUP('Données projet'!$B$15,Paramètres!$A$1:$I$89,3,0)*VLOOKUP('Données projet'!$B$15,Paramètres!$A$1:$I$89,5,0)</f>
        <v>71.603999999999985</v>
      </c>
      <c r="EL26" s="13">
        <f t="shared" si="45"/>
        <v>20.071260561992585</v>
      </c>
      <c r="EM26" s="20">
        <f t="shared" si="19"/>
        <v>159.66774547880371</v>
      </c>
      <c r="EN26" s="59">
        <f t="shared" si="20"/>
        <v>444.44552325658151</v>
      </c>
      <c r="EO26" s="59">
        <f ca="1">AVERAGE(OFFSET($EN$3,0,0,'Données projet'!$E$15+1,1))-AVERAGE(OFFSET($H$3,0,0,'Données projet'!$E$15+1,1))</f>
        <v>288.82868507674738</v>
      </c>
      <c r="EP26" s="59">
        <f t="shared" si="46"/>
        <v>283.48738729114024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1.7469384428147707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1.7469384428147707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81.678479999999993</v>
      </c>
      <c r="FG26" s="13">
        <f t="shared" si="47"/>
        <v>22.547083950915322</v>
      </c>
      <c r="FH26" s="20">
        <f t="shared" si="22"/>
        <v>181.52619054784418</v>
      </c>
      <c r="FI26" s="59">
        <f t="shared" si="23"/>
        <v>466.30396832562195</v>
      </c>
      <c r="FJ26" s="59">
        <f ca="1">AVERAGE(OFFSET($FI$3,0,0,'Données projet'!$E$16+1,1))-AVERAGE(OFFSET($H$3,0,0,'Données projet'!$E$16+1,1))</f>
        <v>328.55201074501201</v>
      </c>
      <c r="FK26" s="59">
        <f t="shared" si="48"/>
        <v>321.81422611044985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14.8</v>
      </c>
      <c r="FZ26" s="12">
        <f>IF('Données projet'!$A$244&gt;35,FZ25+FY26-GH25,IF(A26&lt;'Données projet'!$A$244,$FW$205^A26,IF(A26='Données projet'!$A$244,'Données projet'!$B$244,FZ25+FY26-GH25)))</f>
        <v>111.39999999999998</v>
      </c>
      <c r="GA26" s="17">
        <f>FZ26*VLOOKUP('Données projet'!$B$17,Paramètres!$A$1:$I$89,3,0)*VLOOKUP('Données projet'!$B$17,Paramètres!$A$1:$I$89,5,0)</f>
        <v>88.629839999999987</v>
      </c>
      <c r="GB26" s="13">
        <f t="shared" si="49"/>
        <v>24.23448093253452</v>
      </c>
      <c r="GC26" s="20">
        <f t="shared" si="25"/>
        <v>196.57202562416424</v>
      </c>
      <c r="GD26" s="59">
        <f t="shared" si="26"/>
        <v>481.34980340194204</v>
      </c>
      <c r="GE26" s="59">
        <f ca="1">AVERAGE(OFFSET($GD$3,0,0,'Données projet'!$E$17+1,1))-AVERAGE(OFFSET($H$3,0,0,'Données projet'!$E$17+1,1))</f>
        <v>353.37024194969638</v>
      </c>
      <c r="GF26" s="59">
        <f t="shared" si="50"/>
        <v>345.4750813433123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289.08999999999997</v>
      </c>
      <c r="L27" s="12">
        <f>VLOOKUP(A27,'Données projet'!$A$35:$I$55,9,0)</f>
        <v>26.933333333333326</v>
      </c>
      <c r="M27" s="12">
        <f t="array" ref="M27">INDEX(L:L,MIN(IF(ISNUMBER(L27:L223),ROW(L27:L223),"")))</f>
        <v>26.933333333333326</v>
      </c>
      <c r="N27" s="13">
        <f>IF('Données projet'!$A$36&gt;35,N26+M27-V26,IF(A27&lt;'Données projet'!$A$36,$K$205^A27,IF(A27='Données projet'!$A$36,'Données projet'!$B$36,N26+M27-V26)))</f>
        <v>289.09000000000003</v>
      </c>
      <c r="O27" s="13">
        <f>N27*VLOOKUP('Données projet'!$B$9,Paramètres!$A$1:$I$89,3,0)*VLOOKUP('Données projet'!$B$9,Paramètres!$A$1:$I$89,5,0)</f>
        <v>161.60131000000001</v>
      </c>
      <c r="P27" s="13">
        <f t="shared" si="33"/>
        <v>41.203485747561459</v>
      </c>
      <c r="Q27" s="20">
        <f t="shared" si="2"/>
        <v>353.21835259366952</v>
      </c>
      <c r="R27" s="59">
        <f t="shared" si="0"/>
        <v>639.21835259366958</v>
      </c>
      <c r="S27" s="59">
        <f ca="1">AVERAGE(OFFSET($R$3,0,0,'Données projet'!$E$9+1,1))-AVERAGE(OFFSET($H$3,0,0,'Données projet'!$E$9+1,1))</f>
        <v>404.65492118472037</v>
      </c>
      <c r="T27" s="59">
        <f t="shared" si="34"/>
        <v>534.22295841722166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0.24750000000000003</v>
      </c>
      <c r="Y27" s="16">
        <f>IF(ISNA(VLOOKUP(A27,'Données projet'!$A$35:$I$55,7,0)),0%,VLOOKUP(A27,'Données projet'!$A$35:$I$55,7,0))</f>
        <v>0.35</v>
      </c>
      <c r="Z27" s="21">
        <f>EXP(-LN(2)/35)*Z26+(1-EXP(-LN(2)/35))/(LN(2)/35)*V27*W27*VLOOKUP('Données projet'!$B$9,Paramètres!$A$1:$I$89,3,0)*0.475*44/12</f>
        <v>4.1919053414761853</v>
      </c>
      <c r="AA27" s="21">
        <f>EXP(-LN(2)/25)*AA26+(1-EXP(-LN(2)/25))/(LN(2)/25)*Calculateur!V27*Calculateur!X27*VLOOKUP('Données projet'!$B$9,Paramètres!$A$1:$I$89,3,0)*0.475*44/12</f>
        <v>23.807439441817117</v>
      </c>
      <c r="AB27" s="21">
        <f>EXP(-LN(2)/2)*AB26+(1-EXP(-LN(2)/2))/(LN(2)/2)*V27*Y27*VLOOKUP('Données projet'!$B$9,Paramètres!$A$1:$I$89,3,0)*0.475*44/12</f>
        <v>13.988497248979114</v>
      </c>
      <c r="AC27" s="22">
        <f t="shared" si="3"/>
        <v>41.987842032272418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8.0650000000000013</v>
      </c>
      <c r="AI27" s="13">
        <f>IF('Données projet'!$A$62&gt;35,AI26+AH27-AQ26,IF(A27&lt;'Données projet'!$A$62,$AF$205^A27,IF(A27='Données projet'!$A$62,'Données projet'!$B$62,AI26+AH27-AQ26)))</f>
        <v>193.55999999999997</v>
      </c>
      <c r="AJ27" s="13">
        <f>AI27*VLOOKUP('Données projet'!$B$10,Paramètres!$A$1:$I$89,3,0)*VLOOKUP('Données projet'!$B$10,Paramètres!$A$1:$I$89,5,0)</f>
        <v>90.586079999999995</v>
      </c>
      <c r="AK27" s="13">
        <f t="shared" si="35"/>
        <v>24.706519935696416</v>
      </c>
      <c r="AL27" s="20">
        <f t="shared" si="4"/>
        <v>200.80127822133792</v>
      </c>
      <c r="AM27" s="59">
        <f t="shared" si="5"/>
        <v>486.80127822133795</v>
      </c>
      <c r="AN27" s="59">
        <f ca="1">AVERAGE(OFFSET($AM$3,0,0,'Données projet'!$E$10+1,1))-AVERAGE(OFFSET($H$3,0,0,'Données projet'!$E$10+1,1))</f>
        <v>331.17634116262298</v>
      </c>
      <c r="AO27" s="59">
        <f t="shared" si="36"/>
        <v>286.28916368940605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184</v>
      </c>
      <c r="BB27" s="12">
        <f>VLOOKUP(A27,'Données projet'!$A$87:$I$107,9,0)</f>
        <v>14.833333333333334</v>
      </c>
      <c r="BC27" s="12">
        <f t="array" ref="BC27">INDEX(BB:BB,MIN(IF(ISNUMBER(BB27:BB223),ROW(BB27:BB223),"")))</f>
        <v>14.833333333333334</v>
      </c>
      <c r="BD27" s="12">
        <f>IF('Données projet'!$A$88&gt;35,BD26+BC27-BL26,IF(A27&lt;'Données projet'!$A$88,$BA$205^A27,IF(A27='Données projet'!$A$88,'Données projet'!$B$88,BD26+BC27-BL26)))</f>
        <v>184.00000000000003</v>
      </c>
      <c r="BE27" s="13">
        <f>BD27*VLOOKUP('Données projet'!$B$11,Paramètres!$A$1:$I$89,3,0)*VLOOKUP('Données projet'!$B$11,Paramètres!$A$1:$I$89,5,0)</f>
        <v>100.46400000000003</v>
      </c>
      <c r="BF27" s="13">
        <f t="shared" si="37"/>
        <v>27.072509349827477</v>
      </c>
      <c r="BG27" s="20">
        <f t="shared" si="7"/>
        <v>222.12608711761621</v>
      </c>
      <c r="BH27" s="59">
        <f t="shared" si="8"/>
        <v>508.12608711761618</v>
      </c>
      <c r="BI27" s="59">
        <f ca="1">AVERAGE(OFFSET($BH$3,0,0,'Données projet'!$E$11+1,1))-AVERAGE(OFFSET($H$3,0,0,'Données projet'!$E$11+1,1))</f>
        <v>165.87377022031535</v>
      </c>
      <c r="BJ27" s="59">
        <f t="shared" si="38"/>
        <v>272.91122662088929</v>
      </c>
      <c r="BK27" s="15">
        <f>IF(ISNA(VLOOKUP(A27,'Données projet'!$A$87:$I$107,3,0)),0,VLOOKUP(A27,'Données projet'!$A$87:$I$107,3,0))</f>
        <v>4</v>
      </c>
      <c r="BL27" s="15">
        <f>IF(ISNA(VLOOKUP(A27,'Données projet'!$A$87:$I$107,4,0)),0,VLOOKUP(A27,'Données projet'!$A$87:$I$107,4,0))</f>
        <v>65</v>
      </c>
      <c r="BM27" s="16">
        <f>IF(ISNA(VLOOKUP(A27,'Données projet'!$A$87:$I$107,5,0)),0%,VLOOKUP(A27,'Données projet'!$A$87:$I$107,5,0)*VLOOKUP('Données projet'!$B$11,Paramètres!$A$1:$I$89,7,0))</f>
        <v>0.24</v>
      </c>
      <c r="BN27" s="16">
        <f>IF(ISNA(VLOOKUP(A27,'Données projet'!$A$87:$I$107,6,0)),0%,VLOOKUP(A27,'Données projet'!$A$87:$I$107,6,0)*VLOOKUP('Données projet'!$B$11,Paramètres!$A$1:$I$89,7,0))</f>
        <v>0.20400000000000001</v>
      </c>
      <c r="BO27" s="16">
        <f>IF(ISNA(VLOOKUP(A27,'Données projet'!$A$87:$I$107,7,0)),0%,VLOOKUP(A27,'Données projet'!$A$87:$I$107,7,0))</f>
        <v>0.26</v>
      </c>
      <c r="BP27" s="21">
        <f>EXP(-LN(2)/35)*BP26+(1-EXP(-LN(2)/35))/(LN(2)/35)*BL27*BM27*VLOOKUP('Données projet'!$B$11,Paramètres!$A$1:$I$89,3,0)*0.475*44/12</f>
        <v>17.544706452763236</v>
      </c>
      <c r="BQ27" s="21">
        <f>EXP(-LN(2)/25)*BQ26+(1-EXP(-LN(2)/25))/(LN(2)/25)*Calculateur!BL27*Calculateur!BN27*VLOOKUP('Données projet'!$B$11,Paramètres!$A$1:$I$89,3,0)*0.475*44/12</f>
        <v>25.5633282573442</v>
      </c>
      <c r="BR27" s="21">
        <f>EXP(-LN(2)/2)*BR26+(1-EXP(-LN(2)/2))/(LN(2)/2)*BL27*BO27*VLOOKUP('Données projet'!$B$11,Paramètres!$A$1:$I$89,3,0)*0.475*44/12</f>
        <v>12.130975440340984</v>
      </c>
      <c r="BS27" s="22">
        <f t="shared" si="9"/>
        <v>55.239010150448415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4.8385294117647053</v>
      </c>
      <c r="BY27" s="12">
        <f>IF('Données projet'!$A$114&gt;35,BY26+BX27-CG26,IF(A27&lt;'Données projet'!$A$114,$BV$205^A27,IF(A27='Données projet'!$A$114,'Données projet'!$B$114,BY26+BX27-CG26)))</f>
        <v>36.675077222707095</v>
      </c>
      <c r="BZ27" s="13">
        <f>BY27*VLOOKUP('Données projet'!$B$12,Paramètres!$A$1:$I$89,3,0)*VLOOKUP('Données projet'!$B$12,Paramètres!$A$1:$I$89,5,0)</f>
        <v>33.183609871105382</v>
      </c>
      <c r="CA27" s="13">
        <f t="shared" si="39"/>
        <v>10.172792436791582</v>
      </c>
      <c r="CB27" s="20">
        <f t="shared" si="10"/>
        <v>75.512400686253869</v>
      </c>
      <c r="CC27" s="59">
        <f t="shared" si="11"/>
        <v>361.51240068625384</v>
      </c>
      <c r="CD27" s="59">
        <f ca="1">AVERAGE(OFFSET($CC$3,0,0,'Données projet'!$E$12+1,1))-AVERAGE(OFFSET($H$3,0,0,'Données projet'!$E$12+1,1))</f>
        <v>639.86968831634636</v>
      </c>
      <c r="CE27" s="59">
        <f t="shared" si="40"/>
        <v>218.1556771431184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8.8460000000000001</v>
      </c>
      <c r="CT27" s="12">
        <f>IF('Données projet'!$A$140&gt;35,CT26+CS27-DB26,IF(A27&lt;'Données projet'!$A$140,$CQ$205^A27,IF(A27='Données projet'!$A$140,'Données projet'!$B$140,CT26+CS27-DB26)))</f>
        <v>95.64400000000002</v>
      </c>
      <c r="CU27" s="17">
        <f>CT27*VLOOKUP('Données projet'!$B$13,Paramètres!$A$1:$I$89,3,0)*VLOOKUP('Données projet'!$B$13,Paramètres!$A$1:$I$89,5,0)</f>
        <v>83.554598400000017</v>
      </c>
      <c r="CV27" s="13">
        <f t="shared" si="41"/>
        <v>23.004090715953964</v>
      </c>
      <c r="CW27" s="20">
        <f t="shared" si="13"/>
        <v>185.58971687695316</v>
      </c>
      <c r="CX27" s="59">
        <f t="shared" si="14"/>
        <v>471.58971687695316</v>
      </c>
      <c r="CY27" s="59">
        <f ca="1">AVERAGE(OFFSET($CX$3,0,0,'Données projet'!$E$13+1,1))-AVERAGE(OFFSET($H$3,0,0,'Données projet'!$E$13+1,1))</f>
        <v>218.76600554860482</v>
      </c>
      <c r="CZ27" s="59">
        <f t="shared" si="42"/>
        <v>264.34840059907702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5.2692857142857141</v>
      </c>
      <c r="DO27" s="12">
        <f>IF('Données projet'!$A$166&gt;35,DO26+DN27-DW26,IF(A27&lt;'Données projet'!$A$166,$DL$205^A27,IF(A27='Données projet'!$A$166,'Données projet'!$B$166,DO26+DN27-DW26)))</f>
        <v>126.46285714285715</v>
      </c>
      <c r="DP27" s="17">
        <f>DO27*VLOOKUP('Données projet'!$B$14,Paramètres!$A$1:$I$89,3,0)*VLOOKUP('Données projet'!$B$14,Paramètres!$A$1:$I$89,5,0)</f>
        <v>108.50513142857145</v>
      </c>
      <c r="DQ27" s="13">
        <f t="shared" si="43"/>
        <v>28.978501893978599</v>
      </c>
      <c r="DR27" s="20">
        <f t="shared" si="16"/>
        <v>239.45066137010801</v>
      </c>
      <c r="DS27" s="59">
        <f t="shared" si="17"/>
        <v>525.45066137010804</v>
      </c>
      <c r="DT27" s="59">
        <f ca="1">AVERAGE(OFFSET($DS$3,0,0,'Données projet'!$E$14+1,1))-AVERAGE(OFFSET($H$3,0,0,'Données projet'!$E$14+1,1))</f>
        <v>442.97490100035287</v>
      </c>
      <c r="DU27" s="59">
        <f t="shared" si="44"/>
        <v>334.36243356457049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10.6</v>
      </c>
      <c r="EJ27" s="12">
        <f>IF('Données projet'!$A$192&gt;35,EJ26+EI27-ER26,IF(A27&lt;'Données projet'!$A$192,$EG$205^A27,IF(A27='Données projet'!$A$192,'Données projet'!$B$192,EJ26+EI27-ER26)))</f>
        <v>102.39999999999996</v>
      </c>
      <c r="EK27" s="17">
        <f>EJ27*VLOOKUP('Données projet'!$B$15,Paramètres!$A$1:$I$89,3,0)*VLOOKUP('Données projet'!$B$15,Paramètres!$A$1:$I$89,5,0)</f>
        <v>79.871999999999971</v>
      </c>
      <c r="EL27" s="13">
        <f t="shared" si="45"/>
        <v>22.105884547145401</v>
      </c>
      <c r="EM27" s="20">
        <f t="shared" si="19"/>
        <v>177.61148225294485</v>
      </c>
      <c r="EN27" s="59">
        <f t="shared" si="20"/>
        <v>463.61148225294482</v>
      </c>
      <c r="EO27" s="59">
        <f ca="1">AVERAGE(OFFSET($EN$3,0,0,'Données projet'!$E$15+1,1))-AVERAGE(OFFSET($H$3,0,0,'Données projet'!$E$15+1,1))</f>
        <v>288.82868507674738</v>
      </c>
      <c r="EP27" s="59">
        <f t="shared" si="46"/>
        <v>283.48738729114024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1.7126820454784111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1.7126820454784111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92.529839999999979</v>
      </c>
      <c r="FG27" s="13">
        <f t="shared" si="47"/>
        <v>25.174373611210889</v>
      </c>
      <c r="FH27" s="20">
        <f t="shared" si="22"/>
        <v>205.0015053728589</v>
      </c>
      <c r="FI27" s="59">
        <f t="shared" si="23"/>
        <v>491.0015053728589</v>
      </c>
      <c r="FJ27" s="59">
        <f ca="1">AVERAGE(OFFSET($FI$3,0,0,'Données projet'!$E$16+1,1))-AVERAGE(OFFSET($H$3,0,0,'Données projet'!$E$16+1,1))</f>
        <v>328.55201074501201</v>
      </c>
      <c r="FK27" s="59">
        <f t="shared" si="48"/>
        <v>321.81422611044985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14.8</v>
      </c>
      <c r="FZ27" s="12">
        <f>IF('Données projet'!$A$244&gt;35,FZ26+FY27-GH26,IF(A27&lt;'Données projet'!$A$244,$FW$205^A27,IF(A27='Données projet'!$A$244,'Données projet'!$B$244,FZ26+FY27-GH26)))</f>
        <v>126.19999999999997</v>
      </c>
      <c r="GA27" s="17">
        <f>FZ27*VLOOKUP('Données projet'!$B$17,Paramètres!$A$1:$I$89,3,0)*VLOOKUP('Données projet'!$B$17,Paramètres!$A$1:$I$89,5,0)</f>
        <v>100.40472</v>
      </c>
      <c r="GB27" s="13">
        <f t="shared" si="49"/>
        <v>27.058393830330502</v>
      </c>
      <c r="GC27" s="20">
        <f t="shared" si="25"/>
        <v>221.99825658782561</v>
      </c>
      <c r="GD27" s="59">
        <f t="shared" si="26"/>
        <v>507.99825658782561</v>
      </c>
      <c r="GE27" s="59">
        <f ca="1">AVERAGE(OFFSET($GD$3,0,0,'Données projet'!$E$17+1,1))-AVERAGE(OFFSET($H$3,0,0,'Données projet'!$E$17+1,1))</f>
        <v>353.37024194969638</v>
      </c>
      <c r="GF27" s="59">
        <f t="shared" si="50"/>
        <v>345.4750813433123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28.810000000000002</v>
      </c>
      <c r="N28" s="13">
        <f>IF('Données projet'!$A$36&gt;35,N27+M28-V27,IF(A28&lt;'Données projet'!$A$36,$K$205^A28,IF(A28='Données projet'!$A$36,'Données projet'!$B$36,N27+M28-V27)))</f>
        <v>266.51000000000005</v>
      </c>
      <c r="O28" s="13">
        <f>N28*VLOOKUP('Données projet'!$B$9,Paramètres!$A$1:$I$89,3,0)*VLOOKUP('Données projet'!$B$9,Paramètres!$A$1:$I$89,5,0)</f>
        <v>148.97909000000001</v>
      </c>
      <c r="P28" s="13">
        <f t="shared" si="33"/>
        <v>38.346488025955566</v>
      </c>
      <c r="Q28" s="20">
        <f t="shared" si="2"/>
        <v>326.25871506187258</v>
      </c>
      <c r="R28" s="59">
        <f t="shared" si="0"/>
        <v>613.48093728409481</v>
      </c>
      <c r="S28" s="59">
        <f ca="1">AVERAGE(OFFSET($R$3,0,0,'Données projet'!$E$9+1,1))-AVERAGE(OFFSET($H$3,0,0,'Données projet'!$E$9+1,1))</f>
        <v>404.65492118472037</v>
      </c>
      <c r="T28" s="59">
        <f t="shared" si="34"/>
        <v>534.22295841722166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4.1097046345396313</v>
      </c>
      <c r="AA28" s="21">
        <f>EXP(-LN(2)/25)*AA27+(1-EXP(-LN(2)/25))/(LN(2)/25)*Calculateur!V28*Calculateur!X28*VLOOKUP('Données projet'!$B$9,Paramètres!$A$1:$I$89,3,0)*0.475*44/12</f>
        <v>23.156423758301798</v>
      </c>
      <c r="AB28" s="21">
        <f>EXP(-LN(2)/2)*AB27+(1-EXP(-LN(2)/2))/(LN(2)/2)*V28*Y28*VLOOKUP('Données projet'!$B$9,Paramètres!$A$1:$I$89,3,0)*0.475*44/12</f>
        <v>9.8913612633624961</v>
      </c>
      <c r="AC28" s="22">
        <f t="shared" si="3"/>
        <v>37.157489656203929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8.0650000000000013</v>
      </c>
      <c r="AI28" s="13">
        <f>IF('Données projet'!$A$62&gt;35,AI27+AH28-AQ27,IF(A28&lt;'Données projet'!$A$62,$AF$205^A28,IF(A28='Données projet'!$A$62,'Données projet'!$B$62,AI27+AH28-AQ27)))</f>
        <v>201.62499999999997</v>
      </c>
      <c r="AJ28" s="13">
        <f>AI28*VLOOKUP('Données projet'!$B$10,Paramètres!$A$1:$I$89,3,0)*VLOOKUP('Données projet'!$B$10,Paramètres!$A$1:$I$89,5,0)</f>
        <v>94.360500000000002</v>
      </c>
      <c r="AK28" s="13">
        <f t="shared" si="35"/>
        <v>25.613959303573385</v>
      </c>
      <c r="AL28" s="20">
        <f t="shared" si="4"/>
        <v>208.95551662039031</v>
      </c>
      <c r="AM28" s="59">
        <f t="shared" si="5"/>
        <v>496.17773884261254</v>
      </c>
      <c r="AN28" s="59">
        <f ca="1">AVERAGE(OFFSET($AM$3,0,0,'Données projet'!$E$10+1,1))-AVERAGE(OFFSET($H$3,0,0,'Données projet'!$E$10+1,1))</f>
        <v>331.17634116262298</v>
      </c>
      <c r="AO28" s="59">
        <f t="shared" si="36"/>
        <v>286.28916368940605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12.833333333333334</v>
      </c>
      <c r="BD28" s="12">
        <f>IF('Données projet'!$A$88&gt;35,BD27+BC28-BL27,IF(A28&lt;'Données projet'!$A$88,$BA$205^A28,IF(A28='Données projet'!$A$88,'Données projet'!$B$88,BD27+BC28-BL27)))</f>
        <v>131.83333333333337</v>
      </c>
      <c r="BE28" s="13">
        <f>BD28*VLOOKUP('Données projet'!$B$11,Paramètres!$A$1:$I$89,3,0)*VLOOKUP('Données projet'!$B$11,Paramètres!$A$1:$I$89,5,0)</f>
        <v>71.981000000000023</v>
      </c>
      <c r="BF28" s="13">
        <f t="shared" si="37"/>
        <v>20.164607823678683</v>
      </c>
      <c r="BG28" s="20">
        <f t="shared" si="7"/>
        <v>160.48693362624041</v>
      </c>
      <c r="BH28" s="59">
        <f t="shared" si="8"/>
        <v>447.70915584846261</v>
      </c>
      <c r="BI28" s="59">
        <f ca="1">AVERAGE(OFFSET($BH$3,0,0,'Données projet'!$E$11+1,1))-AVERAGE(OFFSET($H$3,0,0,'Données projet'!$E$11+1,1))</f>
        <v>165.87377022031535</v>
      </c>
      <c r="BJ28" s="59">
        <f t="shared" si="38"/>
        <v>272.91122662088929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17.200665460438827</v>
      </c>
      <c r="BQ28" s="21">
        <f>EXP(-LN(2)/25)*BQ27+(1-EXP(-LN(2)/25))/(LN(2)/25)*Calculateur!BL28*Calculateur!BN28*VLOOKUP('Données projet'!$B$11,Paramètres!$A$1:$I$89,3,0)*0.475*44/12</f>
        <v>24.864297701830115</v>
      </c>
      <c r="BR28" s="21">
        <f>EXP(-LN(2)/2)*BR27+(1-EXP(-LN(2)/2))/(LN(2)/2)*BL28*BO28*VLOOKUP('Données projet'!$B$11,Paramètres!$A$1:$I$89,3,0)*0.475*44/12</f>
        <v>8.5778949962725743</v>
      </c>
      <c r="BS28" s="22">
        <f t="shared" si="9"/>
        <v>50.642858158541515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4.8385294117647053</v>
      </c>
      <c r="BY28" s="12">
        <f>IF('Données projet'!$A$114&gt;35,BY27+BX28-CG27,IF(A28&lt;'Données projet'!$A$114,$BV$205^A28,IF(A28='Données projet'!$A$114,'Données projet'!$B$114,BY27+BX28-CG27)))</f>
        <v>42.614084577788368</v>
      </c>
      <c r="BZ28" s="13">
        <f>BY28*VLOOKUP('Données projet'!$B$12,Paramètres!$A$1:$I$89,3,0)*VLOOKUP('Données projet'!$B$12,Paramètres!$A$1:$I$89,5,0)</f>
        <v>38.557223725982915</v>
      </c>
      <c r="CA28" s="13">
        <f t="shared" si="39"/>
        <v>11.615425144718566</v>
      </c>
      <c r="CB28" s="20">
        <f t="shared" si="10"/>
        <v>87.384030116471749</v>
      </c>
      <c r="CC28" s="59">
        <f t="shared" si="11"/>
        <v>374.60625233869399</v>
      </c>
      <c r="CD28" s="59">
        <f ca="1">AVERAGE(OFFSET($CC$3,0,0,'Données projet'!$E$12+1,1))-AVERAGE(OFFSET($H$3,0,0,'Données projet'!$E$12+1,1))</f>
        <v>639.86968831634636</v>
      </c>
      <c r="CE28" s="59">
        <f t="shared" si="40"/>
        <v>218.1556771431184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104.49</v>
      </c>
      <c r="CR28" s="12">
        <f>VLOOKUP(A28,'Données projet'!$A$139:$I$159,9,0)</f>
        <v>8.8460000000000001</v>
      </c>
      <c r="CS28" s="12">
        <f t="array" ref="CS28">INDEX(CR:CR,MIN(IF(ISNUMBER(CR28:CR224),ROW(CR28:CR224),"")))</f>
        <v>8.8460000000000001</v>
      </c>
      <c r="CT28" s="12">
        <f>IF('Données projet'!$A$140&gt;35,CT27+CS28-DB27,IF(A28&lt;'Données projet'!$A$140,$CQ$205^A28,IF(A28='Données projet'!$A$140,'Données projet'!$B$140,CT27+CS28-DB27)))</f>
        <v>104.49000000000002</v>
      </c>
      <c r="CU28" s="17">
        <f>CT28*VLOOKUP('Données projet'!$B$13,Paramètres!$A$1:$I$89,3,0)*VLOOKUP('Données projet'!$B$13,Paramètres!$A$1:$I$89,5,0)</f>
        <v>91.282464000000033</v>
      </c>
      <c r="CV28" s="13">
        <f t="shared" si="41"/>
        <v>24.874269268801257</v>
      </c>
      <c r="CW28" s="20">
        <f t="shared" si="13"/>
        <v>202.30631044316223</v>
      </c>
      <c r="CX28" s="59">
        <f t="shared" si="14"/>
        <v>489.52853266538443</v>
      </c>
      <c r="CY28" s="59">
        <f ca="1">AVERAGE(OFFSET($CX$3,0,0,'Données projet'!$E$13+1,1))-AVERAGE(OFFSET($H$3,0,0,'Données projet'!$E$13+1,1))</f>
        <v>218.76600554860482</v>
      </c>
      <c r="CZ28" s="59">
        <f t="shared" si="42"/>
        <v>264.34840059907702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28.21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5.2692857142857141</v>
      </c>
      <c r="DO28" s="12">
        <f>IF('Données projet'!$A$166&gt;35,DO27+DN28-DW27,IF(A28&lt;'Données projet'!$A$166,$DL$205^A28,IF(A28='Données projet'!$A$166,'Données projet'!$B$166,DO27+DN28-DW27)))</f>
        <v>131.73214285714286</v>
      </c>
      <c r="DP28" s="17">
        <f>DO28*VLOOKUP('Données projet'!$B$14,Paramètres!$A$1:$I$89,3,0)*VLOOKUP('Données projet'!$B$14,Paramètres!$A$1:$I$89,5,0)</f>
        <v>113.02617857142859</v>
      </c>
      <c r="DQ28" s="13">
        <f t="shared" si="43"/>
        <v>30.042845780091856</v>
      </c>
      <c r="DR28" s="20">
        <f t="shared" si="16"/>
        <v>249.17855074556482</v>
      </c>
      <c r="DS28" s="59">
        <f t="shared" si="17"/>
        <v>536.40077296778702</v>
      </c>
      <c r="DT28" s="59">
        <f ca="1">AVERAGE(OFFSET($DS$3,0,0,'Données projet'!$E$14+1,1))-AVERAGE(OFFSET($H$3,0,0,'Données projet'!$E$14+1,1))</f>
        <v>442.97490100035287</v>
      </c>
      <c r="DU28" s="59">
        <f t="shared" si="44"/>
        <v>334.36243356457049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113</v>
      </c>
      <c r="EH28" s="12">
        <f>VLOOKUP(A28,'Données projet'!$A$191:$I$211,9,0)</f>
        <v>10.6</v>
      </c>
      <c r="EI28" s="12">
        <f t="array" ref="EI28">INDEX(EH:EH,MIN(IF(ISNUMBER(EH28:EH224),ROW(EH28:EH224),"")))</f>
        <v>10.6</v>
      </c>
      <c r="EJ28" s="12">
        <f>IF('Données projet'!$A$192&gt;35,EJ27+EI28-ER27,IF(A28&lt;'Données projet'!$A$192,$EG$205^A28,IF(A28='Données projet'!$A$192,'Données projet'!$B$192,EJ27+EI28-ER27)))</f>
        <v>112.99999999999996</v>
      </c>
      <c r="EK28" s="17">
        <f>EJ28*VLOOKUP('Données projet'!$B$15,Paramètres!$A$1:$I$89,3,0)*VLOOKUP('Données projet'!$B$15,Paramètres!$A$1:$I$89,5,0)</f>
        <v>88.139999999999972</v>
      </c>
      <c r="EL28" s="13">
        <f t="shared" si="45"/>
        <v>24.116094026318823</v>
      </c>
      <c r="EM28" s="20">
        <f t="shared" si="19"/>
        <v>195.51269709583855</v>
      </c>
      <c r="EN28" s="59">
        <f t="shared" si="20"/>
        <v>482.73491931806075</v>
      </c>
      <c r="EO28" s="59">
        <f ca="1">AVERAGE(OFFSET($EN$3,0,0,'Données projet'!$E$15+1,1))-AVERAGE(OFFSET($H$3,0,0,'Données projet'!$E$15+1,1))</f>
        <v>288.82868507674738</v>
      </c>
      <c r="EP28" s="59">
        <f t="shared" si="46"/>
        <v>283.48738729114024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27</v>
      </c>
      <c r="ES28" s="16">
        <f>IF(ISNA(VLOOKUP(A28,'Données projet'!$A$191:$I$211,5,0)),0%,VLOOKUP(A28,'Données projet'!$A$191:$I$211,5,0)*VLOOKUP('Données projet'!$B$15,Paramètres!$A$1:$I$89,7,0))</f>
        <v>8.6000000000000007E-2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3.6812811277943762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3.6812811277943762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103.38119999999998</v>
      </c>
      <c r="FG28" s="13">
        <f t="shared" si="47"/>
        <v>27.765956260923325</v>
      </c>
      <c r="FH28" s="20">
        <f t="shared" si="22"/>
        <v>228.41463048777476</v>
      </c>
      <c r="FI28" s="59">
        <f t="shared" si="23"/>
        <v>515.63685270999702</v>
      </c>
      <c r="FJ28" s="59">
        <f ca="1">AVERAGE(OFFSET($FI$3,0,0,'Données projet'!$E$16+1,1))-AVERAGE(OFFSET($H$3,0,0,'Données projet'!$E$16+1,1))</f>
        <v>328.55201074501201</v>
      </c>
      <c r="FK28" s="59">
        <f t="shared" si="48"/>
        <v>321.81422611044985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141</v>
      </c>
      <c r="FX28" s="12">
        <f>VLOOKUP(A28,'Données projet'!$A$243:$I$263,9,0)</f>
        <v>14.8</v>
      </c>
      <c r="FY28" s="12">
        <f t="array" ref="FY28">INDEX(FX:FX,MIN(IF(ISNUMBER(FX28:FX224),ROW(FX28:FX224),"")))</f>
        <v>14.8</v>
      </c>
      <c r="FZ28" s="12">
        <f>IF('Données projet'!$A$244&gt;35,FZ27+FY28-GH27,IF(A28&lt;'Données projet'!$A$244,$FW$205^A28,IF(A28='Données projet'!$A$244,'Données projet'!$B$244,FZ27+FY28-GH27)))</f>
        <v>140.99999999999997</v>
      </c>
      <c r="GA28" s="17">
        <f>FZ28*VLOOKUP('Données projet'!$B$17,Paramètres!$A$1:$I$89,3,0)*VLOOKUP('Données projet'!$B$17,Paramètres!$A$1:$I$89,5,0)</f>
        <v>112.17959999999998</v>
      </c>
      <c r="GB28" s="13">
        <f t="shared" si="49"/>
        <v>29.8439274472838</v>
      </c>
      <c r="GC28" s="20">
        <f t="shared" si="25"/>
        <v>247.35764363735257</v>
      </c>
      <c r="GD28" s="59">
        <f t="shared" si="26"/>
        <v>534.57986585957474</v>
      </c>
      <c r="GE28" s="59">
        <f ca="1">AVERAGE(OFFSET($GD$3,0,0,'Données projet'!$E$17+1,1))-AVERAGE(OFFSET($H$3,0,0,'Données projet'!$E$17+1,1))</f>
        <v>353.37024194969638</v>
      </c>
      <c r="GF28" s="59">
        <f t="shared" si="50"/>
        <v>345.4750813433123</v>
      </c>
      <c r="GG28" s="15">
        <f>IF(ISNA(VLOOKUP(A28,'Données projet'!$A$243:$I$263,3,0)),0,VLOOKUP(A28,'Données projet'!$A$243:$I$263,3,0))</f>
        <v>4</v>
      </c>
      <c r="GH28" s="15">
        <f>IF(ISNA(VLOOKUP(A28,'Données projet'!$A$243:$I$263,4,0)),0,VLOOKUP(A28,'Données projet'!$A$243:$I$263,4,0))</f>
        <v>35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28.810000000000002</v>
      </c>
      <c r="N29" s="13">
        <f>IF('Données projet'!$A$36&gt;35,N28+M29-V28,IF(A29&lt;'Données projet'!$A$36,$K$205^A29,IF(A29='Données projet'!$A$36,'Données projet'!$B$36,N28+M29-V28)))</f>
        <v>295.32000000000005</v>
      </c>
      <c r="O29" s="13">
        <f>N29*VLOOKUP('Données projet'!$B$9,Paramètres!$A$1:$I$89,3,0)*VLOOKUP('Données projet'!$B$9,Paramètres!$A$1:$I$89,5,0)</f>
        <v>165.08388000000002</v>
      </c>
      <c r="P29" s="13">
        <f t="shared" si="33"/>
        <v>41.987102874527984</v>
      </c>
      <c r="Q29" s="20">
        <f t="shared" si="2"/>
        <v>360.64862850646955</v>
      </c>
      <c r="R29" s="59">
        <f t="shared" si="0"/>
        <v>649.09307295091401</v>
      </c>
      <c r="S29" s="59">
        <f ca="1">AVERAGE(OFFSET($R$3,0,0,'Données projet'!$E$9+1,1))-AVERAGE(OFFSET($H$3,0,0,'Données projet'!$E$9+1,1))</f>
        <v>404.65492118472037</v>
      </c>
      <c r="T29" s="59">
        <f t="shared" si="34"/>
        <v>534.22295841722166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4.029115833328623</v>
      </c>
      <c r="AA29" s="21">
        <f>EXP(-LN(2)/25)*AA28+(1-EXP(-LN(2)/25))/(LN(2)/25)*Calculateur!V29*Calculateur!X29*VLOOKUP('Données projet'!$B$9,Paramètres!$A$1:$I$89,3,0)*0.475*44/12</f>
        <v>22.523210132887634</v>
      </c>
      <c r="AB29" s="21">
        <f>EXP(-LN(2)/2)*AB28+(1-EXP(-LN(2)/2))/(LN(2)/2)*V29*Y29*VLOOKUP('Données projet'!$B$9,Paramètres!$A$1:$I$89,3,0)*0.475*44/12</f>
        <v>6.9942486244895576</v>
      </c>
      <c r="AC29" s="22">
        <f t="shared" si="3"/>
        <v>33.546574590705816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8.0650000000000013</v>
      </c>
      <c r="AI29" s="13">
        <f>IF('Données projet'!$A$62&gt;35,AI28+AH29-AQ28,IF(A29&lt;'Données projet'!$A$62,$AF$205^A29,IF(A29='Données projet'!$A$62,'Données projet'!$B$62,AI28+AH29-AQ28)))</f>
        <v>209.68999999999997</v>
      </c>
      <c r="AJ29" s="13">
        <f>AI29*VLOOKUP('Données projet'!$B$10,Paramètres!$A$1:$I$89,3,0)*VLOOKUP('Données projet'!$B$10,Paramètres!$A$1:$I$89,5,0)</f>
        <v>98.13491999999998</v>
      </c>
      <c r="AK29" s="13">
        <f t="shared" si="35"/>
        <v>26.517182266887648</v>
      </c>
      <c r="AL29" s="20">
        <f t="shared" si="4"/>
        <v>217.1024114481626</v>
      </c>
      <c r="AM29" s="59">
        <f t="shared" si="5"/>
        <v>505.54685589260703</v>
      </c>
      <c r="AN29" s="59">
        <f ca="1">AVERAGE(OFFSET($AM$3,0,0,'Données projet'!$E$10+1,1))-AVERAGE(OFFSET($H$3,0,0,'Données projet'!$E$10+1,1))</f>
        <v>331.17634116262298</v>
      </c>
      <c r="AO29" s="59">
        <f t="shared" si="36"/>
        <v>286.28916368940605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12.833333333333334</v>
      </c>
      <c r="BD29" s="12">
        <f>IF('Données projet'!$A$88&gt;35,BD28+BC29-BL28,IF(A29&lt;'Données projet'!$A$88,$BA$205^A29,IF(A29='Données projet'!$A$88,'Données projet'!$B$88,BD28+BC29-BL28)))</f>
        <v>144.66666666666671</v>
      </c>
      <c r="BE29" s="13">
        <f>BD29*VLOOKUP('Données projet'!$B$11,Paramètres!$A$1:$I$89,3,0)*VLOOKUP('Données projet'!$B$11,Paramètres!$A$1:$I$89,5,0)</f>
        <v>78.988000000000028</v>
      </c>
      <c r="BF29" s="13">
        <f t="shared" si="37"/>
        <v>21.88956183200996</v>
      </c>
      <c r="BG29" s="20">
        <f t="shared" si="7"/>
        <v>175.69508685741741</v>
      </c>
      <c r="BH29" s="59">
        <f t="shared" si="8"/>
        <v>464.13953130186189</v>
      </c>
      <c r="BI29" s="59">
        <f ca="1">AVERAGE(OFFSET($BH$3,0,0,'Données projet'!$E$11+1,1))-AVERAGE(OFFSET($H$3,0,0,'Données projet'!$E$11+1,1))</f>
        <v>165.87377022031535</v>
      </c>
      <c r="BJ29" s="59">
        <f t="shared" si="38"/>
        <v>272.91122662088929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16.863370902129617</v>
      </c>
      <c r="BQ29" s="21">
        <f>EXP(-LN(2)/25)*BQ28+(1-EXP(-LN(2)/25))/(LN(2)/25)*Calculateur!BL29*Calculateur!BN29*VLOOKUP('Données projet'!$B$11,Paramètres!$A$1:$I$89,3,0)*0.475*44/12</f>
        <v>24.184382173616982</v>
      </c>
      <c r="BR29" s="21">
        <f>EXP(-LN(2)/2)*BR28+(1-EXP(-LN(2)/2))/(LN(2)/2)*BL29*BO29*VLOOKUP('Données projet'!$B$11,Paramètres!$A$1:$I$89,3,0)*0.475*44/12</f>
        <v>6.0654877201704922</v>
      </c>
      <c r="BS29" s="22">
        <f t="shared" si="9"/>
        <v>47.113240795917093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4.8385294117647053</v>
      </c>
      <c r="BY29" s="12">
        <f>IF('Données projet'!$A$114&gt;35,BY28+BX29-CG28,IF(A29&lt;'Données projet'!$A$114,$BV$205^A29,IF(A29='Données projet'!$A$114,'Données projet'!$B$114,BY28+BX29-CG28)))</f>
        <v>49.514829740523687</v>
      </c>
      <c r="BZ29" s="13">
        <f>BY29*VLOOKUP('Données projet'!$B$12,Paramètres!$A$1:$I$89,3,0)*VLOOKUP('Données projet'!$B$12,Paramètres!$A$1:$I$89,5,0)</f>
        <v>44.80101794922583</v>
      </c>
      <c r="CA29" s="13">
        <f t="shared" si="39"/>
        <v>13.26264171129716</v>
      </c>
      <c r="CB29" s="20">
        <f t="shared" si="10"/>
        <v>101.12754057541088</v>
      </c>
      <c r="CC29" s="59">
        <f t="shared" si="11"/>
        <v>389.57198501985533</v>
      </c>
      <c r="CD29" s="59">
        <f ca="1">AVERAGE(OFFSET($CC$3,0,0,'Données projet'!$E$12+1,1))-AVERAGE(OFFSET($H$3,0,0,'Données projet'!$E$12+1,1))</f>
        <v>639.86968831634636</v>
      </c>
      <c r="CE29" s="59">
        <f t="shared" si="40"/>
        <v>218.1556771431184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8.3339999999999996</v>
      </c>
      <c r="CT29" s="12">
        <f>IF('Données projet'!$A$140&gt;35,CT28+CS29-DB28,IF(A29&lt;'Données projet'!$A$140,$CQ$205^A29,IF(A29='Données projet'!$A$140,'Données projet'!$B$140,CT28+CS29-DB28)))</f>
        <v>84.614000000000033</v>
      </c>
      <c r="CU29" s="17">
        <f>CT29*VLOOKUP('Données projet'!$B$13,Paramètres!$A$1:$I$89,3,0)*VLOOKUP('Données projet'!$B$13,Paramètres!$A$1:$I$89,5,0)</f>
        <v>73.918790400000034</v>
      </c>
      <c r="CV29" s="13">
        <f t="shared" si="41"/>
        <v>20.643524720268278</v>
      </c>
      <c r="CW29" s="20">
        <f t="shared" si="13"/>
        <v>164.69603216780061</v>
      </c>
      <c r="CX29" s="59">
        <f t="shared" si="14"/>
        <v>453.14047661224504</v>
      </c>
      <c r="CY29" s="59">
        <f ca="1">AVERAGE(OFFSET($CX$3,0,0,'Données projet'!$E$13+1,1))-AVERAGE(OFFSET($H$3,0,0,'Données projet'!$E$13+1,1))</f>
        <v>218.76600554860482</v>
      </c>
      <c r="CZ29" s="59">
        <f t="shared" si="42"/>
        <v>264.34840059907702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5.2692857142857141</v>
      </c>
      <c r="DO29" s="12">
        <f>IF('Données projet'!$A$166&gt;35,DO28+DN29-DW28,IF(A29&lt;'Données projet'!$A$166,$DL$205^A29,IF(A29='Données projet'!$A$166,'Données projet'!$B$166,DO28+DN29-DW28)))</f>
        <v>137.00142857142856</v>
      </c>
      <c r="DP29" s="17">
        <f>DO29*VLOOKUP('Données projet'!$B$14,Paramètres!$A$1:$I$89,3,0)*VLOOKUP('Données projet'!$B$14,Paramètres!$A$1:$I$89,5,0)</f>
        <v>117.54722571428573</v>
      </c>
      <c r="DQ29" s="13">
        <f t="shared" si="43"/>
        <v>31.102244206952857</v>
      </c>
      <c r="DR29" s="20">
        <f t="shared" si="16"/>
        <v>258.89782677949057</v>
      </c>
      <c r="DS29" s="59">
        <f t="shared" si="17"/>
        <v>547.34227122393509</v>
      </c>
      <c r="DT29" s="59">
        <f ca="1">AVERAGE(OFFSET($DS$3,0,0,'Données projet'!$E$14+1,1))-AVERAGE(OFFSET($H$3,0,0,'Données projet'!$E$14+1,1))</f>
        <v>442.97490100035287</v>
      </c>
      <c r="DU29" s="59">
        <f t="shared" si="44"/>
        <v>334.36243356457049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11.5</v>
      </c>
      <c r="EJ29" s="12">
        <f>IF('Données projet'!$A$192&gt;35,EJ28+EI29-ER28,IF(A29&lt;'Données projet'!$A$192,$EG$205^A29,IF(A29='Données projet'!$A$192,'Données projet'!$B$192,EJ28+EI29-ER28)))</f>
        <v>97.499999999999957</v>
      </c>
      <c r="EK29" s="17">
        <f>EJ29*VLOOKUP('Données projet'!$B$15,Paramètres!$A$1:$I$89,3,0)*VLOOKUP('Données projet'!$B$15,Paramètres!$A$1:$I$89,5,0)</f>
        <v>76.049999999999969</v>
      </c>
      <c r="EL29" s="13">
        <f t="shared" si="45"/>
        <v>21.168560890749262</v>
      </c>
      <c r="EM29" s="20">
        <f t="shared" si="19"/>
        <v>169.32232688472158</v>
      </c>
      <c r="EN29" s="59">
        <f t="shared" si="20"/>
        <v>457.76677132916603</v>
      </c>
      <c r="EO29" s="59">
        <f ca="1">AVERAGE(OFFSET($EN$3,0,0,'Données projet'!$E$15+1,1))-AVERAGE(OFFSET($H$3,0,0,'Données projet'!$E$15+1,1))</f>
        <v>288.82868507674738</v>
      </c>
      <c r="EP29" s="59">
        <f t="shared" si="46"/>
        <v>283.48738729114024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3.6090934502381056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3.6090934502381056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88.130639999999971</v>
      </c>
      <c r="FG29" s="13">
        <f t="shared" si="47"/>
        <v>24.113831111728981</v>
      </c>
      <c r="FH29" s="20">
        <f t="shared" si="22"/>
        <v>195.49245385292792</v>
      </c>
      <c r="FI29" s="59">
        <f t="shared" si="23"/>
        <v>483.93689829737241</v>
      </c>
      <c r="FJ29" s="59">
        <f ca="1">AVERAGE(OFFSET($FI$3,0,0,'Données projet'!$E$16+1,1))-AVERAGE(OFFSET($H$3,0,0,'Données projet'!$E$16+1,1))</f>
        <v>328.55201074501201</v>
      </c>
      <c r="FK29" s="59">
        <f t="shared" si="48"/>
        <v>321.81422611044985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14.2</v>
      </c>
      <c r="FZ29" s="12">
        <f>IF('Données projet'!$A$244&gt;35,FZ28+FY29-GH28,IF(A29&lt;'Données projet'!$A$244,$FW$205^A29,IF(A29='Données projet'!$A$244,'Données projet'!$B$244,FZ28+FY29-GH28)))</f>
        <v>120.19999999999996</v>
      </c>
      <c r="GA29" s="17">
        <f>FZ29*VLOOKUP('Données projet'!$B$17,Paramètres!$A$1:$I$89,3,0)*VLOOKUP('Données projet'!$B$17,Paramètres!$A$1:$I$89,5,0)</f>
        <v>95.631119999999967</v>
      </c>
      <c r="GB29" s="13">
        <f t="shared" si="49"/>
        <v>25.918481589892234</v>
      </c>
      <c r="GC29" s="20">
        <f t="shared" si="25"/>
        <v>211.69888943572892</v>
      </c>
      <c r="GD29" s="59">
        <f t="shared" si="26"/>
        <v>500.14333388017337</v>
      </c>
      <c r="GE29" s="59">
        <f ca="1">AVERAGE(OFFSET($GD$3,0,0,'Données projet'!$E$17+1,1))-AVERAGE(OFFSET($H$3,0,0,'Données projet'!$E$17+1,1))</f>
        <v>353.37024194969638</v>
      </c>
      <c r="GF29" s="59">
        <f t="shared" si="50"/>
        <v>345.4750813433123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28.810000000000002</v>
      </c>
      <c r="N30" s="13">
        <f>IF('Données projet'!$A$36&gt;35,N29+M30-V29,IF(A30&lt;'Données projet'!$A$36,$K$205^A30,IF(A30='Données projet'!$A$36,'Données projet'!$B$36,N29+M30-V29)))</f>
        <v>324.13000000000005</v>
      </c>
      <c r="O30" s="13">
        <f>N30*VLOOKUP('Données projet'!$B$9,Paramètres!$A$1:$I$89,3,0)*VLOOKUP('Données projet'!$B$9,Paramètres!$A$1:$I$89,5,0)</f>
        <v>181.18867000000006</v>
      </c>
      <c r="P30" s="13">
        <f t="shared" si="33"/>
        <v>45.586541949947453</v>
      </c>
      <c r="Q30" s="20">
        <f t="shared" si="2"/>
        <v>394.96682747949188</v>
      </c>
      <c r="R30" s="59">
        <f t="shared" si="0"/>
        <v>684.63349414615857</v>
      </c>
      <c r="S30" s="59">
        <f ca="1">AVERAGE(OFFSET($R$3,0,0,'Données projet'!$E$9+1,1))-AVERAGE(OFFSET($H$3,0,0,'Données projet'!$E$9+1,1))</f>
        <v>404.65492118472037</v>
      </c>
      <c r="T30" s="59">
        <f t="shared" si="34"/>
        <v>534.22295841722166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3.9501073293550473</v>
      </c>
      <c r="AA30" s="21">
        <f>EXP(-LN(2)/25)*AA29+(1-EXP(-LN(2)/25))/(LN(2)/25)*Calculateur!V30*Calculateur!X30*VLOOKUP('Données projet'!$B$9,Paramètres!$A$1:$I$89,3,0)*0.475*44/12</f>
        <v>21.90731176735968</v>
      </c>
      <c r="AB30" s="21">
        <f>EXP(-LN(2)/2)*AB29+(1-EXP(-LN(2)/2))/(LN(2)/2)*V30*Y30*VLOOKUP('Données projet'!$B$9,Paramètres!$A$1:$I$89,3,0)*0.475*44/12</f>
        <v>4.9456806316812489</v>
      </c>
      <c r="AC30" s="22">
        <f t="shared" si="3"/>
        <v>30.803099728395978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8.0650000000000013</v>
      </c>
      <c r="AI30" s="13">
        <f>IF('Données projet'!$A$62&gt;35,AI29+AH30-AQ29,IF(A30&lt;'Données projet'!$A$62,$AF$205^A30,IF(A30='Données projet'!$A$62,'Données projet'!$B$62,AI29+AH30-AQ29)))</f>
        <v>217.75499999999997</v>
      </c>
      <c r="AJ30" s="13">
        <f>AI30*VLOOKUP('Données projet'!$B$10,Paramètres!$A$1:$I$89,3,0)*VLOOKUP('Données projet'!$B$10,Paramètres!$A$1:$I$89,5,0)</f>
        <v>101.90933999999999</v>
      </c>
      <c r="AK30" s="13">
        <f t="shared" si="35"/>
        <v>27.416369557639488</v>
      </c>
      <c r="AL30" s="20">
        <f t="shared" si="4"/>
        <v>225.24227747955538</v>
      </c>
      <c r="AM30" s="59">
        <f t="shared" si="5"/>
        <v>514.9089441462221</v>
      </c>
      <c r="AN30" s="59">
        <f ca="1">AVERAGE(OFFSET($AM$3,0,0,'Données projet'!$E$10+1,1))-AVERAGE(OFFSET($H$3,0,0,'Données projet'!$E$10+1,1))</f>
        <v>331.17634116262298</v>
      </c>
      <c r="AO30" s="59">
        <f t="shared" si="36"/>
        <v>286.28916368940605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12.833333333333334</v>
      </c>
      <c r="BD30" s="12">
        <f>IF('Données projet'!$A$88&gt;35,BD29+BC30-BL29,IF(A30&lt;'Données projet'!$A$88,$BA$205^A30,IF(A30='Données projet'!$A$88,'Données projet'!$B$88,BD29+BC30-BL29)))</f>
        <v>157.50000000000006</v>
      </c>
      <c r="BE30" s="13">
        <f>BD30*VLOOKUP('Données projet'!$B$11,Paramètres!$A$1:$I$89,3,0)*VLOOKUP('Données projet'!$B$11,Paramètres!$A$1:$I$89,5,0)</f>
        <v>85.995000000000033</v>
      </c>
      <c r="BF30" s="13">
        <f t="shared" si="37"/>
        <v>23.596771395162531</v>
      </c>
      <c r="BG30" s="20">
        <f t="shared" si="7"/>
        <v>190.87233517990811</v>
      </c>
      <c r="BH30" s="59">
        <f t="shared" si="8"/>
        <v>480.53900184657482</v>
      </c>
      <c r="BI30" s="59">
        <f ca="1">AVERAGE(OFFSET($BH$3,0,0,'Données projet'!$E$11+1,1))-AVERAGE(OFFSET($H$3,0,0,'Données projet'!$E$11+1,1))</f>
        <v>165.87377022031535</v>
      </c>
      <c r="BJ30" s="59">
        <f t="shared" si="38"/>
        <v>272.91122662088929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16.532690484379483</v>
      </c>
      <c r="BQ30" s="21">
        <f>EXP(-LN(2)/25)*BQ29+(1-EXP(-LN(2)/25))/(LN(2)/25)*Calculateur!BL30*Calculateur!BN30*VLOOKUP('Données projet'!$B$11,Paramètres!$A$1:$I$89,3,0)*0.475*44/12</f>
        <v>23.52305897127804</v>
      </c>
      <c r="BR30" s="21">
        <f>EXP(-LN(2)/2)*BR29+(1-EXP(-LN(2)/2))/(LN(2)/2)*BL30*BO30*VLOOKUP('Données projet'!$B$11,Paramètres!$A$1:$I$89,3,0)*0.475*44/12</f>
        <v>4.2889474981362872</v>
      </c>
      <c r="BS30" s="22">
        <f t="shared" si="9"/>
        <v>44.344696953793807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4.8385294117647053</v>
      </c>
      <c r="BY30" s="12">
        <f>IF('Données projet'!$A$114&gt;35,BY29+BX30-CG29,IF(A30&lt;'Données projet'!$A$114,$BV$205^A30,IF(A30='Données projet'!$A$114,'Données projet'!$B$114,BY29+BX30-CG29)))</f>
        <v>57.533052476057463</v>
      </c>
      <c r="BZ30" s="13">
        <f>BY30*VLOOKUP('Données projet'!$B$12,Paramètres!$A$1:$I$89,3,0)*VLOOKUP('Données projet'!$B$12,Paramètres!$A$1:$I$89,5,0)</f>
        <v>52.055905880336795</v>
      </c>
      <c r="CA30" s="13">
        <f t="shared" si="39"/>
        <v>15.14345475698911</v>
      </c>
      <c r="CB30" s="20">
        <f t="shared" si="10"/>
        <v>117.03888644334262</v>
      </c>
      <c r="CC30" s="59">
        <f t="shared" si="11"/>
        <v>406.7055531100093</v>
      </c>
      <c r="CD30" s="59">
        <f ca="1">AVERAGE(OFFSET($CC$3,0,0,'Données projet'!$E$12+1,1))-AVERAGE(OFFSET($H$3,0,0,'Données projet'!$E$12+1,1))</f>
        <v>639.86968831634636</v>
      </c>
      <c r="CE30" s="59">
        <f t="shared" si="40"/>
        <v>218.1556771431184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8.3339999999999996</v>
      </c>
      <c r="CT30" s="12">
        <f>IF('Données projet'!$A$140&gt;35,CT29+CS30-DB29,IF(A30&lt;'Données projet'!$A$140,$CQ$205^A30,IF(A30='Données projet'!$A$140,'Données projet'!$B$140,CT29+CS30-DB29)))</f>
        <v>92.948000000000036</v>
      </c>
      <c r="CU30" s="17">
        <f>CT30*VLOOKUP('Données projet'!$B$13,Paramètres!$A$1:$I$89,3,0)*VLOOKUP('Données projet'!$B$13,Paramètres!$A$1:$I$89,5,0)</f>
        <v>81.199372800000049</v>
      </c>
      <c r="CV30" s="13">
        <f t="shared" si="41"/>
        <v>22.430182553815339</v>
      </c>
      <c r="CW30" s="20">
        <f t="shared" si="13"/>
        <v>180.48814224122847</v>
      </c>
      <c r="CX30" s="59">
        <f t="shared" si="14"/>
        <v>470.15480890789513</v>
      </c>
      <c r="CY30" s="59">
        <f ca="1">AVERAGE(OFFSET($CX$3,0,0,'Données projet'!$E$13+1,1))-AVERAGE(OFFSET($H$3,0,0,'Données projet'!$E$13+1,1))</f>
        <v>218.76600554860482</v>
      </c>
      <c r="CZ30" s="59">
        <f t="shared" si="42"/>
        <v>264.34840059907702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5.2692857142857141</v>
      </c>
      <c r="DO30" s="12">
        <f>IF('Données projet'!$A$166&gt;35,DO29+DN30-DW29,IF(A30&lt;'Données projet'!$A$166,$DL$205^A30,IF(A30='Données projet'!$A$166,'Données projet'!$B$166,DO29+DN30-DW29)))</f>
        <v>142.27071428571426</v>
      </c>
      <c r="DP30" s="17">
        <f>DO30*VLOOKUP('Données projet'!$B$14,Paramètres!$A$1:$I$89,3,0)*VLOOKUP('Données projet'!$B$14,Paramètres!$A$1:$I$89,5,0)</f>
        <v>122.06827285714284</v>
      </c>
      <c r="DQ30" s="13">
        <f t="shared" si="43"/>
        <v>32.156909156768251</v>
      </c>
      <c r="DR30" s="20">
        <f t="shared" si="16"/>
        <v>268.60885867422843</v>
      </c>
      <c r="DS30" s="59">
        <f t="shared" si="17"/>
        <v>558.27552534089511</v>
      </c>
      <c r="DT30" s="59">
        <f ca="1">AVERAGE(OFFSET($DS$3,0,0,'Données projet'!$E$14+1,1))-AVERAGE(OFFSET($H$3,0,0,'Données projet'!$E$14+1,1))</f>
        <v>442.97490100035287</v>
      </c>
      <c r="DU30" s="59">
        <f t="shared" si="44"/>
        <v>334.36243356457049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11.5</v>
      </c>
      <c r="EJ30" s="12">
        <f>IF('Données projet'!$A$192&gt;35,EJ29+EI30-ER29,IF(A30&lt;'Données projet'!$A$192,$EG$205^A30,IF(A30='Données projet'!$A$192,'Données projet'!$B$192,EJ29+EI30-ER29)))</f>
        <v>108.99999999999996</v>
      </c>
      <c r="EK30" s="17">
        <f>EJ30*VLOOKUP('Données projet'!$B$15,Paramètres!$A$1:$I$89,3,0)*VLOOKUP('Données projet'!$B$15,Paramètres!$A$1:$I$89,5,0)</f>
        <v>85.019999999999968</v>
      </c>
      <c r="EL30" s="13">
        <f t="shared" si="45"/>
        <v>23.360218970693097</v>
      </c>
      <c r="EM30" s="20">
        <f t="shared" si="19"/>
        <v>188.76221470729038</v>
      </c>
      <c r="EN30" s="59">
        <f t="shared" si="20"/>
        <v>478.4288813739571</v>
      </c>
      <c r="EO30" s="59">
        <f ca="1">AVERAGE(OFFSET($EN$3,0,0,'Données projet'!$E$15+1,1))-AVERAGE(OFFSET($H$3,0,0,'Données projet'!$E$15+1,1))</f>
        <v>288.82868507674738</v>
      </c>
      <c r="EP30" s="59">
        <f t="shared" si="46"/>
        <v>283.48738729114024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3.5383213290085775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3.5383213290085775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98.542079999999956</v>
      </c>
      <c r="FG30" s="13">
        <f t="shared" si="47"/>
        <v>26.614371888975242</v>
      </c>
      <c r="FH30" s="20">
        <f t="shared" si="22"/>
        <v>217.98082037329846</v>
      </c>
      <c r="FI30" s="59">
        <f t="shared" si="23"/>
        <v>507.64748703996514</v>
      </c>
      <c r="FJ30" s="59">
        <f ca="1">AVERAGE(OFFSET($FI$3,0,0,'Données projet'!$E$16+1,1))-AVERAGE(OFFSET($H$3,0,0,'Données projet'!$E$16+1,1))</f>
        <v>328.55201074501201</v>
      </c>
      <c r="FK30" s="59">
        <f t="shared" si="48"/>
        <v>321.81422611044985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14.2</v>
      </c>
      <c r="FZ30" s="12">
        <f>IF('Données projet'!$A$244&gt;35,FZ29+FY30-GH29,IF(A30&lt;'Données projet'!$A$244,$FW$205^A30,IF(A30='Données projet'!$A$244,'Données projet'!$B$244,FZ29+FY30-GH29)))</f>
        <v>134.39999999999995</v>
      </c>
      <c r="GA30" s="17">
        <f>FZ30*VLOOKUP('Données projet'!$B$17,Paramètres!$A$1:$I$89,3,0)*VLOOKUP('Données projet'!$B$17,Paramètres!$A$1:$I$89,5,0)</f>
        <v>106.92863999999996</v>
      </c>
      <c r="GB30" s="13">
        <f t="shared" si="49"/>
        <v>28.606159868782917</v>
      </c>
      <c r="GC30" s="20">
        <f t="shared" si="25"/>
        <v>236.05644310479681</v>
      </c>
      <c r="GD30" s="59">
        <f t="shared" si="26"/>
        <v>525.72310977146344</v>
      </c>
      <c r="GE30" s="59">
        <f ca="1">AVERAGE(OFFSET($GD$3,0,0,'Données projet'!$E$17+1,1))-AVERAGE(OFFSET($H$3,0,0,'Données projet'!$E$17+1,1))</f>
        <v>353.37024194969638</v>
      </c>
      <c r="GF30" s="59">
        <f t="shared" si="50"/>
        <v>345.4750813433123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28.810000000000002</v>
      </c>
      <c r="N31" s="13">
        <f>IF('Données projet'!$A$36&gt;35,N30+M31-V30,IF(A31&lt;'Données projet'!$A$36,$K$205^A31,IF(A31='Données projet'!$A$36,'Données projet'!$B$36,N30+M31-V30)))</f>
        <v>352.94000000000005</v>
      </c>
      <c r="O31" s="13">
        <f>N31*VLOOKUP('Données projet'!$B$9,Paramètres!$A$1:$I$89,3,0)*VLOOKUP('Données projet'!$B$9,Paramètres!$A$1:$I$89,5,0)</f>
        <v>197.29346000000004</v>
      </c>
      <c r="P31" s="13">
        <f t="shared" si="33"/>
        <v>49.148881297307099</v>
      </c>
      <c r="Q31" s="20">
        <f t="shared" si="2"/>
        <v>429.22041109280985</v>
      </c>
      <c r="R31" s="59">
        <f t="shared" si="0"/>
        <v>720.10929998169877</v>
      </c>
      <c r="S31" s="59">
        <f ca="1">AVERAGE(OFFSET($R$3,0,0,'Données projet'!$E$9+1,1))-AVERAGE(OFFSET($H$3,0,0,'Données projet'!$E$9+1,1))</f>
        <v>404.65492118472037</v>
      </c>
      <c r="T31" s="59">
        <f t="shared" si="34"/>
        <v>534.22295841722166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3.8726481339539642</v>
      </c>
      <c r="AA31" s="21">
        <f>EXP(-LN(2)/25)*AA30+(1-EXP(-LN(2)/25))/(LN(2)/25)*Calculateur!V31*Calculateur!X31*VLOOKUP('Données projet'!$B$9,Paramètres!$A$1:$I$89,3,0)*0.475*44/12</f>
        <v>21.308255175025774</v>
      </c>
      <c r="AB31" s="21">
        <f>EXP(-LN(2)/2)*AB30+(1-EXP(-LN(2)/2))/(LN(2)/2)*V31*Y31*VLOOKUP('Données projet'!$B$9,Paramètres!$A$1:$I$89,3,0)*0.475*44/12</f>
        <v>3.4971243122447793</v>
      </c>
      <c r="AC31" s="22">
        <f t="shared" si="3"/>
        <v>28.678027621224516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8.0650000000000013</v>
      </c>
      <c r="AI31" s="13">
        <f>IF('Données projet'!$A$62&gt;35,AI30+AH31-AQ30,IF(A31&lt;'Données projet'!$A$62,$AF$205^A31,IF(A31='Données projet'!$A$62,'Données projet'!$B$62,AI30+AH31-AQ30)))</f>
        <v>225.81999999999996</v>
      </c>
      <c r="AJ31" s="13">
        <f>AI31*VLOOKUP('Données projet'!$B$10,Paramètres!$A$1:$I$89,3,0)*VLOOKUP('Données projet'!$B$10,Paramètres!$A$1:$I$89,5,0)</f>
        <v>105.68375999999998</v>
      </c>
      <c r="AK31" s="13">
        <f t="shared" si="35"/>
        <v>28.311687761738433</v>
      </c>
      <c r="AL31" s="20">
        <f t="shared" si="4"/>
        <v>233.37540485169438</v>
      </c>
      <c r="AM31" s="59">
        <f t="shared" si="5"/>
        <v>524.2642937405833</v>
      </c>
      <c r="AN31" s="59">
        <f ca="1">AVERAGE(OFFSET($AM$3,0,0,'Données projet'!$E$10+1,1))-AVERAGE(OFFSET($H$3,0,0,'Données projet'!$E$10+1,1))</f>
        <v>331.17634116262298</v>
      </c>
      <c r="AO31" s="59">
        <f t="shared" si="36"/>
        <v>286.28916368940605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12.833333333333334</v>
      </c>
      <c r="BD31" s="12">
        <f>IF('Données projet'!$A$88&gt;35,BD30+BC31-BL30,IF(A31&lt;'Données projet'!$A$88,$BA$205^A31,IF(A31='Données projet'!$A$88,'Données projet'!$B$88,BD30+BC31-BL30)))</f>
        <v>170.3333333333334</v>
      </c>
      <c r="BE31" s="13">
        <f>BD31*VLOOKUP('Données projet'!$B$11,Paramètres!$A$1:$I$89,3,0)*VLOOKUP('Données projet'!$B$11,Paramètres!$A$1:$I$89,5,0)</f>
        <v>93.002000000000024</v>
      </c>
      <c r="BF31" s="13">
        <f t="shared" si="37"/>
        <v>25.287846734527118</v>
      </c>
      <c r="BG31" s="20">
        <f t="shared" si="7"/>
        <v>206.02148306263476</v>
      </c>
      <c r="BH31" s="59">
        <f t="shared" si="8"/>
        <v>496.91037195152364</v>
      </c>
      <c r="BI31" s="59">
        <f ca="1">AVERAGE(OFFSET($BH$3,0,0,'Données projet'!$E$11+1,1))-AVERAGE(OFFSET($H$3,0,0,'Données projet'!$E$11+1,1))</f>
        <v>165.87377022031535</v>
      </c>
      <c r="BJ31" s="59">
        <f t="shared" si="38"/>
        <v>272.91122662088929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16.208494507926289</v>
      </c>
      <c r="BQ31" s="21">
        <f>EXP(-LN(2)/25)*BQ30+(1-EXP(-LN(2)/25))/(LN(2)/25)*Calculateur!BL31*Calculateur!BN31*VLOOKUP('Données projet'!$B$11,Paramètres!$A$1:$I$89,3,0)*0.475*44/12</f>
        <v>22.879819686684534</v>
      </c>
      <c r="BR31" s="21">
        <f>EXP(-LN(2)/2)*BR30+(1-EXP(-LN(2)/2))/(LN(2)/2)*BL31*BO31*VLOOKUP('Données projet'!$B$11,Paramètres!$A$1:$I$89,3,0)*0.475*44/12</f>
        <v>3.0327438600852461</v>
      </c>
      <c r="BS31" s="22">
        <f t="shared" si="9"/>
        <v>42.121058054696071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4.8385294117647053</v>
      </c>
      <c r="BY31" s="12">
        <f>IF('Données projet'!$A$114&gt;35,BY30+BX31-CG30,IF(A31&lt;'Données projet'!$A$114,$BV$205^A31,IF(A31='Données projet'!$A$114,'Données projet'!$B$114,BY30+BX31-CG30)))</f>
        <v>66.849712390382805</v>
      </c>
      <c r="BZ31" s="13">
        <f>BY31*VLOOKUP('Données projet'!$B$12,Paramètres!$A$1:$I$89,3,0)*VLOOKUP('Données projet'!$B$12,Paramètres!$A$1:$I$89,5,0)</f>
        <v>60.48561977081836</v>
      </c>
      <c r="CA31" s="13">
        <f t="shared" si="39"/>
        <v>17.290991264706872</v>
      </c>
      <c r="CB31" s="20">
        <f t="shared" si="10"/>
        <v>135.46093088687311</v>
      </c>
      <c r="CC31" s="59">
        <f t="shared" si="11"/>
        <v>426.34981977576194</v>
      </c>
      <c r="CD31" s="59">
        <f ca="1">AVERAGE(OFFSET($CC$3,0,0,'Données projet'!$E$12+1,1))-AVERAGE(OFFSET($H$3,0,0,'Données projet'!$E$12+1,1))</f>
        <v>639.86968831634636</v>
      </c>
      <c r="CE31" s="59">
        <f t="shared" si="40"/>
        <v>218.1556771431184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8.3339999999999996</v>
      </c>
      <c r="CT31" s="12">
        <f>IF('Données projet'!$A$140&gt;35,CT30+CS31-DB30,IF(A31&lt;'Données projet'!$A$140,$CQ$205^A31,IF(A31='Données projet'!$A$140,'Données projet'!$B$140,CT30+CS31-DB30)))</f>
        <v>101.28200000000004</v>
      </c>
      <c r="CU31" s="17">
        <f>CT31*VLOOKUP('Données projet'!$B$13,Paramètres!$A$1:$I$89,3,0)*VLOOKUP('Données projet'!$B$13,Paramètres!$A$1:$I$89,5,0)</f>
        <v>88.479955200000049</v>
      </c>
      <c r="CV31" s="13">
        <f t="shared" si="41"/>
        <v>24.198264153230102</v>
      </c>
      <c r="CW31" s="20">
        <f t="shared" si="13"/>
        <v>196.24789870687584</v>
      </c>
      <c r="CX31" s="59">
        <f t="shared" si="14"/>
        <v>487.1367875957647</v>
      </c>
      <c r="CY31" s="59">
        <f ca="1">AVERAGE(OFFSET($CX$3,0,0,'Données projet'!$E$13+1,1))-AVERAGE(OFFSET($H$3,0,0,'Données projet'!$E$13+1,1))</f>
        <v>218.76600554860482</v>
      </c>
      <c r="CZ31" s="59">
        <f t="shared" si="42"/>
        <v>264.34840059907702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5.2692857142857141</v>
      </c>
      <c r="DO31" s="12">
        <f>IF('Données projet'!$A$166&gt;35,DO30+DN31-DW30,IF(A31&lt;'Données projet'!$A$166,$DL$205^A31,IF(A31='Données projet'!$A$166,'Données projet'!$B$166,DO30+DN31-DW30)))</f>
        <v>147.53999999999996</v>
      </c>
      <c r="DP31" s="17">
        <f>DO31*VLOOKUP('Données projet'!$B$14,Paramètres!$A$1:$I$89,3,0)*VLOOKUP('Données projet'!$B$14,Paramètres!$A$1:$I$89,5,0)</f>
        <v>126.58931999999999</v>
      </c>
      <c r="DQ31" s="13">
        <f t="shared" si="43"/>
        <v>33.207036019666056</v>
      </c>
      <c r="DR31" s="20">
        <f t="shared" si="16"/>
        <v>278.31198673425166</v>
      </c>
      <c r="DS31" s="59">
        <f t="shared" si="17"/>
        <v>569.20087562314052</v>
      </c>
      <c r="DT31" s="59">
        <f ca="1">AVERAGE(OFFSET($DS$3,0,0,'Données projet'!$E$14+1,1))-AVERAGE(OFFSET($H$3,0,0,'Données projet'!$E$14+1,1))</f>
        <v>442.97490100035287</v>
      </c>
      <c r="DU31" s="59">
        <f t="shared" si="44"/>
        <v>334.36243356457049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11.5</v>
      </c>
      <c r="EJ31" s="12">
        <f>IF('Données projet'!$A$192&gt;35,EJ30+EI31-ER30,IF(A31&lt;'Données projet'!$A$192,$EG$205^A31,IF(A31='Données projet'!$A$192,'Données projet'!$B$192,EJ30+EI31-ER30)))</f>
        <v>120.49999999999996</v>
      </c>
      <c r="EK31" s="17">
        <f>EJ31*VLOOKUP('Données projet'!$B$15,Paramètres!$A$1:$I$89,3,0)*VLOOKUP('Données projet'!$B$15,Paramètres!$A$1:$I$89,5,0)</f>
        <v>93.989999999999966</v>
      </c>
      <c r="EL31" s="13">
        <f t="shared" si="45"/>
        <v>25.525074036970054</v>
      </c>
      <c r="EM31" s="20">
        <f t="shared" si="19"/>
        <v>208.15542061438944</v>
      </c>
      <c r="EN31" s="59">
        <f t="shared" si="20"/>
        <v>499.04430950327833</v>
      </c>
      <c r="EO31" s="59">
        <f ca="1">AVERAGE(OFFSET($EN$3,0,0,'Données projet'!$E$15+1,1))-AVERAGE(OFFSET($H$3,0,0,'Données projet'!$E$15+1,1))</f>
        <v>288.82868507674738</v>
      </c>
      <c r="EP31" s="59">
        <f t="shared" si="46"/>
        <v>283.48738729114024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3.4689370059096292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3.4689370059096292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108.95351999999995</v>
      </c>
      <c r="FG31" s="13">
        <f t="shared" si="47"/>
        <v>29.084288721109843</v>
      </c>
      <c r="FH31" s="20">
        <f t="shared" si="22"/>
        <v>240.41585018926619</v>
      </c>
      <c r="FI31" s="59">
        <f t="shared" si="23"/>
        <v>531.30473907815508</v>
      </c>
      <c r="FJ31" s="59">
        <f ca="1">AVERAGE(OFFSET($FI$3,0,0,'Données projet'!$E$16+1,1))-AVERAGE(OFFSET($H$3,0,0,'Données projet'!$E$16+1,1))</f>
        <v>328.55201074501201</v>
      </c>
      <c r="FK31" s="59">
        <f t="shared" si="48"/>
        <v>321.81422611044985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14.2</v>
      </c>
      <c r="FZ31" s="12">
        <f>IF('Données projet'!$A$244&gt;35,FZ30+FY31-GH30,IF(A31&lt;'Données projet'!$A$244,$FW$205^A31,IF(A31='Données projet'!$A$244,'Données projet'!$B$244,FZ30+FY31-GH30)))</f>
        <v>148.59999999999994</v>
      </c>
      <c r="GA31" s="17">
        <f>FZ31*VLOOKUP('Données projet'!$B$17,Paramètres!$A$1:$I$89,3,0)*VLOOKUP('Données projet'!$B$17,Paramètres!$A$1:$I$89,5,0)</f>
        <v>118.22615999999996</v>
      </c>
      <c r="GB31" s="13">
        <f t="shared" si="49"/>
        <v>31.260922342884676</v>
      </c>
      <c r="GC31" s="20">
        <f t="shared" si="25"/>
        <v>260.35666841385739</v>
      </c>
      <c r="GD31" s="59">
        <f t="shared" si="26"/>
        <v>551.24555730274619</v>
      </c>
      <c r="GE31" s="59">
        <f ca="1">AVERAGE(OFFSET($GD$3,0,0,'Données projet'!$E$17+1,1))-AVERAGE(OFFSET($H$3,0,0,'Données projet'!$E$17+1,1))</f>
        <v>353.37024194969638</v>
      </c>
      <c r="GF31" s="59">
        <f t="shared" si="50"/>
        <v>345.4750813433123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28.810000000000002</v>
      </c>
      <c r="N32" s="13">
        <f>IF('Données projet'!$A$36&gt;35,N31+M32-V31,IF(A32&lt;'Données projet'!$A$36,$K$205^A32,IF(A32='Données projet'!$A$36,'Données projet'!$B$36,N31+M32-V31)))</f>
        <v>381.75000000000006</v>
      </c>
      <c r="O32" s="13">
        <f>N32*VLOOKUP('Données projet'!$B$9,Paramètres!$A$1:$I$89,3,0)*VLOOKUP('Données projet'!$B$9,Paramètres!$A$1:$I$89,5,0)</f>
        <v>213.39825000000005</v>
      </c>
      <c r="P32" s="13">
        <f t="shared" si="33"/>
        <v>52.677493613804465</v>
      </c>
      <c r="Q32" s="20">
        <f t="shared" si="2"/>
        <v>463.41525346070944</v>
      </c>
      <c r="R32" s="59">
        <f t="shared" si="0"/>
        <v>755.52636457182052</v>
      </c>
      <c r="S32" s="59">
        <f ca="1">AVERAGE(OFFSET($R$3,0,0,'Données projet'!$E$9+1,1))-AVERAGE(OFFSET($H$3,0,0,'Données projet'!$E$9+1,1))</f>
        <v>404.65492118472037</v>
      </c>
      <c r="T32" s="59">
        <f t="shared" si="34"/>
        <v>534.22295841722166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3.7967078661292524</v>
      </c>
      <c r="AA32" s="21">
        <f>EXP(-LN(2)/25)*AA31+(1-EXP(-LN(2)/25))/(LN(2)/25)*Calculateur!V32*Calculateur!X32*VLOOKUP('Données projet'!$B$9,Paramètres!$A$1:$I$89,3,0)*0.475*44/12</f>
        <v>20.725579816712255</v>
      </c>
      <c r="AB32" s="21">
        <f>EXP(-LN(2)/2)*AB31+(1-EXP(-LN(2)/2))/(LN(2)/2)*V32*Y32*VLOOKUP('Données projet'!$B$9,Paramètres!$A$1:$I$89,3,0)*0.475*44/12</f>
        <v>2.4728403158406249</v>
      </c>
      <c r="AC32" s="22">
        <f t="shared" si="3"/>
        <v>26.995127998682133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8.0650000000000013</v>
      </c>
      <c r="AI32" s="13">
        <f>IF('Données projet'!$A$62&gt;35,AI31+AH32-AQ31,IF(A32&lt;'Données projet'!$A$62,$AF$205^A32,IF(A32='Données projet'!$A$62,'Données projet'!$B$62,AI31+AH32-AQ31)))</f>
        <v>233.88499999999996</v>
      </c>
      <c r="AJ32" s="13">
        <f>AI32*VLOOKUP('Données projet'!$B$10,Paramètres!$A$1:$I$89,3,0)*VLOOKUP('Données projet'!$B$10,Paramètres!$A$1:$I$89,5,0)</f>
        <v>109.45817999999998</v>
      </c>
      <c r="AK32" s="13">
        <f t="shared" si="35"/>
        <v>29.203290891566756</v>
      </c>
      <c r="AL32" s="20">
        <f t="shared" si="4"/>
        <v>241.50206180281205</v>
      </c>
      <c r="AM32" s="59">
        <f t="shared" si="5"/>
        <v>533.61317291392322</v>
      </c>
      <c r="AN32" s="59">
        <f ca="1">AVERAGE(OFFSET($AM$3,0,0,'Données projet'!$E$10+1,1))-AVERAGE(OFFSET($H$3,0,0,'Données projet'!$E$10+1,1))</f>
        <v>331.17634116262298</v>
      </c>
      <c r="AO32" s="59">
        <f t="shared" si="36"/>
        <v>286.28916368940605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12.833333333333334</v>
      </c>
      <c r="BD32" s="12">
        <f>IF('Données projet'!$A$88&gt;35,BD31+BC32-BL31,IF(A32&lt;'Données projet'!$A$88,$BA$205^A32,IF(A32='Données projet'!$A$88,'Données projet'!$B$88,BD31+BC32-BL31)))</f>
        <v>183.16666666666674</v>
      </c>
      <c r="BE32" s="13">
        <f>BD32*VLOOKUP('Données projet'!$B$11,Paramètres!$A$1:$I$89,3,0)*VLOOKUP('Données projet'!$B$11,Paramètres!$A$1:$I$89,5,0)</f>
        <v>100.00900000000004</v>
      </c>
      <c r="BF32" s="13">
        <f t="shared" si="37"/>
        <v>26.964141663013486</v>
      </c>
      <c r="BG32" s="20">
        <f t="shared" si="7"/>
        <v>221.14488839641524</v>
      </c>
      <c r="BH32" s="59">
        <f t="shared" si="8"/>
        <v>513.25599950752644</v>
      </c>
      <c r="BI32" s="59">
        <f ca="1">AVERAGE(OFFSET($BH$3,0,0,'Données projet'!$E$11+1,1))-AVERAGE(OFFSET($H$3,0,0,'Données projet'!$E$11+1,1))</f>
        <v>165.87377022031535</v>
      </c>
      <c r="BJ32" s="59">
        <f t="shared" si="38"/>
        <v>272.91122662088929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15.890655816831323</v>
      </c>
      <c r="BQ32" s="21">
        <f>EXP(-LN(2)/25)*BQ31+(1-EXP(-LN(2)/25))/(LN(2)/25)*Calculateur!BL32*Calculateur!BN32*VLOOKUP('Données projet'!$B$11,Paramètres!$A$1:$I$89,3,0)*0.475*44/12</f>
        <v>22.254169814154722</v>
      </c>
      <c r="BR32" s="21">
        <f>EXP(-LN(2)/2)*BR31+(1-EXP(-LN(2)/2))/(LN(2)/2)*BL32*BO32*VLOOKUP('Données projet'!$B$11,Paramètres!$A$1:$I$89,3,0)*0.475*44/12</f>
        <v>2.1444737490681436</v>
      </c>
      <c r="BS32" s="22">
        <f t="shared" si="9"/>
        <v>40.289299380054189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4.8385294117647053</v>
      </c>
      <c r="BY32" s="12">
        <f>IF('Données projet'!$A$114&gt;35,BY31+BX32-CG31,IF(A32&lt;'Données projet'!$A$114,$BV$205^A32,IF(A32='Données projet'!$A$114,'Données projet'!$B$114,BY31+BX32-CG31)))</f>
        <v>77.675072925022349</v>
      </c>
      <c r="BZ32" s="13">
        <f>BY32*VLOOKUP('Données projet'!$B$12,Paramètres!$A$1:$I$89,3,0)*VLOOKUP('Données projet'!$B$12,Paramètres!$A$1:$I$89,5,0)</f>
        <v>70.280405982560211</v>
      </c>
      <c r="CA32" s="13">
        <f t="shared" si="39"/>
        <v>19.743076049286739</v>
      </c>
      <c r="CB32" s="20">
        <f t="shared" si="10"/>
        <v>156.79089787213343</v>
      </c>
      <c r="CC32" s="59">
        <f t="shared" si="11"/>
        <v>448.90200898324457</v>
      </c>
      <c r="CD32" s="59">
        <f ca="1">AVERAGE(OFFSET($CC$3,0,0,'Données projet'!$E$12+1,1))-AVERAGE(OFFSET($H$3,0,0,'Données projet'!$E$12+1,1))</f>
        <v>639.86968831634636</v>
      </c>
      <c r="CE32" s="59">
        <f t="shared" si="40"/>
        <v>218.1556771431184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8.3339999999999996</v>
      </c>
      <c r="CT32" s="12">
        <f>IF('Données projet'!$A$140&gt;35,CT31+CS32-DB31,IF(A32&lt;'Données projet'!$A$140,$CQ$205^A32,IF(A32='Données projet'!$A$140,'Données projet'!$B$140,CT31+CS32-DB31)))</f>
        <v>109.61600000000004</v>
      </c>
      <c r="CU32" s="17">
        <f>CT32*VLOOKUP('Données projet'!$B$13,Paramètres!$A$1:$I$89,3,0)*VLOOKUP('Données projet'!$B$13,Paramètres!$A$1:$I$89,5,0)</f>
        <v>95.760537600000049</v>
      </c>
      <c r="CV32" s="13">
        <f t="shared" si="41"/>
        <v>25.949471846473624</v>
      </c>
      <c r="CW32" s="20">
        <f t="shared" si="13"/>
        <v>211.9782664526083</v>
      </c>
      <c r="CX32" s="59">
        <f t="shared" si="14"/>
        <v>504.08937756371944</v>
      </c>
      <c r="CY32" s="59">
        <f ca="1">AVERAGE(OFFSET($CX$3,0,0,'Données projet'!$E$13+1,1))-AVERAGE(OFFSET($H$3,0,0,'Données projet'!$E$13+1,1))</f>
        <v>218.76600554860482</v>
      </c>
      <c r="CZ32" s="59">
        <f t="shared" si="42"/>
        <v>264.34840059907702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5.2692857142857141</v>
      </c>
      <c r="DO32" s="12">
        <f>IF('Données projet'!$A$166&gt;35,DO31+DN32-DW31,IF(A32&lt;'Données projet'!$A$166,$DL$205^A32,IF(A32='Données projet'!$A$166,'Données projet'!$B$166,DO31+DN32-DW31)))</f>
        <v>152.80928571428566</v>
      </c>
      <c r="DP32" s="17">
        <f>DO32*VLOOKUP('Données projet'!$B$14,Paramètres!$A$1:$I$89,3,0)*VLOOKUP('Données projet'!$B$14,Paramètres!$A$1:$I$89,5,0)</f>
        <v>131.11036714285711</v>
      </c>
      <c r="DQ32" s="13">
        <f t="shared" si="43"/>
        <v>34.252805438169915</v>
      </c>
      <c r="DR32" s="20">
        <f t="shared" si="16"/>
        <v>288.00752557862205</v>
      </c>
      <c r="DS32" s="59">
        <f t="shared" si="17"/>
        <v>580.11863668973319</v>
      </c>
      <c r="DT32" s="59">
        <f ca="1">AVERAGE(OFFSET($DS$3,0,0,'Données projet'!$E$14+1,1))-AVERAGE(OFFSET($H$3,0,0,'Données projet'!$E$14+1,1))</f>
        <v>442.97490100035287</v>
      </c>
      <c r="DU32" s="59">
        <f t="shared" si="44"/>
        <v>334.36243356457049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11.5</v>
      </c>
      <c r="EJ32" s="12">
        <f>IF('Données projet'!$A$192&gt;35,EJ31+EI32-ER31,IF(A32&lt;'Données projet'!$A$192,$EG$205^A32,IF(A32='Données projet'!$A$192,'Données projet'!$B$192,EJ31+EI32-ER31)))</f>
        <v>131.99999999999994</v>
      </c>
      <c r="EK32" s="17">
        <f>EJ32*VLOOKUP('Données projet'!$B$15,Paramètres!$A$1:$I$89,3,0)*VLOOKUP('Données projet'!$B$15,Paramètres!$A$1:$I$89,5,0)</f>
        <v>102.95999999999997</v>
      </c>
      <c r="EL32" s="13">
        <f t="shared" si="45"/>
        <v>27.665975080374633</v>
      </c>
      <c r="EM32" s="20">
        <f t="shared" si="19"/>
        <v>227.50690659831903</v>
      </c>
      <c r="EN32" s="59">
        <f t="shared" si="20"/>
        <v>519.61801770943021</v>
      </c>
      <c r="EO32" s="59">
        <f ca="1">AVERAGE(OFFSET($EN$3,0,0,'Données projet'!$E$15+1,1))-AVERAGE(OFFSET($H$3,0,0,'Données projet'!$E$15+1,1))</f>
        <v>288.82868507674738</v>
      </c>
      <c r="EP32" s="59">
        <f t="shared" si="46"/>
        <v>283.48738729114024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3.4009132670663926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3.4009132670663926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119.36495999999994</v>
      </c>
      <c r="FG32" s="13">
        <f t="shared" si="47"/>
        <v>31.526840934707504</v>
      </c>
      <c r="FH32" s="20">
        <f t="shared" si="22"/>
        <v>262.80321996128214</v>
      </c>
      <c r="FI32" s="59">
        <f t="shared" si="23"/>
        <v>554.91433107239322</v>
      </c>
      <c r="FJ32" s="59">
        <f ca="1">AVERAGE(OFFSET($FI$3,0,0,'Données projet'!$E$16+1,1))-AVERAGE(OFFSET($H$3,0,0,'Données projet'!$E$16+1,1))</f>
        <v>328.55201074501201</v>
      </c>
      <c r="FK32" s="59">
        <f t="shared" si="48"/>
        <v>321.81422611044985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14.2</v>
      </c>
      <c r="FZ32" s="12">
        <f>IF('Données projet'!$A$244&gt;35,FZ31+FY32-GH31,IF(A32&lt;'Données projet'!$A$244,$FW$205^A32,IF(A32='Données projet'!$A$244,'Données projet'!$B$244,FZ31+FY32-GH31)))</f>
        <v>162.79999999999993</v>
      </c>
      <c r="GA32" s="17">
        <f>FZ32*VLOOKUP('Données projet'!$B$17,Paramètres!$A$1:$I$89,3,0)*VLOOKUP('Données projet'!$B$17,Paramètres!$A$1:$I$89,5,0)</f>
        <v>129.52367999999996</v>
      </c>
      <c r="GB32" s="13">
        <f t="shared" si="49"/>
        <v>33.886272262901727</v>
      </c>
      <c r="GC32" s="20">
        <f t="shared" si="25"/>
        <v>284.60566685788712</v>
      </c>
      <c r="GD32" s="59">
        <f t="shared" si="26"/>
        <v>576.71677796899826</v>
      </c>
      <c r="GE32" s="59">
        <f ca="1">AVERAGE(OFFSET($GD$3,0,0,'Données projet'!$E$17+1,1))-AVERAGE(OFFSET($H$3,0,0,'Données projet'!$E$17+1,1))</f>
        <v>353.37024194969638</v>
      </c>
      <c r="GF32" s="59">
        <f t="shared" si="50"/>
        <v>345.4750813433123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410.56</v>
      </c>
      <c r="L33" s="12">
        <f>VLOOKUP(A33,'Données projet'!$A$35:$I$55,9,0)</f>
        <v>28.810000000000002</v>
      </c>
      <c r="M33" s="12">
        <f t="array" ref="M33">INDEX(L:L,MIN(IF(ISNUMBER(L33:L229),ROW(L33:L229),"")))</f>
        <v>28.810000000000002</v>
      </c>
      <c r="N33" s="13">
        <f>IF('Données projet'!$A$36&gt;35,N32+M33-V32,IF(A33&lt;'Données projet'!$A$36,$K$205^A33,IF(A33='Données projet'!$A$36,'Données projet'!$B$36,N32+M33-V32)))</f>
        <v>410.56000000000006</v>
      </c>
      <c r="O33" s="13">
        <f>N33*VLOOKUP('Données projet'!$B$9,Paramètres!$A$1:$I$89,3,0)*VLOOKUP('Données projet'!$B$9,Paramètres!$A$1:$I$89,5,0)</f>
        <v>229.50304000000003</v>
      </c>
      <c r="P33" s="13">
        <f t="shared" si="33"/>
        <v>56.175213636682351</v>
      </c>
      <c r="Q33" s="20">
        <f t="shared" si="2"/>
        <v>497.55629175055515</v>
      </c>
      <c r="R33" s="59">
        <f t="shared" si="0"/>
        <v>790.8896250838884</v>
      </c>
      <c r="S33" s="59">
        <f ca="1">AVERAGE(OFFSET($R$3,0,0,'Données projet'!$E$9+1,1))-AVERAGE(OFFSET($H$3,0,0,'Données projet'!$E$9+1,1))</f>
        <v>404.65492118472037</v>
      </c>
      <c r="T33" s="59">
        <f t="shared" si="34"/>
        <v>534.22295841722166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0.35</v>
      </c>
      <c r="Z33" s="21">
        <f>EXP(-LN(2)/35)*Z32+(1-EXP(-LN(2)/35))/(LN(2)/35)*V33*W33*VLOOKUP('Données projet'!$B$9,Paramètres!$A$1:$I$89,3,0)*0.475*44/12</f>
        <v>10.327015944749807</v>
      </c>
      <c r="AA33" s="21">
        <f>EXP(-LN(2)/25)*AA32+(1-EXP(-LN(2)/25))/(LN(2)/25)*Calculateur!V33*Calculateur!X33*VLOOKUP('Données projet'!$B$9,Paramètres!$A$1:$I$89,3,0)*0.475*44/12</f>
        <v>34.961033685372293</v>
      </c>
      <c r="AB33" s="21">
        <f>EXP(-LN(2)/2)*AB32+(1-EXP(-LN(2)/2))/(LN(2)/2)*V33*Y33*VLOOKUP('Données projet'!$B$9,Paramètres!$A$1:$I$89,3,0)*0.475*44/12</f>
        <v>19.685137688547353</v>
      </c>
      <c r="AC33" s="22">
        <f t="shared" si="3"/>
        <v>64.97318731866946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8.0650000000000013</v>
      </c>
      <c r="AI33" s="13">
        <f>IF('Données projet'!$A$62&gt;35,AI32+AH33-AQ32,IF(A33&lt;'Données projet'!$A$62,$AF$205^A33,IF(A33='Données projet'!$A$62,'Données projet'!$B$62,AI32+AH33-AQ32)))</f>
        <v>241.94999999999996</v>
      </c>
      <c r="AJ33" s="13">
        <f>AI33*VLOOKUP('Données projet'!$B$10,Paramètres!$A$1:$I$89,3,0)*VLOOKUP('Données projet'!$B$10,Paramètres!$A$1:$I$89,5,0)</f>
        <v>113.23259999999998</v>
      </c>
      <c r="AK33" s="13">
        <f t="shared" si="35"/>
        <v>30.091321735544206</v>
      </c>
      <c r="AL33" s="20">
        <f t="shared" si="4"/>
        <v>249.62249702273948</v>
      </c>
      <c r="AM33" s="59">
        <f t="shared" si="5"/>
        <v>542.95583035607274</v>
      </c>
      <c r="AN33" s="59">
        <f ca="1">AVERAGE(OFFSET($AM$3,0,0,'Données projet'!$E$10+1,1))-AVERAGE(OFFSET($H$3,0,0,'Données projet'!$E$10+1,1))</f>
        <v>331.17634116262298</v>
      </c>
      <c r="AO33" s="59">
        <f t="shared" si="36"/>
        <v>286.28916368940605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196</v>
      </c>
      <c r="BB33" s="12">
        <f>VLOOKUP(A33,'Données projet'!$A$87:$I$107,9,0)</f>
        <v>12.833333333333334</v>
      </c>
      <c r="BC33" s="12">
        <f t="array" ref="BC33">INDEX(BB:BB,MIN(IF(ISNUMBER(BB33:BB229),ROW(BB33:BB229),"")))</f>
        <v>12.833333333333334</v>
      </c>
      <c r="BD33" s="12">
        <f>IF('Données projet'!$A$88&gt;35,BD32+BC33-BL32,IF(A33&lt;'Données projet'!$A$88,$BA$205^A33,IF(A33='Données projet'!$A$88,'Données projet'!$B$88,BD32+BC33-BL32)))</f>
        <v>196.00000000000009</v>
      </c>
      <c r="BE33" s="13">
        <f>BD33*VLOOKUP('Données projet'!$B$11,Paramètres!$A$1:$I$89,3,0)*VLOOKUP('Données projet'!$B$11,Paramètres!$A$1:$I$89,5,0)</f>
        <v>107.01600000000005</v>
      </c>
      <c r="BF33" s="13">
        <f t="shared" si="37"/>
        <v>28.626809543094332</v>
      </c>
      <c r="BG33" s="20">
        <f t="shared" si="7"/>
        <v>236.24455995422272</v>
      </c>
      <c r="BH33" s="59">
        <f t="shared" si="8"/>
        <v>529.57789328755598</v>
      </c>
      <c r="BI33" s="59">
        <f ca="1">AVERAGE(OFFSET($BH$3,0,0,'Données projet'!$E$11+1,1))-AVERAGE(OFFSET($H$3,0,0,'Données projet'!$E$11+1,1))</f>
        <v>165.87377022031535</v>
      </c>
      <c r="BJ33" s="59">
        <f t="shared" si="38"/>
        <v>272.91122662088929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58</v>
      </c>
      <c r="BM33" s="16">
        <f>IF(ISNA(VLOOKUP(A33,'Données projet'!$A$87:$I$107,5,0)),0%,VLOOKUP(A33,'Données projet'!$A$87:$I$107,5,0)*VLOOKUP('Données projet'!$B$11,Paramètres!$A$1:$I$89,7,0))</f>
        <v>0.24</v>
      </c>
      <c r="BN33" s="16">
        <f>IF(ISNA(VLOOKUP(A33,'Données projet'!$A$87:$I$107,6,0)),0%,VLOOKUP(A33,'Données projet'!$A$87:$I$107,6,0)*VLOOKUP('Données projet'!$B$11,Paramètres!$A$1:$I$89,7,0))</f>
        <v>0.20400000000000001</v>
      </c>
      <c r="BO33" s="16">
        <f>IF(ISNA(VLOOKUP(A33,'Données projet'!$A$87:$I$107,7,0)),0%,VLOOKUP(A33,'Données projet'!$A$87:$I$107,7,0))</f>
        <v>0.26</v>
      </c>
      <c r="BP33" s="21">
        <f>EXP(-LN(2)/35)*BP32+(1-EXP(-LN(2)/35))/(LN(2)/35)*BL33*BM33*VLOOKUP('Données projet'!$B$11,Paramètres!$A$1:$I$89,3,0)*0.475*44/12</f>
        <v>25.661364110572514</v>
      </c>
      <c r="BQ33" s="21">
        <f>EXP(-LN(2)/25)*BQ32+(1-EXP(-LN(2)/25))/(LN(2)/25)*Calculateur!BL33*Calculateur!BN33*VLOOKUP('Données projet'!$B$11,Paramètres!$A$1:$I$89,3,0)*0.475*44/12</f>
        <v>30.181852351651933</v>
      </c>
      <c r="BR33" s="21">
        <f>EXP(-LN(2)/2)*BR32+(1-EXP(-LN(2)/2))/(LN(2)/2)*BL33*BO33*VLOOKUP('Données projet'!$B$11,Paramètres!$A$1:$I$89,3,0)*0.475*44/12</f>
        <v>10.838810353540334</v>
      </c>
      <c r="BS33" s="22">
        <f t="shared" si="9"/>
        <v>66.682026815764786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4.8385294117647053</v>
      </c>
      <c r="BY33" s="12">
        <f>IF('Données projet'!$A$114&gt;35,BY32+BX33-CG32,IF(A33&lt;'Données projet'!$A$114,$BV$205^A33,IF(A33='Données projet'!$A$114,'Données projet'!$B$114,BY32+BX33-CG32)))</f>
        <v>90.253446696586309</v>
      </c>
      <c r="BZ33" s="13">
        <f>BY33*VLOOKUP('Données projet'!$B$12,Paramètres!$A$1:$I$89,3,0)*VLOOKUP('Données projet'!$B$12,Paramètres!$A$1:$I$89,5,0)</f>
        <v>81.661318571071291</v>
      </c>
      <c r="CA33" s="13">
        <f t="shared" si="39"/>
        <v>22.542897970432122</v>
      </c>
      <c r="CB33" s="20">
        <f t="shared" si="10"/>
        <v>181.48901047645177</v>
      </c>
      <c r="CC33" s="59">
        <f t="shared" si="11"/>
        <v>474.82234380978508</v>
      </c>
      <c r="CD33" s="59">
        <f ca="1">AVERAGE(OFFSET($CC$3,0,0,'Données projet'!$E$12+1,1))-AVERAGE(OFFSET($H$3,0,0,'Données projet'!$E$12+1,1))</f>
        <v>639.86968831634636</v>
      </c>
      <c r="CE33" s="59">
        <f t="shared" si="40"/>
        <v>218.1556771431184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117.95</v>
      </c>
      <c r="CR33" s="12">
        <f>VLOOKUP(A33,'Données projet'!$A$139:$I$159,9,0)</f>
        <v>8.3339999999999996</v>
      </c>
      <c r="CS33" s="12">
        <f t="array" ref="CS33">INDEX(CR:CR,MIN(IF(ISNUMBER(CR33:CR229),ROW(CR33:CR229),"")))</f>
        <v>8.3339999999999996</v>
      </c>
      <c r="CT33" s="12">
        <f>IF('Données projet'!$A$140&gt;35,CT32+CS33-DB32,IF(A33&lt;'Données projet'!$A$140,$CQ$205^A33,IF(A33='Données projet'!$A$140,'Données projet'!$B$140,CT32+CS33-DB32)))</f>
        <v>117.95000000000005</v>
      </c>
      <c r="CU33" s="17">
        <f>CT33*VLOOKUP('Données projet'!$B$13,Paramètres!$A$1:$I$89,3,0)*VLOOKUP('Données projet'!$B$13,Paramètres!$A$1:$I$89,5,0)</f>
        <v>103.04112000000006</v>
      </c>
      <c r="CV33" s="13">
        <f t="shared" si="41"/>
        <v>27.685234410953246</v>
      </c>
      <c r="CW33" s="20">
        <f t="shared" si="13"/>
        <v>227.68173393241034</v>
      </c>
      <c r="CX33" s="59">
        <f t="shared" si="14"/>
        <v>521.01506726574371</v>
      </c>
      <c r="CY33" s="59">
        <f ca="1">AVERAGE(OFFSET($CX$3,0,0,'Données projet'!$E$13+1,1))-AVERAGE(OFFSET($H$3,0,0,'Données projet'!$E$13+1,1))</f>
        <v>218.76600554860482</v>
      </c>
      <c r="CZ33" s="59">
        <f t="shared" si="42"/>
        <v>264.34840059907702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28.21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5.2692857142857141</v>
      </c>
      <c r="DO33" s="12">
        <f>IF('Données projet'!$A$166&gt;35,DO32+DN33-DW32,IF(A33&lt;'Données projet'!$A$166,$DL$205^A33,IF(A33='Données projet'!$A$166,'Données projet'!$B$166,DO32+DN33-DW32)))</f>
        <v>158.07857142857137</v>
      </c>
      <c r="DP33" s="17">
        <f>DO33*VLOOKUP('Données projet'!$B$14,Paramètres!$A$1:$I$89,3,0)*VLOOKUP('Données projet'!$B$14,Paramètres!$A$1:$I$89,5,0)</f>
        <v>135.63141428571424</v>
      </c>
      <c r="DQ33" s="13">
        <f t="shared" si="43"/>
        <v>35.294384890115765</v>
      </c>
      <c r="DR33" s="20">
        <f t="shared" si="16"/>
        <v>297.69576689790392</v>
      </c>
      <c r="DS33" s="59">
        <f t="shared" si="17"/>
        <v>591.02910023123718</v>
      </c>
      <c r="DT33" s="59">
        <f ca="1">AVERAGE(OFFSET($DS$3,0,0,'Données projet'!$E$14+1,1))-AVERAGE(OFFSET($H$3,0,0,'Données projet'!$E$14+1,1))</f>
        <v>442.97490100035287</v>
      </c>
      <c r="DU33" s="59">
        <f t="shared" si="44"/>
        <v>334.36243356457049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11.5</v>
      </c>
      <c r="EJ33" s="12">
        <f>IF('Données projet'!$A$192&gt;35,EJ32+EI33-ER32,IF(A33&lt;'Données projet'!$A$192,$EG$205^A33,IF(A33='Données projet'!$A$192,'Données projet'!$B$192,EJ32+EI33-ER32)))</f>
        <v>143.49999999999994</v>
      </c>
      <c r="EK33" s="17">
        <f>EJ33*VLOOKUP('Données projet'!$B$15,Paramètres!$A$1:$I$89,3,0)*VLOOKUP('Données projet'!$B$15,Paramètres!$A$1:$I$89,5,0)</f>
        <v>111.92999999999996</v>
      </c>
      <c r="EL33" s="13">
        <f t="shared" si="45"/>
        <v>29.785246291563833</v>
      </c>
      <c r="EM33" s="20">
        <f t="shared" si="19"/>
        <v>246.82072062447358</v>
      </c>
      <c r="EN33" s="59">
        <f t="shared" si="20"/>
        <v>540.15405395780692</v>
      </c>
      <c r="EO33" s="59">
        <f ca="1">AVERAGE(OFFSET($EN$3,0,0,'Données projet'!$E$15+1,1))-AVERAGE(OFFSET($H$3,0,0,'Données projet'!$E$15+1,1))</f>
        <v>288.82868507674738</v>
      </c>
      <c r="EP33" s="59">
        <f t="shared" si="46"/>
        <v>283.48738729114024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3.3342234322514881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3.3342234322514881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129.77639999999994</v>
      </c>
      <c r="FG33" s="13">
        <f t="shared" si="47"/>
        <v>33.94468676198089</v>
      </c>
      <c r="FH33" s="20">
        <f t="shared" si="22"/>
        <v>285.14755944378322</v>
      </c>
      <c r="FI33" s="59">
        <f t="shared" si="23"/>
        <v>578.48089277711654</v>
      </c>
      <c r="FJ33" s="59">
        <f ca="1">AVERAGE(OFFSET($FI$3,0,0,'Données projet'!$E$16+1,1))-AVERAGE(OFFSET($H$3,0,0,'Données projet'!$E$16+1,1))</f>
        <v>328.55201074501201</v>
      </c>
      <c r="FK33" s="59">
        <f t="shared" si="48"/>
        <v>321.81422611044985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8.6000000000000007E-2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2.4396979556434131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2.4396979556434131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177</v>
      </c>
      <c r="FX33" s="12">
        <f>VLOOKUP(A33,'Données projet'!$A$243:$I$263,9,0)</f>
        <v>14.2</v>
      </c>
      <c r="FY33" s="12">
        <f t="array" ref="FY33">INDEX(FX:FX,MIN(IF(ISNUMBER(FX33:FX229),ROW(FX33:FX229),"")))</f>
        <v>14.2</v>
      </c>
      <c r="FZ33" s="12">
        <f>IF('Données projet'!$A$244&gt;35,FZ32+FY33-GH32,IF(A33&lt;'Données projet'!$A$244,$FW$205^A33,IF(A33='Données projet'!$A$244,'Données projet'!$B$244,FZ32+FY33-GH32)))</f>
        <v>176.99999999999991</v>
      </c>
      <c r="GA33" s="17">
        <f>FZ33*VLOOKUP('Données projet'!$B$17,Paramètres!$A$1:$I$89,3,0)*VLOOKUP('Données projet'!$B$17,Paramètres!$A$1:$I$89,5,0)</f>
        <v>140.82119999999992</v>
      </c>
      <c r="GB33" s="13">
        <f t="shared" si="49"/>
        <v>36.485066799987997</v>
      </c>
      <c r="GC33" s="20">
        <f t="shared" si="25"/>
        <v>308.80841467664561</v>
      </c>
      <c r="GD33" s="59">
        <f t="shared" si="26"/>
        <v>602.14174800997898</v>
      </c>
      <c r="GE33" s="59">
        <f ca="1">AVERAGE(OFFSET($GD$3,0,0,'Données projet'!$E$17+1,1))-AVERAGE(OFFSET($H$3,0,0,'Données projet'!$E$17+1,1))</f>
        <v>353.37024194969638</v>
      </c>
      <c r="GF33" s="59">
        <f t="shared" si="50"/>
        <v>345.4750813433123</v>
      </c>
      <c r="GG33" s="15">
        <f>IF(ISNA(VLOOKUP(A33,'Données projet'!$A$243:$I$263,3,0)),0,VLOOKUP(A33,'Données projet'!$A$243:$I$263,3,0))</f>
        <v>5</v>
      </c>
      <c r="GH33" s="15">
        <f>IF(ISNA(VLOOKUP(A33,'Données projet'!$A$243:$I$263,4,0)),0,VLOOKUP(A33,'Données projet'!$A$243:$I$263,4,0))</f>
        <v>35</v>
      </c>
      <c r="GI33" s="16">
        <f>IF(ISNA(VLOOKUP(A33,'Données projet'!$A$243:$I$263,5,0)),0%,VLOOKUP(A33,'Données projet'!$A$243:$I$263,5,0)*VLOOKUP('Données projet'!$B$17,Paramètres!$A$1:$I$89,7,0))</f>
        <v>0.10600000000000001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3.2629903879783009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3.2629903879783009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28.636666666666667</v>
      </c>
      <c r="N34" s="13">
        <f>IF('Données projet'!$A$36&gt;35,N33+M34-V33,IF(A34&lt;'Données projet'!$A$36,$K$205^A34,IF(A34='Données projet'!$A$36,'Données projet'!$B$36,N33+M34-V33)))</f>
        <v>358.22666666666669</v>
      </c>
      <c r="O34" s="13">
        <f>N34*VLOOKUP('Données projet'!$B$9,Paramètres!$A$1:$I$89,3,0)*VLOOKUP('Données projet'!$B$9,Paramètres!$A$1:$I$89,5,0)</f>
        <v>200.24870666666666</v>
      </c>
      <c r="P34" s="13">
        <f t="shared" si="33"/>
        <v>49.798821969131197</v>
      </c>
      <c r="Q34" s="20">
        <f t="shared" si="2"/>
        <v>435.49944570734789</v>
      </c>
      <c r="R34" s="59">
        <f t="shared" si="0"/>
        <v>728.8327790406812</v>
      </c>
      <c r="S34" s="59">
        <f ca="1">AVERAGE(OFFSET($R$3,0,0,'Données projet'!$E$9+1,1))-AVERAGE(OFFSET($H$3,0,0,'Données projet'!$E$9+1,1))</f>
        <v>404.65492118472037</v>
      </c>
      <c r="T34" s="59">
        <f t="shared" si="34"/>
        <v>534.22295841722166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10.124509460931028</v>
      </c>
      <c r="AA34" s="21">
        <f>EXP(-LN(2)/25)*AA33+(1-EXP(-LN(2)/25))/(LN(2)/25)*Calculateur!V34*Calculateur!X34*VLOOKUP('Données projet'!$B$9,Paramètres!$A$1:$I$89,3,0)*0.475*44/12</f>
        <v>34.005022380724931</v>
      </c>
      <c r="AB34" s="21">
        <f>EXP(-LN(2)/2)*AB33+(1-EXP(-LN(2)/2))/(LN(2)/2)*V34*Y34*VLOOKUP('Données projet'!$B$9,Paramètres!$A$1:$I$89,3,0)*0.475*44/12</f>
        <v>13.919494348162715</v>
      </c>
      <c r="AC34" s="22">
        <f t="shared" si="3"/>
        <v>58.049026189818676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8.0650000000000013</v>
      </c>
      <c r="AI34" s="13">
        <f>IF('Données projet'!$A$62&gt;35,AI33+AH34-AQ33,IF(A34&lt;'Données projet'!$A$62,$AF$205^A34,IF(A34='Données projet'!$A$62,'Données projet'!$B$62,AI33+AH34-AQ33)))</f>
        <v>250.01499999999996</v>
      </c>
      <c r="AJ34" s="13">
        <f>AI34*VLOOKUP('Données projet'!$B$10,Paramètres!$A$1:$I$89,3,0)*VLOOKUP('Données projet'!$B$10,Paramètres!$A$1:$I$89,5,0)</f>
        <v>117.00701999999998</v>
      </c>
      <c r="AK34" s="13">
        <f t="shared" si="35"/>
        <v>30.975913022695782</v>
      </c>
      <c r="AL34" s="20">
        <f t="shared" si="4"/>
        <v>257.73694168119511</v>
      </c>
      <c r="AM34" s="59">
        <f t="shared" si="5"/>
        <v>551.07027501452842</v>
      </c>
      <c r="AN34" s="59">
        <f ca="1">AVERAGE(OFFSET($AM$3,0,0,'Données projet'!$E$10+1,1))-AVERAGE(OFFSET($H$3,0,0,'Données projet'!$E$10+1,1))</f>
        <v>331.17634116262298</v>
      </c>
      <c r="AO34" s="59">
        <f t="shared" si="36"/>
        <v>286.28916368940605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149.50000000000009</v>
      </c>
      <c r="BE34" s="13">
        <f>BD34*VLOOKUP('Données projet'!$B$11,Paramètres!$A$1:$I$89,3,0)*VLOOKUP('Données projet'!$B$11,Paramètres!$A$1:$I$89,5,0)</f>
        <v>81.627000000000052</v>
      </c>
      <c r="BF34" s="13">
        <f t="shared" si="37"/>
        <v>22.534526747934983</v>
      </c>
      <c r="BG34" s="20">
        <f t="shared" si="7"/>
        <v>181.41465908598684</v>
      </c>
      <c r="BH34" s="59">
        <f t="shared" si="8"/>
        <v>474.74799241932016</v>
      </c>
      <c r="BI34" s="59">
        <f ca="1">AVERAGE(OFFSET($BH$3,0,0,'Données projet'!$E$11+1,1))-AVERAGE(OFFSET($H$3,0,0,'Données projet'!$E$11+1,1))</f>
        <v>165.87377022031535</v>
      </c>
      <c r="BJ34" s="59">
        <f t="shared" si="38"/>
        <v>272.91122662088929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25.158160412250798</v>
      </c>
      <c r="BQ34" s="21">
        <f>EXP(-LN(2)/25)*BQ33+(1-EXP(-LN(2)/25))/(LN(2)/25)*Calculateur!BL34*Calculateur!BN34*VLOOKUP('Données projet'!$B$11,Paramètres!$A$1:$I$89,3,0)*0.475*44/12</f>
        <v>29.356528011901379</v>
      </c>
      <c r="BR34" s="21">
        <f>EXP(-LN(2)/2)*BR33+(1-EXP(-LN(2)/2))/(LN(2)/2)*BL34*BO34*VLOOKUP('Données projet'!$B$11,Paramètres!$A$1:$I$89,3,0)*0.475*44/12</f>
        <v>7.6641963009833312</v>
      </c>
      <c r="BS34" s="22">
        <f t="shared" si="9"/>
        <v>62.178884725135504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4.8385294117647053</v>
      </c>
      <c r="BY34" s="12">
        <f>IF('Données projet'!$A$114&gt;35,BY33+BX34-CG33,IF(A34&lt;'Données projet'!$A$114,$BV$205^A34,IF(A34='Données projet'!$A$114,'Données projet'!$B$114,BY33+BX34-CG33)))</f>
        <v>104.86870927660867</v>
      </c>
      <c r="BZ34" s="13">
        <f>BY34*VLOOKUP('Données projet'!$B$12,Paramètres!$A$1:$I$89,3,0)*VLOOKUP('Données projet'!$B$12,Paramètres!$A$1:$I$89,5,0)</f>
        <v>94.885208153475531</v>
      </c>
      <c r="CA34" s="13">
        <f t="shared" si="39"/>
        <v>25.739770623214099</v>
      </c>
      <c r="CB34" s="20">
        <f t="shared" si="10"/>
        <v>210.08850470273444</v>
      </c>
      <c r="CC34" s="59">
        <f t="shared" si="11"/>
        <v>503.42183803606775</v>
      </c>
      <c r="CD34" s="59">
        <f ca="1">AVERAGE(OFFSET($CC$3,0,0,'Données projet'!$E$12+1,1))-AVERAGE(OFFSET($H$3,0,0,'Données projet'!$E$12+1,1))</f>
        <v>639.86968831634636</v>
      </c>
      <c r="CE34" s="59">
        <f t="shared" si="40"/>
        <v>218.1556771431184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7.8219999999999974</v>
      </c>
      <c r="CT34" s="12">
        <f>IF('Données projet'!$A$140&gt;35,CT33+CS34-DB33,IF(A34&lt;'Données projet'!$A$140,$CQ$205^A34,IF(A34='Données projet'!$A$140,'Données projet'!$B$140,CT33+CS34-DB33)))</f>
        <v>97.56200000000004</v>
      </c>
      <c r="CU34" s="17">
        <f>CT34*VLOOKUP('Données projet'!$B$13,Paramètres!$A$1:$I$89,3,0)*VLOOKUP('Données projet'!$B$13,Paramètres!$A$1:$I$89,5,0)</f>
        <v>85.23016320000005</v>
      </c>
      <c r="CV34" s="13">
        <f t="shared" si="41"/>
        <v>23.411234895176513</v>
      </c>
      <c r="CW34" s="20">
        <f t="shared" si="13"/>
        <v>189.21710168243249</v>
      </c>
      <c r="CX34" s="59">
        <f t="shared" si="14"/>
        <v>482.5504350157658</v>
      </c>
      <c r="CY34" s="59">
        <f ca="1">AVERAGE(OFFSET($CX$3,0,0,'Données projet'!$E$13+1,1))-AVERAGE(OFFSET($H$3,0,0,'Données projet'!$E$13+1,1))</f>
        <v>218.76600554860482</v>
      </c>
      <c r="CZ34" s="59">
        <f t="shared" si="42"/>
        <v>264.34840059907702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5.2692857142857141</v>
      </c>
      <c r="DO34" s="12">
        <f>IF('Données projet'!$A$166&gt;35,DO33+DN34-DW33,IF(A34&lt;'Données projet'!$A$166,$DL$205^A34,IF(A34='Données projet'!$A$166,'Données projet'!$B$166,DO33+DN34-DW33)))</f>
        <v>163.34785714285707</v>
      </c>
      <c r="DP34" s="17">
        <f>DO34*VLOOKUP('Données projet'!$B$14,Paramètres!$A$1:$I$89,3,0)*VLOOKUP('Données projet'!$B$14,Paramètres!$A$1:$I$89,5,0)</f>
        <v>140.15246142857137</v>
      </c>
      <c r="DQ34" s="13">
        <f t="shared" si="43"/>
        <v>36.331930054583964</v>
      </c>
      <c r="DR34" s="20">
        <f t="shared" si="16"/>
        <v>307.37698183316212</v>
      </c>
      <c r="DS34" s="59">
        <f t="shared" si="17"/>
        <v>600.71031516649543</v>
      </c>
      <c r="DT34" s="59">
        <f ca="1">AVERAGE(OFFSET($DS$3,0,0,'Données projet'!$E$14+1,1))-AVERAGE(OFFSET($H$3,0,0,'Données projet'!$E$14+1,1))</f>
        <v>442.97490100035287</v>
      </c>
      <c r="DU34" s="59">
        <f t="shared" si="44"/>
        <v>334.36243356457049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155</v>
      </c>
      <c r="EH34" s="12">
        <f>VLOOKUP(A34,'Données projet'!$A$191:$I$211,9,0)</f>
        <v>11.5</v>
      </c>
      <c r="EI34" s="12">
        <f t="array" ref="EI34">INDEX(EH:EH,MIN(IF(ISNUMBER(EH34:EH230),ROW(EH34:EH230),"")))</f>
        <v>11.5</v>
      </c>
      <c r="EJ34" s="12">
        <f>IF('Données projet'!$A$192&gt;35,EJ33+EI34-ER33,IF(A34&lt;'Données projet'!$A$192,$EG$205^A34,IF(A34='Données projet'!$A$192,'Données projet'!$B$192,EJ33+EI34-ER33)))</f>
        <v>154.99999999999994</v>
      </c>
      <c r="EK34" s="17">
        <f>EJ34*VLOOKUP('Données projet'!$B$15,Paramètres!$A$1:$I$89,3,0)*VLOOKUP('Données projet'!$B$15,Paramètres!$A$1:$I$89,5,0)</f>
        <v>120.89999999999996</v>
      </c>
      <c r="EL34" s="13">
        <f t="shared" si="45"/>
        <v>31.884818143351602</v>
      </c>
      <c r="EM34" s="20">
        <f t="shared" si="19"/>
        <v>266.10022493300397</v>
      </c>
      <c r="EN34" s="59">
        <f t="shared" si="20"/>
        <v>559.43355826633729</v>
      </c>
      <c r="EO34" s="59">
        <f ca="1">AVERAGE(OFFSET($EN$3,0,0,'Données projet'!$E$15+1,1))-AVERAGE(OFFSET($H$3,0,0,'Données projet'!$E$15+1,1))</f>
        <v>288.82868507674738</v>
      </c>
      <c r="EP34" s="59">
        <f t="shared" si="46"/>
        <v>283.48738729114024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36</v>
      </c>
      <c r="ES34" s="16">
        <f>IF(ISNA(VLOOKUP(A34,'Données projet'!$A$191:$I$211,5,0)),0%,VLOOKUP(A34,'Données projet'!$A$191:$I$211,5,0)*VLOOKUP('Données projet'!$B$15,Paramètres!$A$1:$I$89,7,0))</f>
        <v>0.129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7.2732088096103169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7.2732088096103169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113.49935999999994</v>
      </c>
      <c r="FG34" s="13">
        <f t="shared" si="47"/>
        <v>30.153952354272999</v>
      </c>
      <c r="FH34" s="20">
        <f t="shared" si="22"/>
        <v>250.19618568369199</v>
      </c>
      <c r="FI34" s="59">
        <f t="shared" si="23"/>
        <v>543.52951901702534</v>
      </c>
      <c r="FJ34" s="59">
        <f ca="1">AVERAGE(OFFSET($FI$3,0,0,'Données projet'!$E$16+1,1))-AVERAGE(OFFSET($H$3,0,0,'Données projet'!$E$16+1,1))</f>
        <v>328.55201074501201</v>
      </c>
      <c r="FK34" s="59">
        <f t="shared" si="48"/>
        <v>321.81422611044985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2.3918569668020639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2.3918569668020639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12.8</v>
      </c>
      <c r="FZ34" s="12">
        <f>IF('Données projet'!$A$244&gt;35,FZ33+FY34-GH33,IF(A34&lt;'Données projet'!$A$244,$FW$205^A34,IF(A34='Données projet'!$A$244,'Données projet'!$B$244,FZ33+FY34-GH33)))</f>
        <v>154.79999999999993</v>
      </c>
      <c r="GA34" s="17">
        <f>FZ34*VLOOKUP('Données projet'!$B$17,Paramètres!$A$1:$I$89,3,0)*VLOOKUP('Données projet'!$B$17,Paramètres!$A$1:$I$89,5,0)</f>
        <v>123.15887999999995</v>
      </c>
      <c r="GB34" s="13">
        <f t="shared" si="49"/>
        <v>32.410638331814873</v>
      </c>
      <c r="GC34" s="20">
        <f t="shared" si="25"/>
        <v>270.95024442791083</v>
      </c>
      <c r="GD34" s="59">
        <f t="shared" si="26"/>
        <v>564.28357776124415</v>
      </c>
      <c r="GE34" s="59">
        <f ca="1">AVERAGE(OFFSET($GD$3,0,0,'Données projet'!$E$17+1,1))-AVERAGE(OFFSET($H$3,0,0,'Données projet'!$E$17+1,1))</f>
        <v>353.37024194969638</v>
      </c>
      <c r="GF34" s="59">
        <f t="shared" si="50"/>
        <v>345.4750813433123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3.1990051366976644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3.1990051366976644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28.636666666666667</v>
      </c>
      <c r="N35" s="13">
        <f>IF('Données projet'!$A$36&gt;35,N34+M35-V34,IF(A35&lt;'Données projet'!$A$36,$K$205^A35,IF(A35='Données projet'!$A$36,'Données projet'!$B$36,N34+M35-V34)))</f>
        <v>386.86333333333334</v>
      </c>
      <c r="O35" s="13">
        <f>N35*VLOOKUP('Données projet'!$B$9,Paramètres!$A$1:$I$89,3,0)*VLOOKUP('Données projet'!$B$9,Paramètres!$A$1:$I$89,5,0)</f>
        <v>216.25660333333335</v>
      </c>
      <c r="P35" s="13">
        <f t="shared" si="33"/>
        <v>53.30046608666354</v>
      </c>
      <c r="Q35" s="20">
        <f t="shared" ref="Q35:Q66" si="53">(O35+P35)*0.475*44/12</f>
        <v>469.47856257316124</v>
      </c>
      <c r="R35" s="59">
        <f t="shared" si="0"/>
        <v>762.81189590649456</v>
      </c>
      <c r="S35" s="59">
        <f ca="1">AVERAGE(OFFSET($R$3,0,0,'Données projet'!$E$9+1,1))-AVERAGE(OFFSET($H$3,0,0,'Données projet'!$E$9+1,1))</f>
        <v>404.65492118472037</v>
      </c>
      <c r="T35" s="59">
        <f t="shared" si="34"/>
        <v>534.22295841722166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9.9259740057431785</v>
      </c>
      <c r="AA35" s="21">
        <f>EXP(-LN(2)/25)*AA34+(1-EXP(-LN(2)/25))/(LN(2)/25)*Calculateur!V35*Calculateur!X35*VLOOKUP('Données projet'!$B$9,Paramètres!$A$1:$I$89,3,0)*0.475*44/12</f>
        <v>33.075153255477602</v>
      </c>
      <c r="AB35" s="21">
        <f>EXP(-LN(2)/2)*AB34+(1-EXP(-LN(2)/2))/(LN(2)/2)*V35*Y35*VLOOKUP('Données projet'!$B$9,Paramètres!$A$1:$I$89,3,0)*0.475*44/12</f>
        <v>9.8425688442736785</v>
      </c>
      <c r="AC35" s="22">
        <f t="shared" si="3"/>
        <v>52.843696105494459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8.0650000000000013</v>
      </c>
      <c r="AI35" s="13">
        <f>IF('Données projet'!$A$62&gt;35,AI34+AH35-AQ34,IF(A35&lt;'Données projet'!$A$62,$AF$205^A35,IF(A35='Données projet'!$A$62,'Données projet'!$B$62,AI34+AH35-AQ34)))</f>
        <v>258.08</v>
      </c>
      <c r="AJ35" s="13">
        <f>AI35*VLOOKUP('Données projet'!$B$10,Paramètres!$A$1:$I$89,3,0)*VLOOKUP('Données projet'!$B$10,Paramètres!$A$1:$I$89,5,0)</f>
        <v>120.78143999999999</v>
      </c>
      <c r="AK35" s="13">
        <f t="shared" si="35"/>
        <v>31.857188432731608</v>
      </c>
      <c r="AL35" s="20">
        <f t="shared" si="4"/>
        <v>265.84561118700753</v>
      </c>
      <c r="AM35" s="59">
        <f t="shared" si="5"/>
        <v>559.17894452034079</v>
      </c>
      <c r="AN35" s="59">
        <f ca="1">AVERAGE(OFFSET($AM$3,0,0,'Données projet'!$E$10+1,1))-AVERAGE(OFFSET($H$3,0,0,'Données projet'!$E$10+1,1))</f>
        <v>331.17634116262298</v>
      </c>
      <c r="AO35" s="59">
        <f t="shared" si="36"/>
        <v>286.28916368940605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161.00000000000009</v>
      </c>
      <c r="BE35" s="13">
        <f>BD35*VLOOKUP('Données projet'!$B$11,Paramètres!$A$1:$I$89,3,0)*VLOOKUP('Données projet'!$B$11,Paramètres!$A$1:$I$89,5,0)</f>
        <v>87.906000000000049</v>
      </c>
      <c r="BF35" s="13">
        <f t="shared" si="37"/>
        <v>24.059512761382098</v>
      </c>
      <c r="BG35" s="20">
        <f t="shared" si="7"/>
        <v>195.00660139274055</v>
      </c>
      <c r="BH35" s="59">
        <f t="shared" si="8"/>
        <v>488.33993472607386</v>
      </c>
      <c r="BI35" s="59">
        <f ca="1">AVERAGE(OFFSET($BH$3,0,0,'Données projet'!$E$11+1,1))-AVERAGE(OFFSET($H$3,0,0,'Données projet'!$E$11+1,1))</f>
        <v>165.87377022031535</v>
      </c>
      <c r="BJ35" s="59">
        <f t="shared" si="38"/>
        <v>272.91122662088929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24.66482423152922</v>
      </c>
      <c r="BQ35" s="21">
        <f>EXP(-LN(2)/25)*BQ34+(1-EXP(-LN(2)/25))/(LN(2)/25)*Calculateur!BL35*Calculateur!BN35*VLOOKUP('Données projet'!$B$11,Paramètres!$A$1:$I$89,3,0)*0.475*44/12</f>
        <v>28.553772209623222</v>
      </c>
      <c r="BR35" s="21">
        <f>EXP(-LN(2)/2)*BR34+(1-EXP(-LN(2)/2))/(LN(2)/2)*BL35*BO35*VLOOKUP('Données projet'!$B$11,Paramètres!$A$1:$I$89,3,0)*0.475*44/12</f>
        <v>5.4194051767701676</v>
      </c>
      <c r="BS35" s="22">
        <f t="shared" si="9"/>
        <v>58.638001617922612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4.8385294117647053</v>
      </c>
      <c r="BY35" s="12">
        <f>IF('Données projet'!$A$114&gt;35,BY34+BX35-CG34,IF(A35&lt;'Données projet'!$A$114,$BV$205^A35,IF(A35='Données projet'!$A$114,'Données projet'!$B$114,BY34+BX35-CG34)))</f>
        <v>121.85070584963965</v>
      </c>
      <c r="BZ35" s="13">
        <f>BY35*VLOOKUP('Données projet'!$B$12,Paramètres!$A$1:$I$89,3,0)*VLOOKUP('Données projet'!$B$12,Paramètres!$A$1:$I$89,5,0)</f>
        <v>110.25051865275394</v>
      </c>
      <c r="CA35" s="13">
        <f t="shared" si="39"/>
        <v>29.390000904261544</v>
      </c>
      <c r="CB35" s="20">
        <f t="shared" si="10"/>
        <v>243.20723822846864</v>
      </c>
      <c r="CC35" s="59">
        <f t="shared" si="11"/>
        <v>536.54057156180193</v>
      </c>
      <c r="CD35" s="59">
        <f ca="1">AVERAGE(OFFSET($CC$3,0,0,'Données projet'!$E$12+1,1))-AVERAGE(OFFSET($H$3,0,0,'Données projet'!$E$12+1,1))</f>
        <v>639.86968831634636</v>
      </c>
      <c r="CE35" s="59">
        <f t="shared" si="40"/>
        <v>218.1556771431184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7.8219999999999974</v>
      </c>
      <c r="CT35" s="12">
        <f>IF('Données projet'!$A$140&gt;35,CT34+CS35-DB34,IF(A35&lt;'Données projet'!$A$140,$CQ$205^A35,IF(A35='Données projet'!$A$140,'Données projet'!$B$140,CT34+CS35-DB34)))</f>
        <v>105.38400000000004</v>
      </c>
      <c r="CU35" s="17">
        <f>CT35*VLOOKUP('Données projet'!$B$13,Paramètres!$A$1:$I$89,3,0)*VLOOKUP('Données projet'!$B$13,Paramètres!$A$1:$I$89,5,0)</f>
        <v>92.063462400000049</v>
      </c>
      <c r="CV35" s="13">
        <f t="shared" si="41"/>
        <v>25.062223974410312</v>
      </c>
      <c r="CW35" s="20">
        <f t="shared" si="13"/>
        <v>203.99390376876468</v>
      </c>
      <c r="CX35" s="59">
        <f t="shared" si="14"/>
        <v>497.32723710209802</v>
      </c>
      <c r="CY35" s="59">
        <f ca="1">AVERAGE(OFFSET($CX$3,0,0,'Données projet'!$E$13+1,1))-AVERAGE(OFFSET($H$3,0,0,'Données projet'!$E$13+1,1))</f>
        <v>218.76600554860482</v>
      </c>
      <c r="CZ35" s="59">
        <f t="shared" si="42"/>
        <v>264.34840059907702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5.2692857142857141</v>
      </c>
      <c r="DO35" s="12">
        <f>IF('Données projet'!$A$166&gt;35,DO34+DN35-DW34,IF(A35&lt;'Données projet'!$A$166,$DL$205^A35,IF(A35='Données projet'!$A$166,'Données projet'!$B$166,DO34+DN35-DW34)))</f>
        <v>168.61714285714277</v>
      </c>
      <c r="DP35" s="17">
        <f>DO35*VLOOKUP('Données projet'!$B$14,Paramètres!$A$1:$I$89,3,0)*VLOOKUP('Données projet'!$B$14,Paramètres!$A$1:$I$89,5,0)</f>
        <v>144.67350857142853</v>
      </c>
      <c r="DQ35" s="13">
        <f t="shared" si="43"/>
        <v>37.365585996631154</v>
      </c>
      <c r="DR35" s="20">
        <f t="shared" si="16"/>
        <v>317.0514230393706</v>
      </c>
      <c r="DS35" s="59">
        <f t="shared" si="17"/>
        <v>610.38475637270392</v>
      </c>
      <c r="DT35" s="59">
        <f ca="1">AVERAGE(OFFSET($DS$3,0,0,'Données projet'!$E$14+1,1))-AVERAGE(OFFSET($H$3,0,0,'Données projet'!$E$14+1,1))</f>
        <v>442.97490100035287</v>
      </c>
      <c r="DU35" s="59">
        <f t="shared" si="44"/>
        <v>334.36243356457049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11.5</v>
      </c>
      <c r="EJ35" s="12">
        <f>IF('Données projet'!$A$192&gt;35,EJ34+EI35-ER34,IF(A35&lt;'Données projet'!$A$192,$EG$205^A35,IF(A35='Données projet'!$A$192,'Données projet'!$B$192,EJ34+EI35-ER34)))</f>
        <v>130.49999999999994</v>
      </c>
      <c r="EK35" s="17">
        <f>EJ35*VLOOKUP('Données projet'!$B$15,Paramètres!$A$1:$I$89,3,0)*VLOOKUP('Données projet'!$B$15,Paramètres!$A$1:$I$89,5,0)</f>
        <v>101.78999999999996</v>
      </c>
      <c r="EL35" s="13">
        <f t="shared" si="45"/>
        <v>27.38799903683508</v>
      </c>
      <c r="EM35" s="20">
        <f t="shared" si="19"/>
        <v>224.98501498915437</v>
      </c>
      <c r="EN35" s="59">
        <f t="shared" si="20"/>
        <v>518.31834832248774</v>
      </c>
      <c r="EO35" s="59">
        <f ca="1">AVERAGE(OFFSET($EN$3,0,0,'Données projet'!$E$15+1,1))-AVERAGE(OFFSET($H$3,0,0,'Données projet'!$E$15+1,1))</f>
        <v>288.82868507674738</v>
      </c>
      <c r="EP35" s="59">
        <f t="shared" si="46"/>
        <v>283.48738729114024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7.1305856210731919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7.1305856210731919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122.88431999999995</v>
      </c>
      <c r="FG35" s="13">
        <f t="shared" si="47"/>
        <v>32.346786815026803</v>
      </c>
      <c r="FH35" s="20">
        <f t="shared" si="22"/>
        <v>270.36084436950489</v>
      </c>
      <c r="FI35" s="59">
        <f t="shared" si="23"/>
        <v>563.69417770283826</v>
      </c>
      <c r="FJ35" s="59">
        <f ca="1">AVERAGE(OFFSET($FI$3,0,0,'Données projet'!$E$16+1,1))-AVERAGE(OFFSET($H$3,0,0,'Données projet'!$E$16+1,1))</f>
        <v>328.55201074501201</v>
      </c>
      <c r="FK35" s="59">
        <f t="shared" si="48"/>
        <v>321.81422611044985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2.3449541105717717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2.3449541105717717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12.8</v>
      </c>
      <c r="FZ35" s="12">
        <f>IF('Données projet'!$A$244&gt;35,FZ34+FY35-GH34,IF(A35&lt;'Données projet'!$A$244,$FW$205^A35,IF(A35='Données projet'!$A$244,'Données projet'!$B$244,FZ34+FY35-GH34)))</f>
        <v>167.59999999999994</v>
      </c>
      <c r="GA35" s="17">
        <f>FZ35*VLOOKUP('Données projet'!$B$17,Paramètres!$A$1:$I$89,3,0)*VLOOKUP('Données projet'!$B$17,Paramètres!$A$1:$I$89,5,0)</f>
        <v>133.34255999999996</v>
      </c>
      <c r="GB35" s="13">
        <f t="shared" si="49"/>
        <v>34.767581918978188</v>
      </c>
      <c r="GC35" s="20">
        <f t="shared" si="25"/>
        <v>292.7918305088869</v>
      </c>
      <c r="GD35" s="59">
        <f t="shared" si="26"/>
        <v>586.12516384222022</v>
      </c>
      <c r="GE35" s="59">
        <f ca="1">AVERAGE(OFFSET($GD$3,0,0,'Données projet'!$E$17+1,1))-AVERAGE(OFFSET($H$3,0,0,'Données projet'!$E$17+1,1))</f>
        <v>353.37024194969638</v>
      </c>
      <c r="GF35" s="59">
        <f t="shared" si="50"/>
        <v>345.4750813433123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3.1362745971674917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3.1362745971674917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28.636666666666667</v>
      </c>
      <c r="N36" s="13">
        <f>IF('Données projet'!$A$36&gt;35,N35+M36-V35,IF(A36&lt;'Données projet'!$A$36,$K$205^A36,IF(A36='Données projet'!$A$36,'Données projet'!$B$36,N35+M36-V35)))</f>
        <v>415.5</v>
      </c>
      <c r="O36" s="13">
        <f>N36*VLOOKUP('Données projet'!$B$9,Paramètres!$A$1:$I$89,3,0)*VLOOKUP('Données projet'!$B$9,Paramètres!$A$1:$I$89,5,0)</f>
        <v>232.2645</v>
      </c>
      <c r="P36" s="13">
        <f t="shared" si="33"/>
        <v>56.772039827032373</v>
      </c>
      <c r="Q36" s="20">
        <f t="shared" si="53"/>
        <v>503.40530686541462</v>
      </c>
      <c r="R36" s="59">
        <f t="shared" si="0"/>
        <v>796.73864019874793</v>
      </c>
      <c r="S36" s="59">
        <f ca="1">AVERAGE(OFFSET($R$3,0,0,'Données projet'!$E$9+1,1))-AVERAGE(OFFSET($H$3,0,0,'Données projet'!$E$9+1,1))</f>
        <v>404.65492118472037</v>
      </c>
      <c r="T36" s="59">
        <f t="shared" si="34"/>
        <v>534.22295841722166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9.7313317097368905</v>
      </c>
      <c r="AA36" s="21">
        <f>EXP(-LN(2)/25)*AA35+(1-EXP(-LN(2)/25))/(LN(2)/25)*Calculateur!V36*Calculateur!X36*VLOOKUP('Données projet'!$B$9,Paramètres!$A$1:$I$89,3,0)*0.475*44/12</f>
        <v>32.170711450359853</v>
      </c>
      <c r="AB36" s="21">
        <f>EXP(-LN(2)/2)*AB35+(1-EXP(-LN(2)/2))/(LN(2)/2)*V36*Y36*VLOOKUP('Données projet'!$B$9,Paramètres!$A$1:$I$89,3,0)*0.475*44/12</f>
        <v>6.9597471740813583</v>
      </c>
      <c r="AC36" s="22">
        <f t="shared" si="3"/>
        <v>48.861790334178103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8.0650000000000013</v>
      </c>
      <c r="AI36" s="13">
        <f>IF('Données projet'!$A$62&gt;35,AI35+AH36-AQ35,IF(A36&lt;'Données projet'!$A$62,$AF$205^A36,IF(A36='Données projet'!$A$62,'Données projet'!$B$62,AI35+AH36-AQ35)))</f>
        <v>266.14499999999998</v>
      </c>
      <c r="AJ36" s="13">
        <f>AI36*VLOOKUP('Données projet'!$B$10,Paramètres!$A$1:$I$89,3,0)*VLOOKUP('Données projet'!$B$10,Paramètres!$A$1:$I$89,5,0)</f>
        <v>124.55586</v>
      </c>
      <c r="AK36" s="13">
        <f t="shared" si="35"/>
        <v>32.735263476319801</v>
      </c>
      <c r="AL36" s="20">
        <f t="shared" si="4"/>
        <v>273.948706721257</v>
      </c>
      <c r="AM36" s="59">
        <f t="shared" si="5"/>
        <v>567.28204005459031</v>
      </c>
      <c r="AN36" s="59">
        <f ca="1">AVERAGE(OFFSET($AM$3,0,0,'Données projet'!$E$10+1,1))-AVERAGE(OFFSET($H$3,0,0,'Données projet'!$E$10+1,1))</f>
        <v>331.17634116262298</v>
      </c>
      <c r="AO36" s="59">
        <f t="shared" si="36"/>
        <v>286.28916368940605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172.50000000000009</v>
      </c>
      <c r="BE36" s="13">
        <f>BD36*VLOOKUP('Données projet'!$B$11,Paramètres!$A$1:$I$89,3,0)*VLOOKUP('Données projet'!$B$11,Paramètres!$A$1:$I$89,5,0)</f>
        <v>94.185000000000045</v>
      </c>
      <c r="BF36" s="13">
        <f t="shared" si="37"/>
        <v>25.571860829914918</v>
      </c>
      <c r="BG36" s="20">
        <f t="shared" si="7"/>
        <v>208.57653261210189</v>
      </c>
      <c r="BH36" s="59">
        <f t="shared" si="8"/>
        <v>501.90986594543517</v>
      </c>
      <c r="BI36" s="59">
        <f ca="1">AVERAGE(OFFSET($BH$3,0,0,'Données projet'!$E$11+1,1))-AVERAGE(OFFSET($H$3,0,0,'Données projet'!$E$11+1,1))</f>
        <v>165.87377022031535</v>
      </c>
      <c r="BJ36" s="59">
        <f t="shared" si="38"/>
        <v>272.91122662088929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24.181162072406234</v>
      </c>
      <c r="BQ36" s="21">
        <f>EXP(-LN(2)/25)*BQ35+(1-EXP(-LN(2)/25))/(LN(2)/25)*Calculateur!BL36*Calculateur!BN36*VLOOKUP('Données projet'!$B$11,Paramètres!$A$1:$I$89,3,0)*0.475*44/12</f>
        <v>27.772967806973455</v>
      </c>
      <c r="BR36" s="21">
        <f>EXP(-LN(2)/2)*BR35+(1-EXP(-LN(2)/2))/(LN(2)/2)*BL36*BO36*VLOOKUP('Données projet'!$B$11,Paramètres!$A$1:$I$89,3,0)*0.475*44/12</f>
        <v>3.832098150491666</v>
      </c>
      <c r="BS36" s="22">
        <f t="shared" si="9"/>
        <v>55.78622802987136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4.8385294117647053</v>
      </c>
      <c r="BY36" s="12">
        <f>IF('Données projet'!$A$114&gt;35,BY35+BX36-CG35,IF(A36&lt;'Données projet'!$A$114,$BV$205^A36,IF(A36='Données projet'!$A$114,'Données projet'!$B$114,BY35+BX36-CG35)))</f>
        <v>141.58269533853425</v>
      </c>
      <c r="BZ36" s="13">
        <f>BY36*VLOOKUP('Données projet'!$B$12,Paramètres!$A$1:$I$89,3,0)*VLOOKUP('Données projet'!$B$12,Paramètres!$A$1:$I$89,5,0)</f>
        <v>128.10402274230577</v>
      </c>
      <c r="CA36" s="13">
        <f t="shared" si="39"/>
        <v>33.557880751799587</v>
      </c>
      <c r="CB36" s="20">
        <f t="shared" si="10"/>
        <v>281.5611485855668</v>
      </c>
      <c r="CC36" s="59">
        <f t="shared" si="11"/>
        <v>574.89448191890006</v>
      </c>
      <c r="CD36" s="59">
        <f ca="1">AVERAGE(OFFSET($CC$3,0,0,'Données projet'!$E$12+1,1))-AVERAGE(OFFSET($H$3,0,0,'Données projet'!$E$12+1,1))</f>
        <v>639.86968831634636</v>
      </c>
      <c r="CE36" s="59">
        <f t="shared" si="40"/>
        <v>218.1556771431184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7.8219999999999974</v>
      </c>
      <c r="CT36" s="12">
        <f>IF('Données projet'!$A$140&gt;35,CT35+CS36-DB35,IF(A36&lt;'Données projet'!$A$140,$CQ$205^A36,IF(A36='Données projet'!$A$140,'Données projet'!$B$140,CT35+CS36-DB35)))</f>
        <v>113.20600000000005</v>
      </c>
      <c r="CU36" s="17">
        <f>CT36*VLOOKUP('Données projet'!$B$13,Paramètres!$A$1:$I$89,3,0)*VLOOKUP('Données projet'!$B$13,Paramètres!$A$1:$I$89,5,0)</f>
        <v>98.896761600000048</v>
      </c>
      <c r="CV36" s="13">
        <f t="shared" si="41"/>
        <v>26.698996755924959</v>
      </c>
      <c r="CW36" s="20">
        <f t="shared" si="13"/>
        <v>218.74594580323603</v>
      </c>
      <c r="CX36" s="59">
        <f t="shared" si="14"/>
        <v>512.07927913656931</v>
      </c>
      <c r="CY36" s="59">
        <f ca="1">AVERAGE(OFFSET($CX$3,0,0,'Données projet'!$E$13+1,1))-AVERAGE(OFFSET($H$3,0,0,'Données projet'!$E$13+1,1))</f>
        <v>218.76600554860482</v>
      </c>
      <c r="CZ36" s="59">
        <f t="shared" si="42"/>
        <v>264.34840059907702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5.2692857142857141</v>
      </c>
      <c r="DO36" s="12">
        <f>IF('Données projet'!$A$166&gt;35,DO35+DN36-DW35,IF(A36&lt;'Données projet'!$A$166,$DL$205^A36,IF(A36='Données projet'!$A$166,'Données projet'!$B$166,DO35+DN36-DW35)))</f>
        <v>173.88642857142847</v>
      </c>
      <c r="DP36" s="17">
        <f>DO36*VLOOKUP('Données projet'!$B$14,Paramètres!$A$1:$I$89,3,0)*VLOOKUP('Données projet'!$B$14,Paramètres!$A$1:$I$89,5,0)</f>
        <v>149.19455571428563</v>
      </c>
      <c r="DQ36" s="13">
        <f t="shared" si="43"/>
        <v>38.39548819977027</v>
      </c>
      <c r="DR36" s="20">
        <f t="shared" si="16"/>
        <v>326.71932648364736</v>
      </c>
      <c r="DS36" s="59">
        <f t="shared" si="17"/>
        <v>620.05265981698062</v>
      </c>
      <c r="DT36" s="59">
        <f ca="1">AVERAGE(OFFSET($DS$3,0,0,'Données projet'!$E$14+1,1))-AVERAGE(OFFSET($H$3,0,0,'Données projet'!$E$14+1,1))</f>
        <v>442.97490100035287</v>
      </c>
      <c r="DU36" s="59">
        <f t="shared" si="44"/>
        <v>334.36243356457049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11.5</v>
      </c>
      <c r="EJ36" s="12">
        <f>IF('Données projet'!$A$192&gt;35,EJ35+EI36-ER35,IF(A36&lt;'Données projet'!$A$192,$EG$205^A36,IF(A36='Données projet'!$A$192,'Données projet'!$B$192,EJ35+EI36-ER35)))</f>
        <v>141.99999999999994</v>
      </c>
      <c r="EK36" s="17">
        <f>EJ36*VLOOKUP('Données projet'!$B$15,Paramètres!$A$1:$I$89,3,0)*VLOOKUP('Données projet'!$B$15,Paramètres!$A$1:$I$89,5,0)</f>
        <v>110.75999999999996</v>
      </c>
      <c r="EL36" s="13">
        <f t="shared" si="45"/>
        <v>29.509974682362923</v>
      </c>
      <c r="EM36" s="20">
        <f t="shared" si="19"/>
        <v>244.30353923844871</v>
      </c>
      <c r="EN36" s="59">
        <f t="shared" si="20"/>
        <v>537.63687257178208</v>
      </c>
      <c r="EO36" s="59">
        <f ca="1">AVERAGE(OFFSET($EN$3,0,0,'Données projet'!$E$15+1,1))-AVERAGE(OFFSET($H$3,0,0,'Données projet'!$E$15+1,1))</f>
        <v>288.82868507674738</v>
      </c>
      <c r="EP36" s="59">
        <f t="shared" si="46"/>
        <v>283.48738729114024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6.9907591862717249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6.9907591862717249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132.26927999999995</v>
      </c>
      <c r="FG36" s="13">
        <f t="shared" si="47"/>
        <v>34.520194019648734</v>
      </c>
      <c r="FH36" s="20">
        <f t="shared" si="22"/>
        <v>290.4916672508881</v>
      </c>
      <c r="FI36" s="59">
        <f t="shared" si="23"/>
        <v>583.82500058422147</v>
      </c>
      <c r="FJ36" s="59">
        <f ca="1">AVERAGE(OFFSET($FI$3,0,0,'Données projet'!$E$16+1,1))-AVERAGE(OFFSET($H$3,0,0,'Données projet'!$E$16+1,1))</f>
        <v>328.55201074501201</v>
      </c>
      <c r="FK36" s="59">
        <f t="shared" si="48"/>
        <v>321.81422611044985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2.2989709907442384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2.2989709907442384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12.8</v>
      </c>
      <c r="FZ36" s="12">
        <f>IF('Données projet'!$A$244&gt;35,FZ35+FY36-GH35,IF(A36&lt;'Données projet'!$A$244,$FW$205^A36,IF(A36='Données projet'!$A$244,'Données projet'!$B$244,FZ35+FY36-GH35)))</f>
        <v>180.39999999999995</v>
      </c>
      <c r="GA36" s="17">
        <f>FZ36*VLOOKUP('Données projet'!$B$17,Paramètres!$A$1:$I$89,3,0)*VLOOKUP('Données projet'!$B$17,Paramètres!$A$1:$I$89,5,0)</f>
        <v>143.52623999999997</v>
      </c>
      <c r="GB36" s="13">
        <f t="shared" si="49"/>
        <v>37.103644337236275</v>
      </c>
      <c r="GC36" s="20">
        <f t="shared" si="25"/>
        <v>314.59704855401981</v>
      </c>
      <c r="GD36" s="59">
        <f t="shared" si="26"/>
        <v>607.93038188735318</v>
      </c>
      <c r="GE36" s="59">
        <f ca="1">AVERAGE(OFFSET($GD$3,0,0,'Données projet'!$E$17+1,1))-AVERAGE(OFFSET($H$3,0,0,'Données projet'!$E$17+1,1))</f>
        <v>353.37024194969638</v>
      </c>
      <c r="GF36" s="59">
        <f t="shared" si="50"/>
        <v>345.4750813433123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3.0747741652556546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3.0747741652556546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28.636666666666667</v>
      </c>
      <c r="N37" s="13">
        <f>IF('Données projet'!$A$36&gt;35,N36+M37-V36,IF(A37&lt;'Données projet'!$A$36,$K$205^A37,IF(A37='Données projet'!$A$36,'Données projet'!$B$36,N36+M37-V36)))</f>
        <v>444.13666666666666</v>
      </c>
      <c r="O37" s="13">
        <f>N37*VLOOKUP('Données projet'!$B$9,Paramètres!$A$1:$I$89,3,0)*VLOOKUP('Données projet'!$B$9,Paramètres!$A$1:$I$89,5,0)</f>
        <v>248.27239666666668</v>
      </c>
      <c r="P37" s="13">
        <f t="shared" si="33"/>
        <v>60.215851431236757</v>
      </c>
      <c r="Q37" s="20">
        <f t="shared" si="53"/>
        <v>537.28369877051512</v>
      </c>
      <c r="R37" s="59">
        <f t="shared" si="0"/>
        <v>830.61703210384849</v>
      </c>
      <c r="S37" s="59">
        <f ca="1">AVERAGE(OFFSET($R$3,0,0,'Données projet'!$E$9+1,1))-AVERAGE(OFFSET($H$3,0,0,'Données projet'!$E$9+1,1))</f>
        <v>404.65492118472037</v>
      </c>
      <c r="T37" s="59">
        <f t="shared" si="34"/>
        <v>534.22295841722166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9.5405062304352093</v>
      </c>
      <c r="AA37" s="21">
        <f>EXP(-LN(2)/25)*AA36+(1-EXP(-LN(2)/25))/(LN(2)/25)*Calculateur!V37*Calculateur!X37*VLOOKUP('Données projet'!$B$9,Paramètres!$A$1:$I$89,3,0)*0.475*44/12</f>
        <v>31.291001653965576</v>
      </c>
      <c r="AB37" s="21">
        <f>EXP(-LN(2)/2)*AB36+(1-EXP(-LN(2)/2))/(LN(2)/2)*V37*Y37*VLOOKUP('Données projet'!$B$9,Paramètres!$A$1:$I$89,3,0)*0.475*44/12</f>
        <v>4.9212844221368401</v>
      </c>
      <c r="AC37" s="22">
        <f t="shared" si="3"/>
        <v>45.752792306537629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8.0650000000000013</v>
      </c>
      <c r="AI37" s="13">
        <f>IF('Données projet'!$A$62&gt;35,AI36+AH37-AQ36,IF(A37&lt;'Données projet'!$A$62,$AF$205^A37,IF(A37='Données projet'!$A$62,'Données projet'!$B$62,AI36+AH37-AQ36)))</f>
        <v>274.20999999999998</v>
      </c>
      <c r="AJ37" s="13">
        <f>AI37*VLOOKUP('Données projet'!$B$10,Paramètres!$A$1:$I$89,3,0)*VLOOKUP('Données projet'!$B$10,Paramètres!$A$1:$I$89,5,0)</f>
        <v>128.33027999999999</v>
      </c>
      <c r="AK37" s="13">
        <f t="shared" si="35"/>
        <v>33.610246265661885</v>
      </c>
      <c r="AL37" s="20">
        <f t="shared" si="4"/>
        <v>282.04641657936111</v>
      </c>
      <c r="AM37" s="59">
        <f t="shared" si="5"/>
        <v>575.37974991269448</v>
      </c>
      <c r="AN37" s="59">
        <f ca="1">AVERAGE(OFFSET($AM$3,0,0,'Données projet'!$E$10+1,1))-AVERAGE(OFFSET($H$3,0,0,'Données projet'!$E$10+1,1))</f>
        <v>331.17634116262298</v>
      </c>
      <c r="AO37" s="59">
        <f t="shared" si="36"/>
        <v>286.28916368940605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184.00000000000009</v>
      </c>
      <c r="BE37" s="13">
        <f>BD37*VLOOKUP('Données projet'!$B$11,Paramètres!$A$1:$I$89,3,0)*VLOOKUP('Données projet'!$B$11,Paramètres!$A$1:$I$89,5,0)</f>
        <v>100.46400000000004</v>
      </c>
      <c r="BF37" s="13">
        <f t="shared" si="37"/>
        <v>27.072509349827477</v>
      </c>
      <c r="BG37" s="20">
        <f t="shared" si="7"/>
        <v>222.12608711761627</v>
      </c>
      <c r="BH37" s="59">
        <f t="shared" si="8"/>
        <v>515.45942045094955</v>
      </c>
      <c r="BI37" s="59">
        <f ca="1">AVERAGE(OFFSET($BH$3,0,0,'Données projet'!$E$11+1,1))-AVERAGE(OFFSET($H$3,0,0,'Données projet'!$E$11+1,1))</f>
        <v>165.87377022031535</v>
      </c>
      <c r="BJ37" s="59">
        <f t="shared" si="38"/>
        <v>272.91122662088929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23.706984233218865</v>
      </c>
      <c r="BQ37" s="21">
        <f>EXP(-LN(2)/25)*BQ36+(1-EXP(-LN(2)/25))/(LN(2)/25)*Calculateur!BL37*Calculateur!BN37*VLOOKUP('Données projet'!$B$11,Paramètres!$A$1:$I$89,3,0)*0.475*44/12</f>
        <v>27.013514541774864</v>
      </c>
      <c r="BR37" s="21">
        <f>EXP(-LN(2)/2)*BR36+(1-EXP(-LN(2)/2))/(LN(2)/2)*BL37*BO37*VLOOKUP('Données projet'!$B$11,Paramètres!$A$1:$I$89,3,0)*0.475*44/12</f>
        <v>2.7097025883850843</v>
      </c>
      <c r="BS37" s="22">
        <f t="shared" si="9"/>
        <v>53.430201363378814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>
        <f>VLOOKUP(A37,'Données projet'!$A$113:$I$133,2,0)</f>
        <v>164.51</v>
      </c>
      <c r="BW37" s="12">
        <f>VLOOKUP(A37,'Données projet'!$A$113:$I$133,9,0)</f>
        <v>4.8385294117647053</v>
      </c>
      <c r="BX37" s="12">
        <f t="array" ref="BX37">INDEX(BW:BW,MIN(IF(ISNUMBER(BW37:BW233),ROW(BW37:BW233),"")))</f>
        <v>4.8385294117647053</v>
      </c>
      <c r="BY37" s="12">
        <f>IF('Données projet'!$A$114&gt;35,BY36+BX37-CG36,IF(A37&lt;'Données projet'!$A$114,$BV$205^A37,IF(A37='Données projet'!$A$114,'Données projet'!$B$114,BY36+BX37-CG36)))</f>
        <v>164.51</v>
      </c>
      <c r="BZ37" s="13">
        <f>BY37*VLOOKUP('Données projet'!$B$12,Paramètres!$A$1:$I$89,3,0)*VLOOKUP('Données projet'!$B$12,Paramètres!$A$1:$I$89,5,0)</f>
        <v>148.848648</v>
      </c>
      <c r="CA37" s="13">
        <f t="shared" si="39"/>
        <v>38.316819527171717</v>
      </c>
      <c r="CB37" s="20">
        <f t="shared" si="10"/>
        <v>325.97985594315736</v>
      </c>
      <c r="CC37" s="59">
        <f t="shared" si="11"/>
        <v>619.31318927649068</v>
      </c>
      <c r="CD37" s="59">
        <f ca="1">AVERAGE(OFFSET($CC$3,0,0,'Données projet'!$E$12+1,1))-AVERAGE(OFFSET($H$3,0,0,'Données projet'!$E$12+1,1))</f>
        <v>639.86968831634636</v>
      </c>
      <c r="CE37" s="59">
        <f t="shared" si="40"/>
        <v>218.1556771431184</v>
      </c>
      <c r="CF37" s="15">
        <f>IF(ISNA(VLOOKUP(A37,'Données projet'!$A$113:$I$133,3,0)),0,VLOOKUP(A37,'Données projet'!$A$113:$I$133,3,0))</f>
        <v>1</v>
      </c>
      <c r="CG37" s="15">
        <f>IF(ISNA(VLOOKUP(A37,'Données projet'!$A$113:$I$133,4,0)),0,VLOOKUP(A37,'Données projet'!$A$113:$I$133,4,0))</f>
        <v>35.450000000000003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7.8219999999999974</v>
      </c>
      <c r="CT37" s="12">
        <f>IF('Données projet'!$A$140&gt;35,CT36+CS37-DB36,IF(A37&lt;'Données projet'!$A$140,$CQ$205^A37,IF(A37='Données projet'!$A$140,'Données projet'!$B$140,CT36+CS37-DB36)))</f>
        <v>121.02800000000005</v>
      </c>
      <c r="CU37" s="17">
        <f>CT37*VLOOKUP('Données projet'!$B$13,Paramètres!$A$1:$I$89,3,0)*VLOOKUP('Données projet'!$B$13,Paramètres!$A$1:$I$89,5,0)</f>
        <v>105.73006080000006</v>
      </c>
      <c r="CV37" s="13">
        <f t="shared" si="41"/>
        <v>28.322647259041325</v>
      </c>
      <c r="CW37" s="20">
        <f t="shared" si="13"/>
        <v>233.47513320283042</v>
      </c>
      <c r="CX37" s="59">
        <f t="shared" si="14"/>
        <v>526.80846653616368</v>
      </c>
      <c r="CY37" s="59">
        <f ca="1">AVERAGE(OFFSET($CX$3,0,0,'Données projet'!$E$13+1,1))-AVERAGE(OFFSET($H$3,0,0,'Données projet'!$E$13+1,1))</f>
        <v>218.76600554860482</v>
      </c>
      <c r="CZ37" s="59">
        <f t="shared" si="42"/>
        <v>264.34840059907702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5.2692857142857141</v>
      </c>
      <c r="DO37" s="12">
        <f>IF('Données projet'!$A$166&gt;35,DO36+DN37-DW36,IF(A37&lt;'Données projet'!$A$166,$DL$205^A37,IF(A37='Données projet'!$A$166,'Données projet'!$B$166,DO36+DN37-DW36)))</f>
        <v>179.15571428571417</v>
      </c>
      <c r="DP37" s="17">
        <f>DO37*VLOOKUP('Données projet'!$B$14,Paramètres!$A$1:$I$89,3,0)*VLOOKUP('Données projet'!$B$14,Paramètres!$A$1:$I$89,5,0)</f>
        <v>153.71560285714278</v>
      </c>
      <c r="DQ37" s="13">
        <f t="shared" si="43"/>
        <v>39.421763469785759</v>
      </c>
      <c r="DR37" s="20">
        <f t="shared" si="16"/>
        <v>336.38091301940051</v>
      </c>
      <c r="DS37" s="59">
        <f t="shared" si="17"/>
        <v>629.71424635273388</v>
      </c>
      <c r="DT37" s="59">
        <f ca="1">AVERAGE(OFFSET($DS$3,0,0,'Données projet'!$E$14+1,1))-AVERAGE(OFFSET($H$3,0,0,'Données projet'!$E$14+1,1))</f>
        <v>442.97490100035287</v>
      </c>
      <c r="DU37" s="59">
        <f t="shared" si="44"/>
        <v>334.36243356457049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11.5</v>
      </c>
      <c r="EJ37" s="12">
        <f>IF('Données projet'!$A$192&gt;35,EJ36+EI37-ER36,IF(A37&lt;'Données projet'!$A$192,$EG$205^A37,IF(A37='Données projet'!$A$192,'Données projet'!$B$192,EJ36+EI37-ER36)))</f>
        <v>153.49999999999994</v>
      </c>
      <c r="EK37" s="17">
        <f>EJ37*VLOOKUP('Données projet'!$B$15,Paramètres!$A$1:$I$89,3,0)*VLOOKUP('Données projet'!$B$15,Paramètres!$A$1:$I$89,5,0)</f>
        <v>119.72999999999996</v>
      </c>
      <c r="EL37" s="13">
        <f t="shared" si="45"/>
        <v>31.612017974790529</v>
      </c>
      <c r="EM37" s="20">
        <f t="shared" si="19"/>
        <v>263.58734797276003</v>
      </c>
      <c r="EN37" s="59">
        <f t="shared" si="20"/>
        <v>556.92068130609334</v>
      </c>
      <c r="EO37" s="59">
        <f ca="1">AVERAGE(OFFSET($EN$3,0,0,'Données projet'!$E$15+1,1))-AVERAGE(OFFSET($H$3,0,0,'Données projet'!$E$15+1,1))</f>
        <v>288.82868507674738</v>
      </c>
      <c r="EP37" s="59">
        <f t="shared" si="46"/>
        <v>283.48738729114024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6.8536746625710103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6.8536746625710103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141.65423999999996</v>
      </c>
      <c r="FG37" s="13">
        <f t="shared" si="47"/>
        <v>36.675709178601934</v>
      </c>
      <c r="FH37" s="20">
        <f t="shared" si="22"/>
        <v>310.59132815273165</v>
      </c>
      <c r="FI37" s="59">
        <f t="shared" si="23"/>
        <v>603.92466148606491</v>
      </c>
      <c r="FJ37" s="59">
        <f ca="1">AVERAGE(OFFSET($FI$3,0,0,'Données projet'!$E$16+1,1))-AVERAGE(OFFSET($H$3,0,0,'Données projet'!$E$16+1,1))</f>
        <v>328.55201074501201</v>
      </c>
      <c r="FK37" s="59">
        <f t="shared" si="48"/>
        <v>321.81422611044985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2.253889571849589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2.253889571849589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12.8</v>
      </c>
      <c r="FZ37" s="12">
        <f>IF('Données projet'!$A$244&gt;35,FZ36+FY37-GH36,IF(A37&lt;'Données projet'!$A$244,$FW$205^A37,IF(A37='Données projet'!$A$244,'Données projet'!$B$244,FZ36+FY37-GH36)))</f>
        <v>193.19999999999996</v>
      </c>
      <c r="GA37" s="17">
        <f>FZ37*VLOOKUP('Données projet'!$B$17,Paramètres!$A$1:$I$89,3,0)*VLOOKUP('Données projet'!$B$17,Paramètres!$A$1:$I$89,5,0)</f>
        <v>153.70991999999998</v>
      </c>
      <c r="GB37" s="13">
        <f t="shared" si="49"/>
        <v>39.420475690379831</v>
      </c>
      <c r="GC37" s="20">
        <f t="shared" si="25"/>
        <v>336.3687724940782</v>
      </c>
      <c r="GD37" s="59">
        <f t="shared" si="26"/>
        <v>629.70210582741151</v>
      </c>
      <c r="GE37" s="59">
        <f ca="1">AVERAGE(OFFSET($GD$3,0,0,'Données projet'!$E$17+1,1))-AVERAGE(OFFSET($H$3,0,0,'Données projet'!$E$17+1,1))</f>
        <v>353.37024194969638</v>
      </c>
      <c r="GF37" s="59">
        <f t="shared" si="50"/>
        <v>345.4750813433123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3.0144797193020492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3.0144797193020492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28.636666666666667</v>
      </c>
      <c r="N38" s="13">
        <f>IF('Données projet'!$A$36&gt;35,N37+M38-V37,IF(A38&lt;'Données projet'!$A$36,$K$205^A38,IF(A38='Données projet'!$A$36,'Données projet'!$B$36,N37+M38-V37)))</f>
        <v>472.77333333333331</v>
      </c>
      <c r="O38" s="13">
        <f>N38*VLOOKUP('Données projet'!$B$9,Paramètres!$A$1:$I$89,3,0)*VLOOKUP('Données projet'!$B$9,Paramètres!$A$1:$I$89,5,0)</f>
        <v>264.2802933333333</v>
      </c>
      <c r="P38" s="13">
        <f t="shared" si="33"/>
        <v>63.633894652157629</v>
      </c>
      <c r="Q38" s="20">
        <f t="shared" si="53"/>
        <v>571.11721074139666</v>
      </c>
      <c r="R38" s="59">
        <f t="shared" si="0"/>
        <v>864.45054407473003</v>
      </c>
      <c r="S38" s="59">
        <f ca="1">AVERAGE(OFFSET($R$3,0,0,'Données projet'!$E$9+1,1))-AVERAGE(OFFSET($H$3,0,0,'Données projet'!$E$9+1,1))</f>
        <v>404.65492118472037</v>
      </c>
      <c r="T38" s="59">
        <f t="shared" si="34"/>
        <v>534.22295841722166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9.353422722390583</v>
      </c>
      <c r="AA38" s="21">
        <f>EXP(-LN(2)/25)*AA37+(1-EXP(-LN(2)/25))/(LN(2)/25)*Calculateur!V38*Calculateur!X38*VLOOKUP('Données projet'!$B$9,Paramètres!$A$1:$I$89,3,0)*0.475*44/12</f>
        <v>30.435347568215626</v>
      </c>
      <c r="AB38" s="21">
        <f>EXP(-LN(2)/2)*AB37+(1-EXP(-LN(2)/2))/(LN(2)/2)*V38*Y38*VLOOKUP('Données projet'!$B$9,Paramètres!$A$1:$I$89,3,0)*0.475*44/12</f>
        <v>3.4798735870406796</v>
      </c>
      <c r="AC38" s="22">
        <f t="shared" si="3"/>
        <v>43.268643877646888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8.0650000000000013</v>
      </c>
      <c r="AI38" s="13">
        <f>IF('Données projet'!$A$62&gt;35,AI37+AH38-AQ37,IF(A38&lt;'Données projet'!$A$62,$AF$205^A38,IF(A38='Données projet'!$A$62,'Données projet'!$B$62,AI37+AH38-AQ37)))</f>
        <v>282.27499999999998</v>
      </c>
      <c r="AJ38" s="13">
        <f>AI38*VLOOKUP('Données projet'!$B$10,Paramètres!$A$1:$I$89,3,0)*VLOOKUP('Données projet'!$B$10,Paramètres!$A$1:$I$89,5,0)</f>
        <v>132.10469999999998</v>
      </c>
      <c r="AK38" s="13">
        <f t="shared" si="35"/>
        <v>34.482238191864838</v>
      </c>
      <c r="AL38" s="20">
        <f t="shared" si="4"/>
        <v>290.13891735083121</v>
      </c>
      <c r="AM38" s="59">
        <f t="shared" si="5"/>
        <v>583.47225068416446</v>
      </c>
      <c r="AN38" s="59">
        <f ca="1">AVERAGE(OFFSET($AM$3,0,0,'Données projet'!$E$10+1,1))-AVERAGE(OFFSET($H$3,0,0,'Données projet'!$E$10+1,1))</f>
        <v>331.17634116262298</v>
      </c>
      <c r="AO38" s="59">
        <f t="shared" si="36"/>
        <v>286.28916368940605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195.50000000000009</v>
      </c>
      <c r="BE38" s="13">
        <f>BD38*VLOOKUP('Données projet'!$B$11,Paramètres!$A$1:$I$89,3,0)*VLOOKUP('Données projet'!$B$11,Paramètres!$A$1:$I$89,5,0)</f>
        <v>106.74300000000004</v>
      </c>
      <c r="BF38" s="13">
        <f t="shared" si="37"/>
        <v>28.562272788085945</v>
      </c>
      <c r="BG38" s="20">
        <f t="shared" si="7"/>
        <v>235.65668343924972</v>
      </c>
      <c r="BH38" s="59">
        <f t="shared" si="8"/>
        <v>528.99001677258298</v>
      </c>
      <c r="BI38" s="59">
        <f ca="1">AVERAGE(OFFSET($BH$3,0,0,'Données projet'!$E$11+1,1))-AVERAGE(OFFSET($H$3,0,0,'Données projet'!$E$11+1,1))</f>
        <v>165.87377022031535</v>
      </c>
      <c r="BJ38" s="59">
        <f t="shared" si="38"/>
        <v>272.91122662088929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23.242104732238037</v>
      </c>
      <c r="BQ38" s="21">
        <f>EXP(-LN(2)/25)*BQ37+(1-EXP(-LN(2)/25))/(LN(2)/25)*Calculateur!BL38*Calculateur!BN38*VLOOKUP('Données projet'!$B$11,Paramètres!$A$1:$I$89,3,0)*0.475*44/12</f>
        <v>26.274828566051042</v>
      </c>
      <c r="BR38" s="21">
        <f>EXP(-LN(2)/2)*BR37+(1-EXP(-LN(2)/2))/(LN(2)/2)*BL38*BO38*VLOOKUP('Données projet'!$B$11,Paramètres!$A$1:$I$89,3,0)*0.475*44/12</f>
        <v>1.9160490752458335</v>
      </c>
      <c r="BS38" s="22">
        <f t="shared" si="9"/>
        <v>51.432982373534905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13.085000000000001</v>
      </c>
      <c r="BY38" s="12">
        <f>IF('Données projet'!$A$114&gt;35,BY37+BX38-CG37,IF(A38&lt;'Données projet'!$A$114,$BV$205^A38,IF(A38='Données projet'!$A$114,'Données projet'!$B$114,BY37+BX38-CG37)))</f>
        <v>142.14499999999998</v>
      </c>
      <c r="BZ38" s="13">
        <f>BY38*VLOOKUP('Données projet'!$B$12,Paramètres!$A$1:$I$89,3,0)*VLOOKUP('Données projet'!$B$12,Paramètres!$A$1:$I$89,5,0)</f>
        <v>128.61279599999997</v>
      </c>
      <c r="CA38" s="13">
        <f t="shared" si="39"/>
        <v>33.675617352616214</v>
      </c>
      <c r="CB38" s="20">
        <f t="shared" si="10"/>
        <v>282.65231992247323</v>
      </c>
      <c r="CC38" s="59">
        <f t="shared" si="11"/>
        <v>575.98565325580648</v>
      </c>
      <c r="CD38" s="59">
        <f ca="1">AVERAGE(OFFSET($CC$3,0,0,'Données projet'!$E$12+1,1))-AVERAGE(OFFSET($H$3,0,0,'Données projet'!$E$12+1,1))</f>
        <v>639.86968831634636</v>
      </c>
      <c r="CE38" s="59">
        <f t="shared" si="40"/>
        <v>218.1556771431184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128.85</v>
      </c>
      <c r="CR38" s="12">
        <f>VLOOKUP(A38,'Données projet'!$A$139:$I$159,9,0)</f>
        <v>7.8219999999999974</v>
      </c>
      <c r="CS38" s="12">
        <f t="array" ref="CS38">INDEX(CR:CR,MIN(IF(ISNUMBER(CR38:CR234),ROW(CR38:CR234),"")))</f>
        <v>7.8219999999999974</v>
      </c>
      <c r="CT38" s="12">
        <f>IF('Données projet'!$A$140&gt;35,CT37+CS38-DB37,IF(A38&lt;'Données projet'!$A$140,$CQ$205^A38,IF(A38='Données projet'!$A$140,'Données projet'!$B$140,CT37+CS38-DB37)))</f>
        <v>128.85000000000005</v>
      </c>
      <c r="CU38" s="17">
        <f>CT38*VLOOKUP('Données projet'!$B$13,Paramètres!$A$1:$I$89,3,0)*VLOOKUP('Données projet'!$B$13,Paramètres!$A$1:$I$89,5,0)</f>
        <v>112.56336000000006</v>
      </c>
      <c r="CV38" s="13">
        <f t="shared" si="41"/>
        <v>29.934120094679091</v>
      </c>
      <c r="CW38" s="20">
        <f t="shared" si="13"/>
        <v>248.18311116489954</v>
      </c>
      <c r="CX38" s="59">
        <f t="shared" si="14"/>
        <v>541.51644449823289</v>
      </c>
      <c r="CY38" s="59">
        <f ca="1">AVERAGE(OFFSET($CX$3,0,0,'Données projet'!$E$13+1,1))-AVERAGE(OFFSET($H$3,0,0,'Données projet'!$E$13+1,1))</f>
        <v>218.76600554860482</v>
      </c>
      <c r="CZ38" s="59">
        <f t="shared" si="42"/>
        <v>264.34840059907702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26.92</v>
      </c>
      <c r="DC38" s="16">
        <f>IF(ISNA(VLOOKUP(A38,'Données projet'!$A$139:$I$159,5,0)),0%,VLOOKUP(A38,'Données projet'!$A$139:$I$159,5,0)*VLOOKUP('Données projet'!$B$13,Paramètres!$A$1:$I$89,7,0))</f>
        <v>8.6000000000000007E-2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2.235801496712194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2.235801496712194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5.2692857142857141</v>
      </c>
      <c r="DO38" s="12">
        <f>IF('Données projet'!$A$166&gt;35,DO37+DN38-DW37,IF(A38&lt;'Données projet'!$A$166,$DL$205^A38,IF(A38='Données projet'!$A$166,'Données projet'!$B$166,DO37+DN38-DW37)))</f>
        <v>184.42499999999987</v>
      </c>
      <c r="DP38" s="17">
        <f>DO38*VLOOKUP('Données projet'!$B$14,Paramètres!$A$1:$I$89,3,0)*VLOOKUP('Données projet'!$B$14,Paramètres!$A$1:$I$89,5,0)</f>
        <v>158.23664999999991</v>
      </c>
      <c r="DQ38" s="13">
        <f t="shared" si="43"/>
        <v>40.444530729228767</v>
      </c>
      <c r="DR38" s="20">
        <f t="shared" si="16"/>
        <v>346.0363897700733</v>
      </c>
      <c r="DS38" s="59">
        <f t="shared" si="17"/>
        <v>639.36972310340661</v>
      </c>
      <c r="DT38" s="59">
        <f ca="1">AVERAGE(OFFSET($DS$3,0,0,'Données projet'!$E$14+1,1))-AVERAGE(OFFSET($H$3,0,0,'Données projet'!$E$14+1,1))</f>
        <v>442.97490100035287</v>
      </c>
      <c r="DU38" s="59">
        <f t="shared" si="44"/>
        <v>334.36243356457049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11.5</v>
      </c>
      <c r="EJ38" s="12">
        <f>IF('Données projet'!$A$192&gt;35,EJ37+EI38-ER37,IF(A38&lt;'Données projet'!$A$192,$EG$205^A38,IF(A38='Données projet'!$A$192,'Données projet'!$B$192,EJ37+EI38-ER37)))</f>
        <v>164.99999999999994</v>
      </c>
      <c r="EK38" s="17">
        <f>EJ38*VLOOKUP('Données projet'!$B$15,Paramètres!$A$1:$I$89,3,0)*VLOOKUP('Données projet'!$B$15,Paramètres!$A$1:$I$89,5,0)</f>
        <v>128.69999999999996</v>
      </c>
      <c r="EL38" s="13">
        <f t="shared" si="45"/>
        <v>33.695792019186115</v>
      </c>
      <c r="EM38" s="20">
        <f t="shared" si="19"/>
        <v>282.83933776674911</v>
      </c>
      <c r="EN38" s="59">
        <f t="shared" si="20"/>
        <v>576.17267110008243</v>
      </c>
      <c r="EO38" s="59">
        <f ca="1">AVERAGE(OFFSET($EN$3,0,0,'Données projet'!$E$15+1,1))-AVERAGE(OFFSET($H$3,0,0,'Données projet'!$E$15+1,1))</f>
        <v>288.82868507674738</v>
      </c>
      <c r="EP38" s="59">
        <f t="shared" si="46"/>
        <v>283.48738729114024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6.7192782827667639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6.7192782827667639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151.03919999999997</v>
      </c>
      <c r="FG38" s="13">
        <f t="shared" si="47"/>
        <v>38.814652571726079</v>
      </c>
      <c r="FH38" s="20">
        <f t="shared" si="22"/>
        <v>330.66212656242288</v>
      </c>
      <c r="FI38" s="59">
        <f t="shared" si="23"/>
        <v>623.9954598957562</v>
      </c>
      <c r="FJ38" s="59">
        <f ca="1">AVERAGE(OFFSET($FI$3,0,0,'Données projet'!$E$16+1,1))-AVERAGE(OFFSET($H$3,0,0,'Données projet'!$E$16+1,1))</f>
        <v>328.55201074501201</v>
      </c>
      <c r="FK38" s="59">
        <f t="shared" si="48"/>
        <v>321.81422611044985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8.6000000000000007E-2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4.6493901277259262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4.6493901277259262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206</v>
      </c>
      <c r="FX38" s="12">
        <f>VLOOKUP(A38,'Données projet'!$A$243:$I$263,9,0)</f>
        <v>12.8</v>
      </c>
      <c r="FY38" s="12">
        <f t="array" ref="FY38">INDEX(FX:FX,MIN(IF(ISNUMBER(FX38:FX234),ROW(FX38:FX234),"")))</f>
        <v>12.8</v>
      </c>
      <c r="FZ38" s="12">
        <f>IF('Données projet'!$A$244&gt;35,FZ37+FY38-GH37,IF(A38&lt;'Données projet'!$A$244,$FW$205^A38,IF(A38='Données projet'!$A$244,'Données projet'!$B$244,FZ37+FY38-GH37)))</f>
        <v>205.99999999999997</v>
      </c>
      <c r="GA38" s="17">
        <f>FZ38*VLOOKUP('Données projet'!$B$17,Paramètres!$A$1:$I$89,3,0)*VLOOKUP('Données projet'!$B$17,Paramètres!$A$1:$I$89,5,0)</f>
        <v>163.89359999999999</v>
      </c>
      <c r="GB38" s="13">
        <f t="shared" si="49"/>
        <v>41.71949506642347</v>
      </c>
      <c r="GC38" s="20">
        <f t="shared" si="25"/>
        <v>358.10947390735419</v>
      </c>
      <c r="GD38" s="59">
        <f t="shared" si="26"/>
        <v>651.44280724068744</v>
      </c>
      <c r="GE38" s="59">
        <f ca="1">AVERAGE(OFFSET($GD$3,0,0,'Données projet'!$E$17+1,1))-AVERAGE(OFFSET($H$3,0,0,'Données projet'!$E$17+1,1))</f>
        <v>353.37024194969638</v>
      </c>
      <c r="GF38" s="59">
        <f t="shared" si="50"/>
        <v>345.4750813433123</v>
      </c>
      <c r="GG38" s="15">
        <f>IF(ISNA(VLOOKUP(A38,'Données projet'!$A$243:$I$263,3,0)),0,VLOOKUP(A38,'Données projet'!$A$243:$I$263,3,0))</f>
        <v>6</v>
      </c>
      <c r="GH38" s="15">
        <f>IF(ISNA(VLOOKUP(A38,'Données projet'!$A$243:$I$263,4,0)),0,VLOOKUP(A38,'Données projet'!$A$243:$I$263,4,0))</f>
        <v>35</v>
      </c>
      <c r="GI38" s="16">
        <f>IF(ISNA(VLOOKUP(A38,'Données projet'!$A$243:$I$263,5,0)),0%,VLOOKUP(A38,'Données projet'!$A$243:$I$263,5,0)*VLOOKUP('Données projet'!$B$17,Paramètres!$A$1:$I$89,7,0))</f>
        <v>0.10600000000000001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6.2183579986359145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6.2183579986359145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501.41</v>
      </c>
      <c r="L39" s="12">
        <f>VLOOKUP(A39,'Données projet'!$A$35:$I$55,9,0)</f>
        <v>28.636666666666667</v>
      </c>
      <c r="M39" s="12">
        <f t="array" ref="M39">INDEX(L:L,MIN(IF(ISNUMBER(L39:L235),ROW(L39:L235),"")))</f>
        <v>28.636666666666667</v>
      </c>
      <c r="N39" s="13">
        <f>IF('Données projet'!$A$36&gt;35,N38+M39-V38,IF(A39&lt;'Données projet'!$A$36,$K$205^A39,IF(A39='Données projet'!$A$36,'Données projet'!$B$36,N38+M39-V38)))</f>
        <v>501.40999999999997</v>
      </c>
      <c r="O39" s="13">
        <f>N39*VLOOKUP('Données projet'!$B$9,Paramètres!$A$1:$I$89,3,0)*VLOOKUP('Données projet'!$B$9,Paramètres!$A$1:$I$89,5,0)</f>
        <v>280.28818999999999</v>
      </c>
      <c r="P39" s="13">
        <f t="shared" si="33"/>
        <v>67.027908065763796</v>
      </c>
      <c r="Q39" s="20">
        <f t="shared" si="53"/>
        <v>604.90887079787183</v>
      </c>
      <c r="R39" s="59">
        <f t="shared" si="0"/>
        <v>898.2422041312052</v>
      </c>
      <c r="S39" s="59">
        <f ca="1">AVERAGE(OFFSET($R$3,0,0,'Données projet'!$E$9+1,1))-AVERAGE(OFFSET($H$3,0,0,'Données projet'!$E$9+1,1))</f>
        <v>404.65492118472037</v>
      </c>
      <c r="T39" s="59">
        <f t="shared" si="34"/>
        <v>534.22295841722166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0.22000000000000003</v>
      </c>
      <c r="X39" s="16">
        <f>IF(ISNA(VLOOKUP(A39,'Données projet'!$A$35:$I$55,6,0)),0%,VLOOKUP(A39,'Données projet'!$A$35:$I$55,6,0)*VLOOKUP('Données projet'!$B$9,Paramètres!$A$1:$I$89,7,0))</f>
        <v>0.18700000000000003</v>
      </c>
      <c r="Y39" s="16">
        <f>IF(ISNA(VLOOKUP(A39,'Données projet'!$A$35:$I$55,7,0)),0%,VLOOKUP(A39,'Données projet'!$A$35:$I$55,7,0))</f>
        <v>0.26</v>
      </c>
      <c r="Z39" s="21">
        <f>EXP(-LN(2)/35)*Z38+(1-EXP(-LN(2)/35))/(LN(2)/35)*V39*W39*VLOOKUP('Données projet'!$B$9,Paramètres!$A$1:$I$89,3,0)*0.475*44/12</f>
        <v>23.180548018997548</v>
      </c>
      <c r="AA39" s="21">
        <f>EXP(-LN(2)/25)*AA38+(1-EXP(-LN(2)/25))/(LN(2)/25)*Calculateur!V39*Calculateur!X39*VLOOKUP('Données projet'!$B$9,Paramètres!$A$1:$I$89,3,0)*0.475*44/12</f>
        <v>41.465160457971777</v>
      </c>
      <c r="AB39" s="21">
        <f>EXP(-LN(2)/2)*AB38+(1-EXP(-LN(2)/2))/(LN(2)/2)*V39*Y39*VLOOKUP('Données projet'!$B$9,Paramètres!$A$1:$I$89,3,0)*0.475*44/12</f>
        <v>16.592938396548423</v>
      </c>
      <c r="AC39" s="22">
        <f t="shared" si="3"/>
        <v>81.238646873517752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8.0650000000000013</v>
      </c>
      <c r="AI39" s="13">
        <f>IF('Données projet'!$A$62&gt;35,AI38+AH39-AQ38,IF(A39&lt;'Données projet'!$A$62,$AF$205^A39,IF(A39='Données projet'!$A$62,'Données projet'!$B$62,AI38+AH39-AQ38)))</f>
        <v>290.33999999999997</v>
      </c>
      <c r="AJ39" s="13">
        <f>AI39*VLOOKUP('Données projet'!$B$10,Paramètres!$A$1:$I$89,3,0)*VLOOKUP('Données projet'!$B$10,Paramètres!$A$1:$I$89,5,0)</f>
        <v>135.87912</v>
      </c>
      <c r="AK39" s="13">
        <f t="shared" si="35"/>
        <v>35.351334522723008</v>
      </c>
      <c r="AL39" s="20">
        <f t="shared" si="4"/>
        <v>298.2263749604092</v>
      </c>
      <c r="AM39" s="59">
        <f t="shared" si="5"/>
        <v>591.55970829374246</v>
      </c>
      <c r="AN39" s="59">
        <f ca="1">AVERAGE(OFFSET($AM$3,0,0,'Données projet'!$E$10+1,1))-AVERAGE(OFFSET($H$3,0,0,'Données projet'!$E$10+1,1))</f>
        <v>331.17634116262298</v>
      </c>
      <c r="AO39" s="59">
        <f t="shared" si="36"/>
        <v>286.28916368940605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207</v>
      </c>
      <c r="BB39" s="12">
        <f>VLOOKUP(A39,'Données projet'!$A$87:$I$107,9,0)</f>
        <v>11.5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207.00000000000009</v>
      </c>
      <c r="BE39" s="13">
        <f>BD39*VLOOKUP('Données projet'!$B$11,Paramètres!$A$1:$I$89,3,0)*VLOOKUP('Données projet'!$B$11,Paramètres!$A$1:$I$89,5,0)</f>
        <v>113.02200000000003</v>
      </c>
      <c r="BF39" s="13">
        <f t="shared" si="37"/>
        <v>30.041864379091852</v>
      </c>
      <c r="BG39" s="20">
        <f t="shared" si="7"/>
        <v>249.16956379358498</v>
      </c>
      <c r="BH39" s="59">
        <f t="shared" si="8"/>
        <v>542.50289712691824</v>
      </c>
      <c r="BI39" s="59">
        <f ca="1">AVERAGE(OFFSET($BH$3,0,0,'Données projet'!$E$11+1,1))-AVERAGE(OFFSET($H$3,0,0,'Données projet'!$E$11+1,1))</f>
        <v>165.87377022031535</v>
      </c>
      <c r="BJ39" s="59">
        <f t="shared" si="38"/>
        <v>272.91122662088929</v>
      </c>
      <c r="BK39" s="15">
        <f>IF(ISNA(VLOOKUP(A39,'Données projet'!$A$87:$I$107,3,0)),0,VLOOKUP(A39,'Données projet'!$A$87:$I$107,3,0))</f>
        <v>6</v>
      </c>
      <c r="BL39" s="15">
        <f>IF(ISNA(VLOOKUP(A39,'Données projet'!$A$87:$I$107,4,0)),0,VLOOKUP(A39,'Données projet'!$A$87:$I$107,4,0))</f>
        <v>58</v>
      </c>
      <c r="BM39" s="16">
        <f>IF(ISNA(VLOOKUP(A39,'Données projet'!$A$87:$I$107,5,0)),0%,VLOOKUP(A39,'Données projet'!$A$87:$I$107,5,0)*VLOOKUP('Données projet'!$B$11,Paramètres!$A$1:$I$89,7,0))</f>
        <v>0.36</v>
      </c>
      <c r="BN39" s="16">
        <f>IF(ISNA(VLOOKUP(A39,'Données projet'!$A$87:$I$107,6,0)),0%,VLOOKUP(A39,'Données projet'!$A$87:$I$107,6,0)*VLOOKUP('Données projet'!$B$11,Paramètres!$A$1:$I$89,7,0))</f>
        <v>0.13200000000000001</v>
      </c>
      <c r="BO39" s="16">
        <f>IF(ISNA(VLOOKUP(A39,'Données projet'!$A$87:$I$107,7,0)),0%,VLOOKUP(A39,'Données projet'!$A$87:$I$107,7,0))</f>
        <v>0.18</v>
      </c>
      <c r="BP39" s="21">
        <f>EXP(-LN(2)/35)*BP38+(1-EXP(-LN(2)/35))/(LN(2)/35)*BL39*BM39*VLOOKUP('Données projet'!$B$11,Paramètres!$A$1:$I$89,3,0)*0.475*44/12</f>
        <v>37.909812777672315</v>
      </c>
      <c r="BQ39" s="21">
        <f>EXP(-LN(2)/25)*BQ38+(1-EXP(-LN(2)/25))/(LN(2)/25)*Calculateur!BL39*Calculateur!BN39*VLOOKUP('Données projet'!$B$11,Paramètres!$A$1:$I$89,3,0)*0.475*44/12</f>
        <v>31.079781043942319</v>
      </c>
      <c r="BR39" s="21">
        <f>EXP(-LN(2)/2)*BR38+(1-EXP(-LN(2)/2))/(LN(2)/2)*BL39*BO39*VLOOKUP('Données projet'!$B$11,Paramètres!$A$1:$I$89,3,0)*0.475*44/12</f>
        <v>7.808847125844804</v>
      </c>
      <c r="BS39" s="22">
        <f t="shared" si="9"/>
        <v>76.79844094745944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13.085000000000001</v>
      </c>
      <c r="BY39" s="12">
        <f>IF('Données projet'!$A$114&gt;35,BY38+BX39-CG38,IF(A39&lt;'Données projet'!$A$114,$BV$205^A39,IF(A39='Données projet'!$A$114,'Données projet'!$B$114,BY38+BX39-CG38)))</f>
        <v>155.22999999999999</v>
      </c>
      <c r="BZ39" s="13">
        <f>BY39*VLOOKUP('Données projet'!$B$12,Paramètres!$A$1:$I$89,3,0)*VLOOKUP('Données projet'!$B$12,Paramètres!$A$1:$I$89,5,0)</f>
        <v>140.45210399999999</v>
      </c>
      <c r="CA39" s="13">
        <f t="shared" si="39"/>
        <v>36.400556730403665</v>
      </c>
      <c r="CB39" s="20">
        <f t="shared" si="10"/>
        <v>308.01838410545304</v>
      </c>
      <c r="CC39" s="59">
        <f t="shared" si="11"/>
        <v>601.35171743878641</v>
      </c>
      <c r="CD39" s="59">
        <f ca="1">AVERAGE(OFFSET($CC$3,0,0,'Données projet'!$E$12+1,1))-AVERAGE(OFFSET($H$3,0,0,'Données projet'!$E$12+1,1))</f>
        <v>639.86968831634636</v>
      </c>
      <c r="CE39" s="59">
        <f t="shared" si="40"/>
        <v>218.1556771431184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6.9219999999999997</v>
      </c>
      <c r="CT39" s="12">
        <f>IF('Données projet'!$A$140&gt;35,CT38+CS39-DB38,IF(A39&lt;'Données projet'!$A$140,$CQ$205^A39,IF(A39='Données projet'!$A$140,'Données projet'!$B$140,CT38+CS39-DB38)))</f>
        <v>108.85200000000005</v>
      </c>
      <c r="CU39" s="17">
        <f>CT39*VLOOKUP('Données projet'!$B$13,Paramètres!$A$1:$I$89,3,0)*VLOOKUP('Données projet'!$B$13,Paramètres!$A$1:$I$89,5,0)</f>
        <v>95.093107200000048</v>
      </c>
      <c r="CV39" s="13">
        <f t="shared" si="41"/>
        <v>25.789596967326816</v>
      </c>
      <c r="CW39" s="20">
        <f t="shared" si="13"/>
        <v>210.53737642476096</v>
      </c>
      <c r="CX39" s="59">
        <f t="shared" si="14"/>
        <v>503.87070975809428</v>
      </c>
      <c r="CY39" s="59">
        <f ca="1">AVERAGE(OFFSET($CX$3,0,0,'Données projet'!$E$13+1,1))-AVERAGE(OFFSET($H$3,0,0,'Données projet'!$E$13+1,1))</f>
        <v>218.76600554860482</v>
      </c>
      <c r="CZ39" s="59">
        <f t="shared" si="42"/>
        <v>264.34840059907702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2.1919587930659263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2.1919587930659263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5.2692857142857141</v>
      </c>
      <c r="DO39" s="12">
        <f>IF('Données projet'!$A$166&gt;35,DO38+DN39-DW38,IF(A39&lt;'Données projet'!$A$166,$DL$205^A39,IF(A39='Données projet'!$A$166,'Données projet'!$B$166,DO38+DN39-DW38)))</f>
        <v>189.69428571428557</v>
      </c>
      <c r="DP39" s="17">
        <f>DO39*VLOOKUP('Données projet'!$B$14,Paramètres!$A$1:$I$89,3,0)*VLOOKUP('Données projet'!$B$14,Paramètres!$A$1:$I$89,5,0)</f>
        <v>162.75769714285704</v>
      </c>
      <c r="DQ39" s="13">
        <f t="shared" si="43"/>
        <v>41.463901718561573</v>
      </c>
      <c r="DR39" s="20">
        <f t="shared" si="16"/>
        <v>355.68595135030409</v>
      </c>
      <c r="DS39" s="59">
        <f t="shared" si="17"/>
        <v>649.01928468363735</v>
      </c>
      <c r="DT39" s="59">
        <f ca="1">AVERAGE(OFFSET($DS$3,0,0,'Données projet'!$E$14+1,1))-AVERAGE(OFFSET($H$3,0,0,'Données projet'!$E$14+1,1))</f>
        <v>442.97490100035287</v>
      </c>
      <c r="DU39" s="59">
        <f t="shared" si="44"/>
        <v>334.36243356457049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11.5</v>
      </c>
      <c r="EJ39" s="12">
        <f>IF('Données projet'!$A$192&gt;35,EJ38+EI39-ER38,IF(A39&lt;'Données projet'!$A$192,$EG$205^A39,IF(A39='Données projet'!$A$192,'Données projet'!$B$192,EJ38+EI39-ER38)))</f>
        <v>176.49999999999994</v>
      </c>
      <c r="EK39" s="17">
        <f>EJ39*VLOOKUP('Données projet'!$B$15,Paramètres!$A$1:$I$89,3,0)*VLOOKUP('Données projet'!$B$15,Paramètres!$A$1:$I$89,5,0)</f>
        <v>137.66999999999996</v>
      </c>
      <c r="EL39" s="13">
        <f t="shared" si="45"/>
        <v>35.762714965854656</v>
      </c>
      <c r="EM39" s="20">
        <f t="shared" si="19"/>
        <v>302.06197856553007</v>
      </c>
      <c r="EN39" s="59">
        <f t="shared" si="20"/>
        <v>595.39531189886338</v>
      </c>
      <c r="EO39" s="59">
        <f ca="1">AVERAGE(OFFSET($EN$3,0,0,'Données projet'!$E$15+1,1))-AVERAGE(OFFSET($H$3,0,0,'Données projet'!$E$15+1,1))</f>
        <v>288.82868507674738</v>
      </c>
      <c r="EP39" s="59">
        <f t="shared" si="46"/>
        <v>283.48738729114024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6.5875173339967814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6.5875173339967814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133.73567999999997</v>
      </c>
      <c r="FG39" s="13">
        <f t="shared" si="47"/>
        <v>34.858136849359212</v>
      </c>
      <c r="FH39" s="20">
        <f t="shared" si="22"/>
        <v>293.6342310126339</v>
      </c>
      <c r="FI39" s="59">
        <f t="shared" si="23"/>
        <v>586.96756434596728</v>
      </c>
      <c r="FJ39" s="59">
        <f ca="1">AVERAGE(OFFSET($FI$3,0,0,'Données projet'!$E$16+1,1))-AVERAGE(OFFSET($H$3,0,0,'Données projet'!$E$16+1,1))</f>
        <v>328.55201074501201</v>
      </c>
      <c r="FK39" s="59">
        <f t="shared" si="48"/>
        <v>321.81422611044985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4.5582184231691816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4.5582184231691816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</v>
      </c>
      <c r="FZ39" s="12">
        <f>IF('Données projet'!$A$244&gt;35,FZ38+FY39-GH38,IF(A39&lt;'Données projet'!$A$244,$FW$205^A39,IF(A39='Données projet'!$A$244,'Données projet'!$B$244,FZ38+FY39-GH38)))</f>
        <v>182.39999999999998</v>
      </c>
      <c r="GA39" s="17">
        <f>FZ39*VLOOKUP('Données projet'!$B$17,Paramètres!$A$1:$I$89,3,0)*VLOOKUP('Données projet'!$B$17,Paramètres!$A$1:$I$89,5,0)</f>
        <v>145.11743999999999</v>
      </c>
      <c r="GB39" s="13">
        <f t="shared" si="49"/>
        <v>37.466878406916173</v>
      </c>
      <c r="GC39" s="20">
        <f t="shared" si="25"/>
        <v>318.00102122537896</v>
      </c>
      <c r="GD39" s="59">
        <f t="shared" si="26"/>
        <v>611.33435455871222</v>
      </c>
      <c r="GE39" s="59">
        <f ca="1">AVERAGE(OFFSET($GD$3,0,0,'Données projet'!$E$17+1,1))-AVERAGE(OFFSET($H$3,0,0,'Données projet'!$E$17+1,1))</f>
        <v>353.37024194969638</v>
      </c>
      <c r="GF39" s="59">
        <f t="shared" si="50"/>
        <v>345.4750813433123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6.0964197911065332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6.0964197911065332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28.059999999999992</v>
      </c>
      <c r="N40" s="13">
        <f>IF('Données projet'!$A$36&gt;35,N39+M40-V39,IF(A40&lt;'Données projet'!$A$36,$K$205^A40,IF(A40='Données projet'!$A$36,'Données projet'!$B$36,N39+M40-V39)))</f>
        <v>443.58999999999992</v>
      </c>
      <c r="O40" s="13">
        <f>N40*VLOOKUP('Données projet'!$B$9,Paramètres!$A$1:$I$89,3,0)*VLOOKUP('Données projet'!$B$9,Paramètres!$A$1:$I$89,5,0)</f>
        <v>247.96680999999995</v>
      </c>
      <c r="P40" s="13">
        <f t="shared" si="33"/>
        <v>60.150357112752843</v>
      </c>
      <c r="Q40" s="20">
        <f t="shared" si="53"/>
        <v>536.6373993880444</v>
      </c>
      <c r="R40" s="59">
        <f t="shared" si="0"/>
        <v>829.97073272137777</v>
      </c>
      <c r="S40" s="59">
        <f ca="1">AVERAGE(OFFSET($R$3,0,0,'Données projet'!$E$9+1,1))-AVERAGE(OFFSET($H$3,0,0,'Données projet'!$E$9+1,1))</f>
        <v>404.65492118472037</v>
      </c>
      <c r="T40" s="59">
        <f t="shared" si="34"/>
        <v>534.22295841722166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22.725991611083213</v>
      </c>
      <c r="AA40" s="21">
        <f>EXP(-LN(2)/25)*AA39+(1-EXP(-LN(2)/25))/(LN(2)/25)*Calculateur!V40*Calculateur!X40*VLOOKUP('Données projet'!$B$9,Paramètres!$A$1:$I$89,3,0)*0.475*44/12</f>
        <v>40.331293464690518</v>
      </c>
      <c r="AB40" s="21">
        <f>EXP(-LN(2)/2)*AB39+(1-EXP(-LN(2)/2))/(LN(2)/2)*V40*Y40*VLOOKUP('Données projet'!$B$9,Paramètres!$A$1:$I$89,3,0)*0.475*44/12</f>
        <v>11.73297926001003</v>
      </c>
      <c r="AC40" s="22">
        <f t="shared" si="3"/>
        <v>74.79026433578376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8.0650000000000013</v>
      </c>
      <c r="AI40" s="13">
        <f>IF('Données projet'!$A$62&gt;35,AI39+AH40-AQ39,IF(A40&lt;'Données projet'!$A$62,$AF$205^A40,IF(A40='Données projet'!$A$62,'Données projet'!$B$62,AI39+AH40-AQ39)))</f>
        <v>298.40499999999997</v>
      </c>
      <c r="AJ40" s="13">
        <f>AI40*VLOOKUP('Données projet'!$B$10,Paramètres!$A$1:$I$89,3,0)*VLOOKUP('Données projet'!$B$10,Paramètres!$A$1:$I$89,5,0)</f>
        <v>139.65353999999999</v>
      </c>
      <c r="AK40" s="13">
        <f t="shared" si="35"/>
        <v>36.217624932212722</v>
      </c>
      <c r="AL40" s="20">
        <f t="shared" si="4"/>
        <v>306.30894559027047</v>
      </c>
      <c r="AM40" s="59">
        <f t="shared" si="5"/>
        <v>599.64227892360373</v>
      </c>
      <c r="AN40" s="59">
        <f ca="1">AVERAGE(OFFSET($AM$3,0,0,'Données projet'!$E$10+1,1))-AVERAGE(OFFSET($H$3,0,0,'Données projet'!$E$10+1,1))</f>
        <v>331.17634116262298</v>
      </c>
      <c r="AO40" s="59">
        <f t="shared" si="36"/>
        <v>286.28916368940605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10.833333333333334</v>
      </c>
      <c r="BD40" s="12">
        <f>IF('Données projet'!$A$88&gt;35,BD39+BC40-BL39,IF(A40&lt;'Données projet'!$A$88,$BA$205^A40,IF(A40='Données projet'!$A$88,'Données projet'!$B$88,BD39+BC40-BL39)))</f>
        <v>159.83333333333343</v>
      </c>
      <c r="BE40" s="13">
        <f>BD40*VLOOKUP('Données projet'!$B$11,Paramètres!$A$1:$I$89,3,0)*VLOOKUP('Données projet'!$B$11,Paramètres!$A$1:$I$89,5,0)</f>
        <v>87.269000000000048</v>
      </c>
      <c r="BF40" s="13">
        <f t="shared" si="37"/>
        <v>23.905396996945001</v>
      </c>
      <c r="BG40" s="20">
        <f t="shared" si="7"/>
        <v>193.62874143634596</v>
      </c>
      <c r="BH40" s="59">
        <f t="shared" si="8"/>
        <v>486.96207476967925</v>
      </c>
      <c r="BI40" s="59">
        <f ca="1">AVERAGE(OFFSET($BH$3,0,0,'Données projet'!$E$11+1,1))-AVERAGE(OFFSET($H$3,0,0,'Données projet'!$E$11+1,1))</f>
        <v>165.87377022031535</v>
      </c>
      <c r="BJ40" s="59">
        <f t="shared" si="38"/>
        <v>272.91122662088929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37.166424471804781</v>
      </c>
      <c r="BQ40" s="21">
        <f>EXP(-LN(2)/25)*BQ39+(1-EXP(-LN(2)/25))/(LN(2)/25)*Calculateur!BL40*Calculateur!BN40*VLOOKUP('Données projet'!$B$11,Paramètres!$A$1:$I$89,3,0)*0.475*44/12</f>
        <v>30.229902796881063</v>
      </c>
      <c r="BR40" s="21">
        <f>EXP(-LN(2)/2)*BR39+(1-EXP(-LN(2)/2))/(LN(2)/2)*BL40*BO40*VLOOKUP('Données projet'!$B$11,Paramètres!$A$1:$I$89,3,0)*0.475*44/12</f>
        <v>5.5216887559339431</v>
      </c>
      <c r="BS40" s="22">
        <f t="shared" si="9"/>
        <v>72.918016024619774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13.085000000000001</v>
      </c>
      <c r="BY40" s="12">
        <f>IF('Données projet'!$A$114&gt;35,BY39+BX40-CG39,IF(A40&lt;'Données projet'!$A$114,$BV$205^A40,IF(A40='Données projet'!$A$114,'Données projet'!$B$114,BY39+BX40-CG39)))</f>
        <v>168.315</v>
      </c>
      <c r="BZ40" s="13">
        <f>BY40*VLOOKUP('Données projet'!$B$12,Paramètres!$A$1:$I$89,3,0)*VLOOKUP('Données projet'!$B$12,Paramètres!$A$1:$I$89,5,0)</f>
        <v>152.29141200000001</v>
      </c>
      <c r="CA40" s="13">
        <f t="shared" si="39"/>
        <v>39.098856865314687</v>
      </c>
      <c r="CB40" s="20">
        <f t="shared" si="10"/>
        <v>333.33805160708971</v>
      </c>
      <c r="CC40" s="59">
        <f t="shared" si="11"/>
        <v>626.67138494042297</v>
      </c>
      <c r="CD40" s="59">
        <f ca="1">AVERAGE(OFFSET($CC$3,0,0,'Données projet'!$E$12+1,1))-AVERAGE(OFFSET($H$3,0,0,'Données projet'!$E$12+1,1))</f>
        <v>639.86968831634636</v>
      </c>
      <c r="CE40" s="59">
        <f t="shared" si="40"/>
        <v>218.1556771431184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6.9219999999999997</v>
      </c>
      <c r="CT40" s="12">
        <f>IF('Données projet'!$A$140&gt;35,CT39+CS40-DB39,IF(A40&lt;'Données projet'!$A$140,$CQ$205^A40,IF(A40='Données projet'!$A$140,'Données projet'!$B$140,CT39+CS40-DB39)))</f>
        <v>115.77400000000004</v>
      </c>
      <c r="CU40" s="17">
        <f>CT40*VLOOKUP('Données projet'!$B$13,Paramètres!$A$1:$I$89,3,0)*VLOOKUP('Données projet'!$B$13,Paramètres!$A$1:$I$89,5,0)</f>
        <v>101.14016640000004</v>
      </c>
      <c r="CV40" s="13">
        <f t="shared" si="41"/>
        <v>27.233446984172179</v>
      </c>
      <c r="CW40" s="20">
        <f t="shared" si="13"/>
        <v>223.58404331076659</v>
      </c>
      <c r="CX40" s="59">
        <f t="shared" si="14"/>
        <v>516.91737664409993</v>
      </c>
      <c r="CY40" s="59">
        <f ca="1">AVERAGE(OFFSET($CX$3,0,0,'Données projet'!$E$13+1,1))-AVERAGE(OFFSET($H$3,0,0,'Données projet'!$E$13+1,1))</f>
        <v>218.76600554860482</v>
      </c>
      <c r="CZ40" s="59">
        <f t="shared" si="42"/>
        <v>264.34840059907702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2.1489758180967531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2.1489758180967531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5.2692857142857141</v>
      </c>
      <c r="DO40" s="12">
        <f>IF('Données projet'!$A$166&gt;35,DO39+DN40-DW39,IF(A40&lt;'Données projet'!$A$166,$DL$205^A40,IF(A40='Données projet'!$A$166,'Données projet'!$B$166,DO39+DN40-DW39)))</f>
        <v>194.96357142857127</v>
      </c>
      <c r="DP40" s="17">
        <f>DO40*VLOOKUP('Données projet'!$B$14,Paramètres!$A$1:$I$89,3,0)*VLOOKUP('Données projet'!$B$14,Paramètres!$A$1:$I$89,5,0)</f>
        <v>167.27874428571417</v>
      </c>
      <c r="DQ40" s="13">
        <f t="shared" si="43"/>
        <v>42.479981617206604</v>
      </c>
      <c r="DR40" s="20">
        <f t="shared" si="16"/>
        <v>365.32978094758704</v>
      </c>
      <c r="DS40" s="59">
        <f t="shared" si="17"/>
        <v>658.66311428092035</v>
      </c>
      <c r="DT40" s="59">
        <f ca="1">AVERAGE(OFFSET($DS$3,0,0,'Données projet'!$E$14+1,1))-AVERAGE(OFFSET($H$3,0,0,'Données projet'!$E$14+1,1))</f>
        <v>442.97490100035287</v>
      </c>
      <c r="DU40" s="59">
        <f t="shared" si="44"/>
        <v>334.36243356457049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188</v>
      </c>
      <c r="EH40" s="12">
        <f>VLOOKUP(A40,'Données projet'!$A$191:$I$211,9,0)</f>
        <v>11.5</v>
      </c>
      <c r="EI40" s="12">
        <f t="array" ref="EI40">INDEX(EH:EH,MIN(IF(ISNUMBER(EH40:EH236),ROW(EH40:EH236),"")))</f>
        <v>11.5</v>
      </c>
      <c r="EJ40" s="12">
        <f>IF('Données projet'!$A$192&gt;35,EJ39+EI40-ER39,IF(A40&lt;'Données projet'!$A$192,$EG$205^A40,IF(A40='Données projet'!$A$192,'Données projet'!$B$192,EJ39+EI40-ER39)))</f>
        <v>187.99999999999994</v>
      </c>
      <c r="EK40" s="17">
        <f>EJ40*VLOOKUP('Données projet'!$B$15,Paramètres!$A$1:$I$89,3,0)*VLOOKUP('Données projet'!$B$15,Paramètres!$A$1:$I$89,5,0)</f>
        <v>146.63999999999996</v>
      </c>
      <c r="EL40" s="13">
        <f t="shared" si="45"/>
        <v>37.814009712703026</v>
      </c>
      <c r="EM40" s="20">
        <f t="shared" si="19"/>
        <v>321.25740024962437</v>
      </c>
      <c r="EN40" s="59">
        <f t="shared" si="20"/>
        <v>614.59073358295768</v>
      </c>
      <c r="EO40" s="59">
        <f ca="1">AVERAGE(OFFSET($EN$3,0,0,'Données projet'!$E$15+1,1))-AVERAGE(OFFSET($H$3,0,0,'Données projet'!$E$15+1,1))</f>
        <v>288.82868507674738</v>
      </c>
      <c r="EP40" s="59">
        <f t="shared" si="46"/>
        <v>283.48738729114024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36</v>
      </c>
      <c r="ES40" s="16">
        <f>IF(ISNA(VLOOKUP(A40,'Données projet'!$A$191:$I$211,5,0)),0%,VLOOKUP(A40,'Données projet'!$A$191:$I$211,5,0)*VLOOKUP('Données projet'!$B$15,Paramètres!$A$1:$I$89,7,0))</f>
        <v>0.129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10.462707602255731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10.462707602255731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142.09415999999999</v>
      </c>
      <c r="FG40" s="13">
        <f t="shared" si="47"/>
        <v>36.77633279983236</v>
      </c>
      <c r="FH40" s="20">
        <f t="shared" si="22"/>
        <v>311.53277495970798</v>
      </c>
      <c r="FI40" s="59">
        <f t="shared" si="23"/>
        <v>604.86610829304129</v>
      </c>
      <c r="FJ40" s="59">
        <f ca="1">AVERAGE(OFFSET($FI$3,0,0,'Données projet'!$E$16+1,1))-AVERAGE(OFFSET($H$3,0,0,'Données projet'!$E$16+1,1))</f>
        <v>328.55201074501201</v>
      </c>
      <c r="FK40" s="59">
        <f t="shared" si="48"/>
        <v>321.81422611044985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4.4688345401295466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4.4688345401295466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</v>
      </c>
      <c r="FZ40" s="12">
        <f>IF('Données projet'!$A$244&gt;35,FZ39+FY40-GH39,IF(A40&lt;'Données projet'!$A$244,$FW$205^A40,IF(A40='Données projet'!$A$244,'Données projet'!$B$244,FZ39+FY40-GH39)))</f>
        <v>193.79999999999998</v>
      </c>
      <c r="GA40" s="17">
        <f>FZ40*VLOOKUP('Données projet'!$B$17,Paramètres!$A$1:$I$89,3,0)*VLOOKUP('Données projet'!$B$17,Paramètres!$A$1:$I$89,5,0)</f>
        <v>154.18727999999999</v>
      </c>
      <c r="GB40" s="13">
        <f t="shared" si="49"/>
        <v>39.528629863903078</v>
      </c>
      <c r="GC40" s="20">
        <f t="shared" si="25"/>
        <v>337.38854301296448</v>
      </c>
      <c r="GD40" s="59">
        <f t="shared" si="26"/>
        <v>630.72187634629779</v>
      </c>
      <c r="GE40" s="59">
        <f ca="1">AVERAGE(OFFSET($GD$3,0,0,'Données projet'!$E$17+1,1))-AVERAGE(OFFSET($H$3,0,0,'Données projet'!$E$17+1,1))</f>
        <v>353.37024194969638</v>
      </c>
      <c r="GF40" s="59">
        <f t="shared" si="50"/>
        <v>345.4750813433123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5.9768727174518403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5.9768727174518403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28.059999999999992</v>
      </c>
      <c r="N41" s="13">
        <f>IF('Données projet'!$A$36&gt;35,N40+M41-V40,IF(A41&lt;'Données projet'!$A$36,$K$205^A41,IF(A41='Données projet'!$A$36,'Données projet'!$B$36,N40+M41-V40)))</f>
        <v>471.64999999999992</v>
      </c>
      <c r="O41" s="13">
        <f>N41*VLOOKUP('Données projet'!$B$9,Paramètres!$A$1:$I$89,3,0)*VLOOKUP('Données projet'!$B$9,Paramètres!$A$1:$I$89,5,0)</f>
        <v>263.65234999999996</v>
      </c>
      <c r="P41" s="13">
        <f t="shared" si="33"/>
        <v>63.500278182888067</v>
      </c>
      <c r="Q41" s="20">
        <f t="shared" si="53"/>
        <v>569.79082741852994</v>
      </c>
      <c r="R41" s="59">
        <f t="shared" si="0"/>
        <v>863.1241607518632</v>
      </c>
      <c r="S41" s="59">
        <f ca="1">AVERAGE(OFFSET($R$3,0,0,'Données projet'!$E$9+1,1))-AVERAGE(OFFSET($H$3,0,0,'Données projet'!$E$9+1,1))</f>
        <v>404.65492118472037</v>
      </c>
      <c r="T41" s="59">
        <f t="shared" si="34"/>
        <v>534.22295841722166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22.280348777076046</v>
      </c>
      <c r="AA41" s="21">
        <f>EXP(-LN(2)/25)*AA40+(1-EXP(-LN(2)/25))/(LN(2)/25)*Calculateur!V41*Calculateur!X41*VLOOKUP('Données projet'!$B$9,Paramètres!$A$1:$I$89,3,0)*0.475*44/12</f>
        <v>39.228432123968012</v>
      </c>
      <c r="AB41" s="21">
        <f>EXP(-LN(2)/2)*AB40+(1-EXP(-LN(2)/2))/(LN(2)/2)*V41*Y41*VLOOKUP('Données projet'!$B$9,Paramètres!$A$1:$I$89,3,0)*0.475*44/12</f>
        <v>8.2964691982742131</v>
      </c>
      <c r="AC41" s="22">
        <f t="shared" si="3"/>
        <v>69.805250099318272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8.0650000000000013</v>
      </c>
      <c r="AI41" s="13">
        <f>IF('Données projet'!$A$62&gt;35,AI40+AH41-AQ40,IF(A41&lt;'Données projet'!$A$62,$AF$205^A41,IF(A41='Données projet'!$A$62,'Données projet'!$B$62,AI40+AH41-AQ40)))</f>
        <v>306.46999999999997</v>
      </c>
      <c r="AJ41" s="13">
        <f>AI41*VLOOKUP('Données projet'!$B$10,Paramètres!$A$1:$I$89,3,0)*VLOOKUP('Données projet'!$B$10,Paramètres!$A$1:$I$89,5,0)</f>
        <v>143.42795999999998</v>
      </c>
      <c r="AK41" s="13">
        <f t="shared" si="35"/>
        <v>37.081193971134773</v>
      </c>
      <c r="AL41" s="20">
        <f t="shared" si="4"/>
        <v>314.38677649972635</v>
      </c>
      <c r="AM41" s="59">
        <f t="shared" si="5"/>
        <v>607.72010983305972</v>
      </c>
      <c r="AN41" s="59">
        <f ca="1">AVERAGE(OFFSET($AM$3,0,0,'Données projet'!$E$10+1,1))-AVERAGE(OFFSET($H$3,0,0,'Données projet'!$E$10+1,1))</f>
        <v>331.17634116262298</v>
      </c>
      <c r="AO41" s="59">
        <f t="shared" si="36"/>
        <v>286.28916368940605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10.833333333333334</v>
      </c>
      <c r="BD41" s="12">
        <f>IF('Données projet'!$A$88&gt;35,BD40+BC41-BL40,IF(A41&lt;'Données projet'!$A$88,$BA$205^A41,IF(A41='Données projet'!$A$88,'Données projet'!$B$88,BD40+BC41-BL40)))</f>
        <v>170.66666666666677</v>
      </c>
      <c r="BE41" s="13">
        <f>BD41*VLOOKUP('Données projet'!$B$11,Paramètres!$A$1:$I$89,3,0)*VLOOKUP('Données projet'!$B$11,Paramètres!$A$1:$I$89,5,0)</f>
        <v>93.184000000000054</v>
      </c>
      <c r="BF41" s="13">
        <f t="shared" si="37"/>
        <v>25.331568453377113</v>
      </c>
      <c r="BG41" s="20">
        <f t="shared" si="7"/>
        <v>206.41461505629854</v>
      </c>
      <c r="BH41" s="59">
        <f t="shared" si="8"/>
        <v>499.74794838963186</v>
      </c>
      <c r="BI41" s="59">
        <f ca="1">AVERAGE(OFFSET($BH$3,0,0,'Données projet'!$E$11+1,1))-AVERAGE(OFFSET($H$3,0,0,'Données projet'!$E$11+1,1))</f>
        <v>165.87377022031535</v>
      </c>
      <c r="BJ41" s="59">
        <f t="shared" si="38"/>
        <v>272.91122662088929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36.43761355719321</v>
      </c>
      <c r="BQ41" s="21">
        <f>EXP(-LN(2)/25)*BQ40+(1-EXP(-LN(2)/25))/(LN(2)/25)*Calculateur!BL41*Calculateur!BN41*VLOOKUP('Données projet'!$B$11,Paramètres!$A$1:$I$89,3,0)*0.475*44/12</f>
        <v>29.403264515178854</v>
      </c>
      <c r="BR41" s="21">
        <f>EXP(-LN(2)/2)*BR40+(1-EXP(-LN(2)/2))/(LN(2)/2)*BL41*BO41*VLOOKUP('Données projet'!$B$11,Paramètres!$A$1:$I$89,3,0)*0.475*44/12</f>
        <v>3.9044235629224029</v>
      </c>
      <c r="BS41" s="22">
        <f t="shared" si="9"/>
        <v>69.745301635294467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13.085000000000001</v>
      </c>
      <c r="BY41" s="12">
        <f>IF('Données projet'!$A$114&gt;35,BY40+BX41-CG40,IF(A41&lt;'Données projet'!$A$114,$BV$205^A41,IF(A41='Données projet'!$A$114,'Données projet'!$B$114,BY40+BX41-CG40)))</f>
        <v>181.4</v>
      </c>
      <c r="BZ41" s="13">
        <f>BY41*VLOOKUP('Données projet'!$B$12,Paramètres!$A$1:$I$89,3,0)*VLOOKUP('Données projet'!$B$12,Paramètres!$A$1:$I$89,5,0)</f>
        <v>164.13072</v>
      </c>
      <c r="CA41" s="13">
        <f t="shared" si="39"/>
        <v>41.772824183225389</v>
      </c>
      <c r="CB41" s="20">
        <f t="shared" si="10"/>
        <v>358.61533945245088</v>
      </c>
      <c r="CC41" s="59">
        <f t="shared" si="11"/>
        <v>651.9486727857842</v>
      </c>
      <c r="CD41" s="59">
        <f ca="1">AVERAGE(OFFSET($CC$3,0,0,'Données projet'!$E$12+1,1))-AVERAGE(OFFSET($H$3,0,0,'Données projet'!$E$12+1,1))</f>
        <v>639.86968831634636</v>
      </c>
      <c r="CE41" s="59">
        <f t="shared" si="40"/>
        <v>218.1556771431184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6.9219999999999997</v>
      </c>
      <c r="CT41" s="12">
        <f>IF('Données projet'!$A$140&gt;35,CT40+CS41-DB40,IF(A41&lt;'Données projet'!$A$140,$CQ$205^A41,IF(A41='Données projet'!$A$140,'Données projet'!$B$140,CT40+CS41-DB40)))</f>
        <v>122.69600000000004</v>
      </c>
      <c r="CU41" s="17">
        <f>CT41*VLOOKUP('Données projet'!$B$13,Paramètres!$A$1:$I$89,3,0)*VLOOKUP('Données projet'!$B$13,Paramètres!$A$1:$I$89,5,0)</f>
        <v>107.18722560000005</v>
      </c>
      <c r="CV41" s="13">
        <f t="shared" si="41"/>
        <v>28.667277214895673</v>
      </c>
      <c r="CW41" s="20">
        <f t="shared" si="13"/>
        <v>236.61325906927672</v>
      </c>
      <c r="CX41" s="59">
        <f t="shared" si="14"/>
        <v>529.94659240261001</v>
      </c>
      <c r="CY41" s="59">
        <f ca="1">AVERAGE(OFFSET($CX$3,0,0,'Données projet'!$E$13+1,1))-AVERAGE(OFFSET($H$3,0,0,'Données projet'!$E$13+1,1))</f>
        <v>218.76600554860482</v>
      </c>
      <c r="CZ41" s="59">
        <f t="shared" si="42"/>
        <v>264.34840059907702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2.1068357130496995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2.1068357130496995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5.2692857142857141</v>
      </c>
      <c r="DO41" s="12">
        <f>IF('Données projet'!$A$166&gt;35,DO40+DN41-DW40,IF(A41&lt;'Données projet'!$A$166,$DL$205^A41,IF(A41='Données projet'!$A$166,'Données projet'!$B$166,DO40+DN41-DW40)))</f>
        <v>200.23285714285697</v>
      </c>
      <c r="DP41" s="17">
        <f>DO41*VLOOKUP('Données projet'!$B$14,Paramètres!$A$1:$I$89,3,0)*VLOOKUP('Données projet'!$B$14,Paramètres!$A$1:$I$89,5,0)</f>
        <v>171.7997914285713</v>
      </c>
      <c r="DQ41" s="13">
        <f t="shared" si="43"/>
        <v>43.492869595566788</v>
      </c>
      <c r="DR41" s="20">
        <f t="shared" si="16"/>
        <v>374.96805128370715</v>
      </c>
      <c r="DS41" s="59">
        <f t="shared" si="17"/>
        <v>668.30138461704041</v>
      </c>
      <c r="DT41" s="59">
        <f ca="1">AVERAGE(OFFSET($DS$3,0,0,'Données projet'!$E$14+1,1))-AVERAGE(OFFSET($H$3,0,0,'Données projet'!$E$14+1,1))</f>
        <v>442.97490100035287</v>
      </c>
      <c r="DU41" s="59">
        <f t="shared" si="44"/>
        <v>334.36243356457049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11.142857142857142</v>
      </c>
      <c r="EJ41" s="12">
        <f>IF('Données projet'!$A$192&gt;35,EJ40+EI41-ER40,IF(A41&lt;'Données projet'!$A$192,$EG$205^A41,IF(A41='Données projet'!$A$192,'Données projet'!$B$192,EJ40+EI41-ER40)))</f>
        <v>163.14285714285708</v>
      </c>
      <c r="EK41" s="17">
        <f>EJ41*VLOOKUP('Données projet'!$B$15,Paramètres!$A$1:$I$89,3,0)*VLOOKUP('Données projet'!$B$15,Paramètres!$A$1:$I$89,5,0)</f>
        <v>127.25142857142853</v>
      </c>
      <c r="EL41" s="13">
        <f t="shared" si="45"/>
        <v>33.360457439554281</v>
      </c>
      <c r="EM41" s="20">
        <f t="shared" si="19"/>
        <v>279.73236813579501</v>
      </c>
      <c r="EN41" s="59">
        <f t="shared" si="20"/>
        <v>573.06570146912827</v>
      </c>
      <c r="EO41" s="59">
        <f ca="1">AVERAGE(OFFSET($EN$3,0,0,'Données projet'!$E$15+1,1))-AVERAGE(OFFSET($H$3,0,0,'Données projet'!$E$15+1,1))</f>
        <v>288.82868507674738</v>
      </c>
      <c r="EP41" s="59">
        <f t="shared" si="46"/>
        <v>283.48738729114024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10.257540287797001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10.257540287797001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150.45263999999997</v>
      </c>
      <c r="FG41" s="13">
        <f t="shared" si="47"/>
        <v>38.681431639913605</v>
      </c>
      <c r="FH41" s="20">
        <f t="shared" si="22"/>
        <v>329.40850810618275</v>
      </c>
      <c r="FI41" s="59">
        <f t="shared" si="23"/>
        <v>622.74184143951607</v>
      </c>
      <c r="FJ41" s="59">
        <f ca="1">AVERAGE(OFFSET($FI$3,0,0,'Données projet'!$E$16+1,1))-AVERAGE(OFFSET($H$3,0,0,'Données projet'!$E$16+1,1))</f>
        <v>328.55201074501201</v>
      </c>
      <c r="FK41" s="59">
        <f t="shared" si="48"/>
        <v>321.81422611044985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4.381203420517533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4.381203420517533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</v>
      </c>
      <c r="FZ41" s="12">
        <f>IF('Données projet'!$A$244&gt;35,FZ40+FY41-GH40,IF(A41&lt;'Données projet'!$A$244,$FW$205^A41,IF(A41='Données projet'!$A$244,'Données projet'!$B$244,FZ40+FY41-GH40)))</f>
        <v>205.2</v>
      </c>
      <c r="GA41" s="17">
        <f>FZ41*VLOOKUP('Données projet'!$B$17,Paramètres!$A$1:$I$89,3,0)*VLOOKUP('Données projet'!$B$17,Paramètres!$A$1:$I$89,5,0)</f>
        <v>163.25712000000001</v>
      </c>
      <c r="GB41" s="13">
        <f t="shared" si="49"/>
        <v>41.576304038313076</v>
      </c>
      <c r="GC41" s="20">
        <f t="shared" si="25"/>
        <v>356.75154686672863</v>
      </c>
      <c r="GD41" s="59">
        <f t="shared" si="26"/>
        <v>650.08488020006189</v>
      </c>
      <c r="GE41" s="59">
        <f ca="1">AVERAGE(OFFSET($GD$3,0,0,'Données projet'!$E$17+1,1))-AVERAGE(OFFSET($H$3,0,0,'Données projet'!$E$17+1,1))</f>
        <v>353.37024194969638</v>
      </c>
      <c r="GF41" s="59">
        <f t="shared" si="50"/>
        <v>345.4750813433123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5.8596698889950014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5.8596698889950014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28.059999999999992</v>
      </c>
      <c r="N42" s="13">
        <f>IF('Données projet'!$A$36&gt;35,N41+M42-V41,IF(A42&lt;'Données projet'!$A$36,$K$205^A42,IF(A42='Données projet'!$A$36,'Données projet'!$B$36,N41+M42-V41)))</f>
        <v>499.70999999999992</v>
      </c>
      <c r="O42" s="13">
        <f>N42*VLOOKUP('Données projet'!$B$9,Paramètres!$A$1:$I$89,3,0)*VLOOKUP('Données projet'!$B$9,Paramètres!$A$1:$I$89,5,0)</f>
        <v>279.33788999999996</v>
      </c>
      <c r="P42" s="13">
        <f t="shared" si="33"/>
        <v>66.827066730944551</v>
      </c>
      <c r="Q42" s="20">
        <f t="shared" si="53"/>
        <v>602.90396630639486</v>
      </c>
      <c r="R42" s="59">
        <f t="shared" si="0"/>
        <v>896.23729963972823</v>
      </c>
      <c r="S42" s="59">
        <f ca="1">AVERAGE(OFFSET($R$3,0,0,'Données projet'!$E$9+1,1))-AVERAGE(OFFSET($H$3,0,0,'Données projet'!$E$9+1,1))</f>
        <v>404.65492118472037</v>
      </c>
      <c r="T42" s="59">
        <f t="shared" si="34"/>
        <v>534.22295841722166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21.843444727228469</v>
      </c>
      <c r="AA42" s="21">
        <f>EXP(-LN(2)/25)*AA41+(1-EXP(-LN(2)/25))/(LN(2)/25)*Calculateur!V42*Calculateur!X42*VLOOKUP('Données projet'!$B$9,Paramètres!$A$1:$I$89,3,0)*0.475*44/12</f>
        <v>38.155728584604518</v>
      </c>
      <c r="AB42" s="21">
        <f>EXP(-LN(2)/2)*AB41+(1-EXP(-LN(2)/2))/(LN(2)/2)*V42*Y42*VLOOKUP('Données projet'!$B$9,Paramètres!$A$1:$I$89,3,0)*0.475*44/12</f>
        <v>5.8664896300050158</v>
      </c>
      <c r="AC42" s="22">
        <f t="shared" si="3"/>
        <v>65.865662941838011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8.0650000000000013</v>
      </c>
      <c r="AI42" s="13">
        <f>IF('Données projet'!$A$62&gt;35,AI41+AH42-AQ41,IF(A42&lt;'Données projet'!$A$62,$AF$205^A42,IF(A42='Données projet'!$A$62,'Données projet'!$B$62,AI41+AH42-AQ41)))</f>
        <v>314.53499999999997</v>
      </c>
      <c r="AJ42" s="13">
        <f>AI42*VLOOKUP('Données projet'!$B$10,Paramètres!$A$1:$I$89,3,0)*VLOOKUP('Données projet'!$B$10,Paramètres!$A$1:$I$89,5,0)</f>
        <v>147.20238000000001</v>
      </c>
      <c r="AK42" s="13">
        <f t="shared" si="35"/>
        <v>37.9421214868212</v>
      </c>
      <c r="AL42" s="20">
        <f t="shared" si="4"/>
        <v>322.46000675621355</v>
      </c>
      <c r="AM42" s="59">
        <f t="shared" si="5"/>
        <v>615.79334008954686</v>
      </c>
      <c r="AN42" s="59">
        <f ca="1">AVERAGE(OFFSET($AM$3,0,0,'Données projet'!$E$10+1,1))-AVERAGE(OFFSET($H$3,0,0,'Données projet'!$E$10+1,1))</f>
        <v>331.17634116262298</v>
      </c>
      <c r="AO42" s="59">
        <f t="shared" si="36"/>
        <v>286.28916368940605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10.833333333333334</v>
      </c>
      <c r="BD42" s="12">
        <f>IF('Données projet'!$A$88&gt;35,BD41+BC42-BL41,IF(A42&lt;'Données projet'!$A$88,$BA$205^A42,IF(A42='Données projet'!$A$88,'Données projet'!$B$88,BD41+BC42-BL41)))</f>
        <v>181.50000000000011</v>
      </c>
      <c r="BE42" s="13">
        <f>BD42*VLOOKUP('Données projet'!$B$11,Paramètres!$A$1:$I$89,3,0)*VLOOKUP('Données projet'!$B$11,Paramètres!$A$1:$I$89,5,0)</f>
        <v>99.099000000000061</v>
      </c>
      <c r="BF42" s="13">
        <f t="shared" si="37"/>
        <v>26.7472337845971</v>
      </c>
      <c r="BG42" s="20">
        <f t="shared" si="7"/>
        <v>219.18219050817336</v>
      </c>
      <c r="BH42" s="59">
        <f t="shared" si="8"/>
        <v>512.51552384150671</v>
      </c>
      <c r="BI42" s="59">
        <f ca="1">AVERAGE(OFFSET($BH$3,0,0,'Données projet'!$E$11+1,1))-AVERAGE(OFFSET($H$3,0,0,'Données projet'!$E$11+1,1))</f>
        <v>165.87377022031535</v>
      </c>
      <c r="BJ42" s="59">
        <f t="shared" si="38"/>
        <v>272.91122662088929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35.723094180086406</v>
      </c>
      <c r="BQ42" s="21">
        <f>EXP(-LN(2)/25)*BQ41+(1-EXP(-LN(2)/25))/(LN(2)/25)*Calculateur!BL42*Calculateur!BN42*VLOOKUP('Données projet'!$B$11,Paramètres!$A$1:$I$89,3,0)*0.475*44/12</f>
        <v>28.59923070076081</v>
      </c>
      <c r="BR42" s="21">
        <f>EXP(-LN(2)/2)*BR41+(1-EXP(-LN(2)/2))/(LN(2)/2)*BL42*BO42*VLOOKUP('Données projet'!$B$11,Paramètres!$A$1:$I$89,3,0)*0.475*44/12</f>
        <v>2.760844377966972</v>
      </c>
      <c r="BS42" s="22">
        <f t="shared" si="9"/>
        <v>67.083169258814195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13.085000000000001</v>
      </c>
      <c r="BY42" s="12">
        <f>IF('Données projet'!$A$114&gt;35,BY41+BX42-CG41,IF(A42&lt;'Données projet'!$A$114,$BV$205^A42,IF(A42='Données projet'!$A$114,'Données projet'!$B$114,BY41+BX42-CG41)))</f>
        <v>194.48500000000001</v>
      </c>
      <c r="BZ42" s="13">
        <f>BY42*VLOOKUP('Données projet'!$B$12,Paramètres!$A$1:$I$89,3,0)*VLOOKUP('Données projet'!$B$12,Paramètres!$A$1:$I$89,5,0)</f>
        <v>175.97002800000001</v>
      </c>
      <c r="CA42" s="13">
        <f t="shared" si="39"/>
        <v>44.424413509351304</v>
      </c>
      <c r="CB42" s="20">
        <f t="shared" si="10"/>
        <v>383.85365229545351</v>
      </c>
      <c r="CC42" s="59">
        <f t="shared" si="11"/>
        <v>677.18698562878683</v>
      </c>
      <c r="CD42" s="59">
        <f ca="1">AVERAGE(OFFSET($CC$3,0,0,'Données projet'!$E$12+1,1))-AVERAGE(OFFSET($H$3,0,0,'Données projet'!$E$12+1,1))</f>
        <v>639.86968831634636</v>
      </c>
      <c r="CE42" s="59">
        <f t="shared" si="40"/>
        <v>218.1556771431184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6.9219999999999997</v>
      </c>
      <c r="CT42" s="12">
        <f>IF('Données projet'!$A$140&gt;35,CT41+CS42-DB41,IF(A42&lt;'Données projet'!$A$140,$CQ$205^A42,IF(A42='Données projet'!$A$140,'Données projet'!$B$140,CT41+CS42-DB41)))</f>
        <v>129.61800000000005</v>
      </c>
      <c r="CU42" s="17">
        <f>CT42*VLOOKUP('Données projet'!$B$13,Paramètres!$A$1:$I$89,3,0)*VLOOKUP('Données projet'!$B$13,Paramètres!$A$1:$I$89,5,0)</f>
        <v>113.23428480000007</v>
      </c>
      <c r="CV42" s="13">
        <f t="shared" si="41"/>
        <v>30.091717351199922</v>
      </c>
      <c r="CW42" s="20">
        <f t="shared" si="13"/>
        <v>249.62612041333998</v>
      </c>
      <c r="CX42" s="59">
        <f t="shared" si="14"/>
        <v>542.95945374667326</v>
      </c>
      <c r="CY42" s="59">
        <f ca="1">AVERAGE(OFFSET($CX$3,0,0,'Données projet'!$E$13+1,1))-AVERAGE(OFFSET($H$3,0,0,'Données projet'!$E$13+1,1))</f>
        <v>218.76600554860482</v>
      </c>
      <c r="CZ42" s="59">
        <f t="shared" si="42"/>
        <v>264.34840059907702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2.0655219497596926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2.0655219497596926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5.2692857142857141</v>
      </c>
      <c r="DO42" s="12">
        <f>IF('Données projet'!$A$166&gt;35,DO41+DN42-DW41,IF(A42&lt;'Données projet'!$A$166,$DL$205^A42,IF(A42='Données projet'!$A$166,'Données projet'!$B$166,DO41+DN42-DW41)))</f>
        <v>205.50214285714267</v>
      </c>
      <c r="DP42" s="17">
        <f>DO42*VLOOKUP('Données projet'!$B$14,Paramètres!$A$1:$I$89,3,0)*VLOOKUP('Données projet'!$B$14,Paramètres!$A$1:$I$89,5,0)</f>
        <v>176.32083857142842</v>
      </c>
      <c r="DQ42" s="13">
        <f t="shared" si="43"/>
        <v>44.502659307304029</v>
      </c>
      <c r="DR42" s="20">
        <f t="shared" si="16"/>
        <v>384.60092547212565</v>
      </c>
      <c r="DS42" s="59">
        <f t="shared" si="17"/>
        <v>677.93425880545897</v>
      </c>
      <c r="DT42" s="59">
        <f ca="1">AVERAGE(OFFSET($DS$3,0,0,'Données projet'!$E$14+1,1))-AVERAGE(OFFSET($H$3,0,0,'Données projet'!$E$14+1,1))</f>
        <v>442.97490100035287</v>
      </c>
      <c r="DU42" s="59">
        <f t="shared" si="44"/>
        <v>334.36243356457049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11.142857142857142</v>
      </c>
      <c r="EJ42" s="12">
        <f>IF('Données projet'!$A$192&gt;35,EJ41+EI42-ER41,IF(A42&lt;'Données projet'!$A$192,$EG$205^A42,IF(A42='Données projet'!$A$192,'Données projet'!$B$192,EJ41+EI42-ER41)))</f>
        <v>174.28571428571422</v>
      </c>
      <c r="EK42" s="17">
        <f>EJ42*VLOOKUP('Données projet'!$B$15,Paramètres!$A$1:$I$89,3,0)*VLOOKUP('Données projet'!$B$15,Paramètres!$A$1:$I$89,5,0)</f>
        <v>135.94285714285709</v>
      </c>
      <c r="EL42" s="13">
        <f t="shared" si="45"/>
        <v>35.365986273808367</v>
      </c>
      <c r="EM42" s="20">
        <f t="shared" si="19"/>
        <v>298.36290228402567</v>
      </c>
      <c r="EN42" s="59">
        <f t="shared" si="20"/>
        <v>591.69623561735898</v>
      </c>
      <c r="EO42" s="59">
        <f ca="1">AVERAGE(OFFSET($EN$3,0,0,'Données projet'!$E$15+1,1))-AVERAGE(OFFSET($H$3,0,0,'Données projet'!$E$15+1,1))</f>
        <v>288.82868507674738</v>
      </c>
      <c r="EP42" s="59">
        <f t="shared" si="46"/>
        <v>283.48738729114024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10.056396179235101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10.056396179235101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158.81111999999999</v>
      </c>
      <c r="FG42" s="13">
        <f t="shared" si="47"/>
        <v>40.57424391712447</v>
      </c>
      <c r="FH42" s="20">
        <f t="shared" si="22"/>
        <v>347.26284215565846</v>
      </c>
      <c r="FI42" s="59">
        <f t="shared" si="23"/>
        <v>640.59617548899178</v>
      </c>
      <c r="FJ42" s="59">
        <f ca="1">AVERAGE(OFFSET($FI$3,0,0,'Données projet'!$E$16+1,1))-AVERAGE(OFFSET($H$3,0,0,'Données projet'!$E$16+1,1))</f>
        <v>328.55201074501201</v>
      </c>
      <c r="FK42" s="59">
        <f t="shared" si="48"/>
        <v>321.81422611044985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4.2952906937114061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4.2952906937114061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</v>
      </c>
      <c r="FZ42" s="12">
        <f>IF('Données projet'!$A$244&gt;35,FZ41+FY42-GH41,IF(A42&lt;'Données projet'!$A$244,$FW$205^A42,IF(A42='Données projet'!$A$244,'Données projet'!$B$244,FZ41+FY42-GH41)))</f>
        <v>216.6</v>
      </c>
      <c r="GA42" s="17">
        <f>FZ42*VLOOKUP('Données projet'!$B$17,Paramètres!$A$1:$I$89,3,0)*VLOOKUP('Données projet'!$B$17,Paramètres!$A$1:$I$89,5,0)</f>
        <v>172.32695999999999</v>
      </c>
      <c r="GB42" s="13">
        <f t="shared" si="49"/>
        <v>43.61077213808133</v>
      </c>
      <c r="GC42" s="20">
        <f t="shared" si="25"/>
        <v>376.09155014049156</v>
      </c>
      <c r="GD42" s="59">
        <f t="shared" si="26"/>
        <v>669.42488347382482</v>
      </c>
      <c r="GE42" s="59">
        <f ca="1">AVERAGE(OFFSET($GD$3,0,0,'Données projet'!$E$17+1,1))-AVERAGE(OFFSET($H$3,0,0,'Données projet'!$E$17+1,1))</f>
        <v>353.37024194969638</v>
      </c>
      <c r="GF42" s="59">
        <f t="shared" si="50"/>
        <v>345.4750813433123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5.744765336517534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5.744765336517534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28.059999999999992</v>
      </c>
      <c r="N43" s="13">
        <f>IF('Données projet'!$A$36&gt;35,N42+M43-V42,IF(A43&lt;'Données projet'!$A$36,$K$205^A43,IF(A43='Données projet'!$A$36,'Données projet'!$B$36,N42+M43-V42)))</f>
        <v>527.76999999999987</v>
      </c>
      <c r="O43" s="13">
        <f>N43*VLOOKUP('Données projet'!$B$9,Paramètres!$A$1:$I$89,3,0)*VLOOKUP('Données projet'!$B$9,Paramètres!$A$1:$I$89,5,0)</f>
        <v>295.02342999999996</v>
      </c>
      <c r="P43" s="13">
        <f t="shared" si="33"/>
        <v>70.132169738860085</v>
      </c>
      <c r="Q43" s="20">
        <f t="shared" si="53"/>
        <v>635.97933621184779</v>
      </c>
      <c r="R43" s="59">
        <f t="shared" si="0"/>
        <v>929.31266954518105</v>
      </c>
      <c r="S43" s="59">
        <f ca="1">AVERAGE(OFFSET($R$3,0,0,'Données projet'!$E$9+1,1))-AVERAGE(OFFSET($H$3,0,0,'Données projet'!$E$9+1,1))</f>
        <v>404.65492118472037</v>
      </c>
      <c r="T43" s="59">
        <f t="shared" si="34"/>
        <v>534.22295841722166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21.415108099313247</v>
      </c>
      <c r="AA43" s="21">
        <f>EXP(-LN(2)/25)*AA42+(1-EXP(-LN(2)/25))/(LN(2)/25)*Calculateur!V43*Calculateur!X43*VLOOKUP('Données projet'!$B$9,Paramètres!$A$1:$I$89,3,0)*0.475*44/12</f>
        <v>37.112358179935946</v>
      </c>
      <c r="AB43" s="21">
        <f>EXP(-LN(2)/2)*AB42+(1-EXP(-LN(2)/2))/(LN(2)/2)*V43*Y43*VLOOKUP('Données projet'!$B$9,Paramètres!$A$1:$I$89,3,0)*0.475*44/12</f>
        <v>4.1482345991371075</v>
      </c>
      <c r="AC43" s="22">
        <f t="shared" si="3"/>
        <v>62.675700878386301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8.0650000000000013</v>
      </c>
      <c r="AI43" s="13">
        <f>IF('Données projet'!$A$62&gt;35,AI42+AH43-AQ42,IF(A43&lt;'Données projet'!$A$62,$AF$205^A43,IF(A43='Données projet'!$A$62,'Données projet'!$B$62,AI42+AH43-AQ42)))</f>
        <v>322.59999999999997</v>
      </c>
      <c r="AJ43" s="13">
        <f>AI43*VLOOKUP('Données projet'!$B$10,Paramètres!$A$1:$I$89,3,0)*VLOOKUP('Données projet'!$B$10,Paramètres!$A$1:$I$89,5,0)</f>
        <v>150.97679999999997</v>
      </c>
      <c r="AK43" s="13">
        <f t="shared" si="35"/>
        <v>38.800482998584769</v>
      </c>
      <c r="AL43" s="20">
        <f t="shared" si="4"/>
        <v>330.52876788920173</v>
      </c>
      <c r="AM43" s="59">
        <f t="shared" si="5"/>
        <v>623.8621012225351</v>
      </c>
      <c r="AN43" s="59">
        <f ca="1">AVERAGE(OFFSET($AM$3,0,0,'Données projet'!$E$10+1,1))-AVERAGE(OFFSET($H$3,0,0,'Données projet'!$E$10+1,1))</f>
        <v>331.17634116262298</v>
      </c>
      <c r="AO43" s="59">
        <f t="shared" si="36"/>
        <v>286.28916368940605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10.833333333333334</v>
      </c>
      <c r="BD43" s="12">
        <f>IF('Données projet'!$A$88&gt;35,BD42+BC43-BL42,IF(A43&lt;'Données projet'!$A$88,$BA$205^A43,IF(A43='Données projet'!$A$88,'Données projet'!$B$88,BD42+BC43-BL42)))</f>
        <v>192.33333333333346</v>
      </c>
      <c r="BE43" s="13">
        <f>BD43*VLOOKUP('Données projet'!$B$11,Paramètres!$A$1:$I$89,3,0)*VLOOKUP('Données projet'!$B$11,Paramètres!$A$1:$I$89,5,0)</f>
        <v>105.01400000000007</v>
      </c>
      <c r="BF43" s="13">
        <f t="shared" si="37"/>
        <v>28.153091498401675</v>
      </c>
      <c r="BG43" s="20">
        <f t="shared" si="7"/>
        <v>231.93268435971632</v>
      </c>
      <c r="BH43" s="59">
        <f t="shared" si="8"/>
        <v>525.26601769304966</v>
      </c>
      <c r="BI43" s="59">
        <f ca="1">AVERAGE(OFFSET($BH$3,0,0,'Données projet'!$E$11+1,1))-AVERAGE(OFFSET($H$3,0,0,'Données projet'!$E$11+1,1))</f>
        <v>165.87377022031535</v>
      </c>
      <c r="BJ43" s="59">
        <f t="shared" si="38"/>
        <v>272.91122662088929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35.022586092150881</v>
      </c>
      <c r="BQ43" s="21">
        <f>EXP(-LN(2)/25)*BQ42+(1-EXP(-LN(2)/25))/(LN(2)/25)*Calculateur!BL43*Calculateur!BN43*VLOOKUP('Données projet'!$B$11,Paramètres!$A$1:$I$89,3,0)*0.475*44/12</f>
        <v>27.817183233280328</v>
      </c>
      <c r="BR43" s="21">
        <f>EXP(-LN(2)/2)*BR42+(1-EXP(-LN(2)/2))/(LN(2)/2)*BL43*BO43*VLOOKUP('Données projet'!$B$11,Paramètres!$A$1:$I$89,3,0)*0.475*44/12</f>
        <v>1.9522117814612017</v>
      </c>
      <c r="BS43" s="22">
        <f t="shared" si="9"/>
        <v>64.791981106892408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13.085000000000001</v>
      </c>
      <c r="BY43" s="12">
        <f>IF('Données projet'!$A$114&gt;35,BY42+BX43-CG42,IF(A43&lt;'Données projet'!$A$114,$BV$205^A43,IF(A43='Données projet'!$A$114,'Données projet'!$B$114,BY42+BX43-CG42)))</f>
        <v>207.57000000000002</v>
      </c>
      <c r="BZ43" s="13">
        <f>BY43*VLOOKUP('Données projet'!$B$12,Paramètres!$A$1:$I$89,3,0)*VLOOKUP('Données projet'!$B$12,Paramètres!$A$1:$I$89,5,0)</f>
        <v>187.80933600000003</v>
      </c>
      <c r="CA43" s="13">
        <f t="shared" si="39"/>
        <v>47.055301742510849</v>
      </c>
      <c r="CB43" s="20">
        <f t="shared" si="10"/>
        <v>409.05591073487312</v>
      </c>
      <c r="CC43" s="59">
        <f t="shared" si="11"/>
        <v>702.38924406820638</v>
      </c>
      <c r="CD43" s="59">
        <f ca="1">AVERAGE(OFFSET($CC$3,0,0,'Données projet'!$E$12+1,1))-AVERAGE(OFFSET($H$3,0,0,'Données projet'!$E$12+1,1))</f>
        <v>639.86968831634636</v>
      </c>
      <c r="CE43" s="59">
        <f t="shared" si="40"/>
        <v>218.1556771431184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136.54</v>
      </c>
      <c r="CR43" s="12">
        <f>VLOOKUP(A43,'Données projet'!$A$139:$I$159,9,0)</f>
        <v>6.9219999999999997</v>
      </c>
      <c r="CS43" s="12">
        <f t="array" ref="CS43">INDEX(CR:CR,MIN(IF(ISNUMBER(CR43:CR239),ROW(CR43:CR239),"")))</f>
        <v>6.9219999999999997</v>
      </c>
      <c r="CT43" s="12">
        <f>IF('Données projet'!$A$140&gt;35,CT42+CS43-DB42,IF(A43&lt;'Données projet'!$A$140,$CQ$205^A43,IF(A43='Données projet'!$A$140,'Données projet'!$B$140,CT42+CS43-DB42)))</f>
        <v>136.54000000000005</v>
      </c>
      <c r="CU43" s="17">
        <f>CT43*VLOOKUP('Données projet'!$B$13,Paramètres!$A$1:$I$89,3,0)*VLOOKUP('Données projet'!$B$13,Paramètres!$A$1:$I$89,5,0)</f>
        <v>119.28134400000005</v>
      </c>
      <c r="CV43" s="13">
        <f t="shared" si="41"/>
        <v>31.507326031380696</v>
      </c>
      <c r="CW43" s="20">
        <f t="shared" si="13"/>
        <v>262.62360030465476</v>
      </c>
      <c r="CX43" s="59">
        <f t="shared" si="14"/>
        <v>555.95693363798807</v>
      </c>
      <c r="CY43" s="59">
        <f ca="1">AVERAGE(OFFSET($CX$3,0,0,'Données projet'!$E$13+1,1))-AVERAGE(OFFSET($H$3,0,0,'Données projet'!$E$13+1,1))</f>
        <v>218.76600554860482</v>
      </c>
      <c r="CZ43" s="59">
        <f t="shared" si="42"/>
        <v>264.34840059907702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25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4.1013570098228636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4.1013570098228636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5.2692857142857141</v>
      </c>
      <c r="DO43" s="12">
        <f>IF('Données projet'!$A$166&gt;35,DO42+DN43-DW42,IF(A43&lt;'Données projet'!$A$166,$DL$205^A43,IF(A43='Données projet'!$A$166,'Données projet'!$B$166,DO42+DN43-DW42)))</f>
        <v>210.77142857142837</v>
      </c>
      <c r="DP43" s="17">
        <f>DO43*VLOOKUP('Données projet'!$B$14,Paramètres!$A$1:$I$89,3,0)*VLOOKUP('Données projet'!$B$14,Paramètres!$A$1:$I$89,5,0)</f>
        <v>180.84188571428558</v>
      </c>
      <c r="DQ43" s="13">
        <f t="shared" si="43"/>
        <v>45.509439329706964</v>
      </c>
      <c r="DR43" s="20">
        <f t="shared" si="16"/>
        <v>394.22855778495364</v>
      </c>
      <c r="DS43" s="59">
        <f t="shared" si="17"/>
        <v>687.56189111828689</v>
      </c>
      <c r="DT43" s="59">
        <f ca="1">AVERAGE(OFFSET($DS$3,0,0,'Données projet'!$E$14+1,1))-AVERAGE(OFFSET($H$3,0,0,'Données projet'!$E$14+1,1))</f>
        <v>442.97490100035287</v>
      </c>
      <c r="DU43" s="59">
        <f t="shared" si="44"/>
        <v>334.36243356457049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11.142857142857142</v>
      </c>
      <c r="EJ43" s="12">
        <f>IF('Données projet'!$A$192&gt;35,EJ42+EI43-ER42,IF(A43&lt;'Données projet'!$A$192,$EG$205^A43,IF(A43='Données projet'!$A$192,'Données projet'!$B$192,EJ42+EI43-ER42)))</f>
        <v>185.42857142857136</v>
      </c>
      <c r="EK43" s="17">
        <f>EJ43*VLOOKUP('Données projet'!$B$15,Paramètres!$A$1:$I$89,3,0)*VLOOKUP('Données projet'!$B$15,Paramètres!$A$1:$I$89,5,0)</f>
        <v>144.63428571428565</v>
      </c>
      <c r="EL43" s="13">
        <f t="shared" si="45"/>
        <v>37.356634728420524</v>
      </c>
      <c r="EM43" s="20">
        <f t="shared" si="19"/>
        <v>316.96751977104657</v>
      </c>
      <c r="EN43" s="59">
        <f t="shared" si="20"/>
        <v>610.30085310437994</v>
      </c>
      <c r="EO43" s="59">
        <f ca="1">AVERAGE(OFFSET($EN$3,0,0,'Données projet'!$E$15+1,1))-AVERAGE(OFFSET($H$3,0,0,'Données projet'!$E$15+1,1))</f>
        <v>288.82868507674738</v>
      </c>
      <c r="EP43" s="59">
        <f t="shared" si="46"/>
        <v>283.48738729114024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9.8591963839563075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9.8591963839563075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167.1696</v>
      </c>
      <c r="FG43" s="13">
        <f t="shared" si="47"/>
        <v>42.455490039298851</v>
      </c>
      <c r="FH43" s="20">
        <f t="shared" si="22"/>
        <v>365.09703181844549</v>
      </c>
      <c r="FI43" s="59">
        <f t="shared" si="23"/>
        <v>658.4303651517788</v>
      </c>
      <c r="FJ43" s="59">
        <f ca="1">AVERAGE(OFFSET($FI$3,0,0,'Données projet'!$E$16+1,1))-AVERAGE(OFFSET($H$3,0,0,'Données projet'!$E$16+1,1))</f>
        <v>328.55201074501201</v>
      </c>
      <c r="FK43" s="59">
        <f t="shared" si="48"/>
        <v>321.81422611044985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0.129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7.8706095965414775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7.8706095965414775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228</v>
      </c>
      <c r="FX43" s="12">
        <f>VLOOKUP(A43,'Données projet'!$A$243:$I$263,9,0)</f>
        <v>11.4</v>
      </c>
      <c r="FY43" s="12">
        <f t="array" ref="FY43">INDEX(FX:FX,MIN(IF(ISNUMBER(FX43:FX239),ROW(FX43:FX239),"")))</f>
        <v>11.4</v>
      </c>
      <c r="FZ43" s="12">
        <f>IF('Données projet'!$A$244&gt;35,FZ42+FY43-GH42,IF(A43&lt;'Données projet'!$A$244,$FW$205^A43,IF(A43='Données projet'!$A$244,'Données projet'!$B$244,FZ42+FY43-GH42)))</f>
        <v>228</v>
      </c>
      <c r="GA43" s="17">
        <f>FZ43*VLOOKUP('Données projet'!$B$17,Paramètres!$A$1:$I$89,3,0)*VLOOKUP('Données projet'!$B$17,Paramètres!$A$1:$I$89,5,0)</f>
        <v>181.39680000000001</v>
      </c>
      <c r="GB43" s="13">
        <f t="shared" si="49"/>
        <v>45.63280848550832</v>
      </c>
      <c r="GC43" s="20">
        <f t="shared" si="25"/>
        <v>395.40990144559368</v>
      </c>
      <c r="GD43" s="59">
        <f t="shared" si="26"/>
        <v>688.74323477892699</v>
      </c>
      <c r="GE43" s="59">
        <f ca="1">AVERAGE(OFFSET($GD$3,0,0,'Données projet'!$E$17+1,1))-AVERAGE(OFFSET($H$3,0,0,'Données projet'!$E$17+1,1))</f>
        <v>353.37024194969638</v>
      </c>
      <c r="GF43" s="59">
        <f t="shared" si="50"/>
        <v>345.4750813433123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35</v>
      </c>
      <c r="GI43" s="16">
        <f>IF(ISNA(VLOOKUP(A43,'Données projet'!$A$243:$I$263,5,0)),0%,VLOOKUP(A43,'Données projet'!$A$243:$I$263,5,0)*VLOOKUP('Données projet'!$B$17,Paramètres!$A$1:$I$89,7,0))</f>
        <v>0.159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10.526599574196744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10.526599574196744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28.059999999999992</v>
      </c>
      <c r="N44" s="13">
        <f>IF('Données projet'!$A$36&gt;35,N43+M44-V43,IF(A44&lt;'Données projet'!$A$36,$K$205^A44,IF(A44='Données projet'!$A$36,'Données projet'!$B$36,N43+M44-V43)))</f>
        <v>555.82999999999981</v>
      </c>
      <c r="O44" s="13">
        <f>N44*VLOOKUP('Données projet'!$B$9,Paramètres!$A$1:$I$89,3,0)*VLOOKUP('Données projet'!$B$9,Paramètres!$A$1:$I$89,5,0)</f>
        <v>310.70896999999991</v>
      </c>
      <c r="P44" s="13">
        <f t="shared" si="33"/>
        <v>73.41687163487299</v>
      </c>
      <c r="Q44" s="20">
        <f t="shared" si="53"/>
        <v>669.01917418073697</v>
      </c>
      <c r="R44" s="59">
        <f t="shared" si="0"/>
        <v>962.35250751407034</v>
      </c>
      <c r="S44" s="59">
        <f ca="1">AVERAGE(OFFSET($R$3,0,0,'Données projet'!$E$9+1,1))-AVERAGE(OFFSET($H$3,0,0,'Données projet'!$E$9+1,1))</f>
        <v>404.65492118472037</v>
      </c>
      <c r="T44" s="59">
        <f t="shared" si="34"/>
        <v>534.22295841722166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20.995170891411899</v>
      </c>
      <c r="AA44" s="21">
        <f>EXP(-LN(2)/25)*AA43+(1-EXP(-LN(2)/25))/(LN(2)/25)*Calculateur!V44*Calculateur!X44*VLOOKUP('Données projet'!$B$9,Paramètres!$A$1:$I$89,3,0)*0.475*44/12</f>
        <v>36.097518793851499</v>
      </c>
      <c r="AB44" s="21">
        <f>EXP(-LN(2)/2)*AB43+(1-EXP(-LN(2)/2))/(LN(2)/2)*V44*Y44*VLOOKUP('Données projet'!$B$9,Paramètres!$A$1:$I$89,3,0)*0.475*44/12</f>
        <v>2.9332448150025083</v>
      </c>
      <c r="AC44" s="22">
        <f t="shared" si="3"/>
        <v>60.025934500265905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8.0650000000000013</v>
      </c>
      <c r="AI44" s="13">
        <f>IF('Données projet'!$A$62&gt;35,AI43+AH44-AQ43,IF(A44&lt;'Données projet'!$A$62,$AF$205^A44,IF(A44='Données projet'!$A$62,'Données projet'!$B$62,AI43+AH44-AQ43)))</f>
        <v>330.66499999999996</v>
      </c>
      <c r="AJ44" s="13">
        <f>AI44*VLOOKUP('Données projet'!$B$10,Paramètres!$A$1:$I$89,3,0)*VLOOKUP('Données projet'!$B$10,Paramètres!$A$1:$I$89,5,0)</f>
        <v>154.75121999999999</v>
      </c>
      <c r="AK44" s="13">
        <f t="shared" si="35"/>
        <v>39.656350034566181</v>
      </c>
      <c r="AL44" s="20">
        <f t="shared" si="4"/>
        <v>338.5931844768694</v>
      </c>
      <c r="AM44" s="59">
        <f t="shared" si="5"/>
        <v>631.92651781020277</v>
      </c>
      <c r="AN44" s="59">
        <f ca="1">AVERAGE(OFFSET($AM$3,0,0,'Données projet'!$E$10+1,1))-AVERAGE(OFFSET($H$3,0,0,'Données projet'!$E$10+1,1))</f>
        <v>331.17634116262298</v>
      </c>
      <c r="AO44" s="59">
        <f t="shared" si="36"/>
        <v>286.28916368940605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10.833333333333334</v>
      </c>
      <c r="BD44" s="12">
        <f>IF('Données projet'!$A$88&gt;35,BD43+BC44-BL43,IF(A44&lt;'Données projet'!$A$88,$BA$205^A44,IF(A44='Données projet'!$A$88,'Données projet'!$B$88,BD43+BC44-BL43)))</f>
        <v>203.1666666666668</v>
      </c>
      <c r="BE44" s="13">
        <f>BD44*VLOOKUP('Données projet'!$B$11,Paramètres!$A$1:$I$89,3,0)*VLOOKUP('Données projet'!$B$11,Paramètres!$A$1:$I$89,5,0)</f>
        <v>110.92900000000007</v>
      </c>
      <c r="BF44" s="13">
        <f t="shared" si="37"/>
        <v>29.549756970192657</v>
      </c>
      <c r="BG44" s="20">
        <f t="shared" si="7"/>
        <v>244.66716838975233</v>
      </c>
      <c r="BH44" s="59">
        <f t="shared" si="8"/>
        <v>538.00050172308568</v>
      </c>
      <c r="BI44" s="59">
        <f ca="1">AVERAGE(OFFSET($BH$3,0,0,'Données projet'!$E$11+1,1))-AVERAGE(OFFSET($H$3,0,0,'Données projet'!$E$11+1,1))</f>
        <v>165.87377022031535</v>
      </c>
      <c r="BJ44" s="59">
        <f t="shared" si="38"/>
        <v>272.91122662088929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34.335814540552029</v>
      </c>
      <c r="BQ44" s="21">
        <f>EXP(-LN(2)/25)*BQ43+(1-EXP(-LN(2)/25))/(LN(2)/25)*Calculateur!BL44*Calculateur!BN44*VLOOKUP('Données projet'!$B$11,Paramètres!$A$1:$I$89,3,0)*0.475*44/12</f>
        <v>27.056520894924187</v>
      </c>
      <c r="BR44" s="21">
        <f>EXP(-LN(2)/2)*BR43+(1-EXP(-LN(2)/2))/(LN(2)/2)*BL44*BO44*VLOOKUP('Données projet'!$B$11,Paramètres!$A$1:$I$89,3,0)*0.475*44/12</f>
        <v>1.3804221889834862</v>
      </c>
      <c r="BS44" s="22">
        <f t="shared" si="9"/>
        <v>62.7727576244597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13.085000000000001</v>
      </c>
      <c r="BY44" s="12">
        <f>IF('Données projet'!$A$114&gt;35,BY43+BX44-CG43,IF(A44&lt;'Données projet'!$A$114,$BV$205^A44,IF(A44='Données projet'!$A$114,'Données projet'!$B$114,BY43+BX44-CG43)))</f>
        <v>220.65500000000003</v>
      </c>
      <c r="BZ44" s="13">
        <f>BY44*VLOOKUP('Données projet'!$B$12,Paramètres!$A$1:$I$89,3,0)*VLOOKUP('Données projet'!$B$12,Paramètres!$A$1:$I$89,5,0)</f>
        <v>199.64864400000002</v>
      </c>
      <c r="CA44" s="13">
        <f t="shared" si="39"/>
        <v>49.666942410841884</v>
      </c>
      <c r="CB44" s="20">
        <f t="shared" si="10"/>
        <v>434.22464633221625</v>
      </c>
      <c r="CC44" s="59">
        <f t="shared" si="11"/>
        <v>727.55797966554951</v>
      </c>
      <c r="CD44" s="59">
        <f ca="1">AVERAGE(OFFSET($CC$3,0,0,'Données projet'!$E$12+1,1))-AVERAGE(OFFSET($H$3,0,0,'Données projet'!$E$12+1,1))</f>
        <v>639.86968831634636</v>
      </c>
      <c r="CE44" s="59">
        <f t="shared" si="40"/>
        <v>218.1556771431184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6.2819999999999991</v>
      </c>
      <c r="CT44" s="12">
        <f>IF('Données projet'!$A$140&gt;35,CT43+CS44-DB43,IF(A44&lt;'Données projet'!$A$140,$CQ$205^A44,IF(A44='Données projet'!$A$140,'Données projet'!$B$140,CT43+CS44-DB43)))</f>
        <v>117.82200000000006</v>
      </c>
      <c r="CU44" s="17">
        <f>CT44*VLOOKUP('Données projet'!$B$13,Paramètres!$A$1:$I$89,3,0)*VLOOKUP('Données projet'!$B$13,Paramètres!$A$1:$I$89,5,0)</f>
        <v>102.92929920000006</v>
      </c>
      <c r="CV44" s="13">
        <f t="shared" si="41"/>
        <v>27.658685703833868</v>
      </c>
      <c r="CW44" s="20">
        <f t="shared" si="13"/>
        <v>227.44074037417741</v>
      </c>
      <c r="CX44" s="59">
        <f t="shared" si="14"/>
        <v>520.77407370751075</v>
      </c>
      <c r="CY44" s="59">
        <f ca="1">AVERAGE(OFFSET($CX$3,0,0,'Données projet'!$E$13+1,1))-AVERAGE(OFFSET($H$3,0,0,'Données projet'!$E$13+1,1))</f>
        <v>218.76600554860482</v>
      </c>
      <c r="CZ44" s="59">
        <f t="shared" si="42"/>
        <v>264.34840059907702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4.0209319004410027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4.0209319004410027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5.2692857142857141</v>
      </c>
      <c r="DO44" s="12">
        <f>IF('Données projet'!$A$166&gt;35,DO43+DN44-DW43,IF(A44&lt;'Données projet'!$A$166,$DL$205^A44,IF(A44='Données projet'!$A$166,'Données projet'!$B$166,DO43+DN44-DW43)))</f>
        <v>216.04071428571407</v>
      </c>
      <c r="DP44" s="17">
        <f>DO44*VLOOKUP('Données projet'!$B$14,Paramètres!$A$1:$I$89,3,0)*VLOOKUP('Données projet'!$B$14,Paramètres!$A$1:$I$89,5,0)</f>
        <v>185.36293285714268</v>
      </c>
      <c r="DQ44" s="13">
        <f t="shared" si="43"/>
        <v>46.513293558782273</v>
      </c>
      <c r="DR44" s="20">
        <f t="shared" si="16"/>
        <v>403.85109434106926</v>
      </c>
      <c r="DS44" s="59">
        <f t="shared" si="17"/>
        <v>697.18442767440251</v>
      </c>
      <c r="DT44" s="59">
        <f ca="1">AVERAGE(OFFSET($DS$3,0,0,'Données projet'!$E$14+1,1))-AVERAGE(OFFSET($H$3,0,0,'Données projet'!$E$14+1,1))</f>
        <v>442.97490100035287</v>
      </c>
      <c r="DU44" s="59">
        <f t="shared" si="44"/>
        <v>334.36243356457049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11.142857142857142</v>
      </c>
      <c r="EJ44" s="12">
        <f>IF('Données projet'!$A$192&gt;35,EJ43+EI44-ER43,IF(A44&lt;'Données projet'!$A$192,$EG$205^A44,IF(A44='Données projet'!$A$192,'Données projet'!$B$192,EJ43+EI44-ER43)))</f>
        <v>196.5714285714285</v>
      </c>
      <c r="EK44" s="17">
        <f>EJ44*VLOOKUP('Données projet'!$B$15,Paramètres!$A$1:$I$89,3,0)*VLOOKUP('Données projet'!$B$15,Paramètres!$A$1:$I$89,5,0)</f>
        <v>153.32571428571424</v>
      </c>
      <c r="EL44" s="13">
        <f t="shared" si="45"/>
        <v>39.333398837614155</v>
      </c>
      <c r="EM44" s="20">
        <f t="shared" si="19"/>
        <v>335.5479553564636</v>
      </c>
      <c r="EN44" s="59">
        <f t="shared" si="20"/>
        <v>628.88128868979697</v>
      </c>
      <c r="EO44" s="59">
        <f ca="1">AVERAGE(OFFSET($EN$3,0,0,'Données projet'!$E$15+1,1))-AVERAGE(OFFSET($H$3,0,0,'Données projet'!$E$15+1,1))</f>
        <v>288.82868507674738</v>
      </c>
      <c r="EP44" s="59">
        <f t="shared" si="46"/>
        <v>283.48738729114024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9.6658635563829325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9.6658635563829325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148.69296</v>
      </c>
      <c r="FG44" s="13">
        <f t="shared" si="47"/>
        <v>38.281404966971365</v>
      </c>
      <c r="FH44" s="20">
        <f t="shared" si="22"/>
        <v>325.64701898414177</v>
      </c>
      <c r="FI44" s="59">
        <f t="shared" si="23"/>
        <v>618.98035231747508</v>
      </c>
      <c r="FJ44" s="59">
        <f ca="1">AVERAGE(OFFSET($FI$3,0,0,'Données projet'!$E$16+1,1))-AVERAGE(OFFSET($H$3,0,0,'Données projet'!$E$16+1,1))</f>
        <v>328.55201074501201</v>
      </c>
      <c r="FK44" s="59">
        <f t="shared" si="48"/>
        <v>321.81422611044985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7.7162717429511334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7.7162717429511334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9.8000000000000007</v>
      </c>
      <c r="FZ44" s="12">
        <f>IF('Données projet'!$A$244&gt;35,FZ43+FY44-GH43,IF(A44&lt;'Données projet'!$A$244,$FW$205^A44,IF(A44='Données projet'!$A$244,'Données projet'!$B$244,FZ43+FY44-GH43)))</f>
        <v>202.8</v>
      </c>
      <c r="GA44" s="17">
        <f>FZ44*VLOOKUP('Données projet'!$B$17,Paramètres!$A$1:$I$89,3,0)*VLOOKUP('Données projet'!$B$17,Paramètres!$A$1:$I$89,5,0)</f>
        <v>161.34768000000003</v>
      </c>
      <c r="GB44" s="13">
        <f t="shared" si="49"/>
        <v>41.146339844316657</v>
      </c>
      <c r="GC44" s="20">
        <f t="shared" si="25"/>
        <v>352.6770845621848</v>
      </c>
      <c r="GD44" s="59">
        <f t="shared" si="26"/>
        <v>646.01041789551812</v>
      </c>
      <c r="GE44" s="59">
        <f ca="1">AVERAGE(OFFSET($GD$3,0,0,'Données projet'!$E$17+1,1))-AVERAGE(OFFSET($H$3,0,0,'Données projet'!$E$17+1,1))</f>
        <v>353.37024194969638</v>
      </c>
      <c r="GF44" s="59">
        <f t="shared" si="50"/>
        <v>345.4750813433123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10.320179377138505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10.320179377138505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583.89</v>
      </c>
      <c r="L45" s="12">
        <f>VLOOKUP(A45,'Données projet'!$A$35:$I$55,9,0)</f>
        <v>28.059999999999992</v>
      </c>
      <c r="M45" s="12">
        <f t="array" ref="M45">INDEX(L:L,MIN(IF(ISNUMBER(L45:L241),ROW(L45:L241),"")))</f>
        <v>28.059999999999992</v>
      </c>
      <c r="N45" s="13">
        <f>IF('Données projet'!$A$36&gt;35,N44+M45-V44,IF(A45&lt;'Données projet'!$A$36,$K$205^A45,IF(A45='Données projet'!$A$36,'Données projet'!$B$36,N44+M45-V44)))</f>
        <v>583.88999999999976</v>
      </c>
      <c r="O45" s="13">
        <f>N45*VLOOKUP('Données projet'!$B$9,Paramètres!$A$1:$I$89,3,0)*VLOOKUP('Données projet'!$B$9,Paramètres!$A$1:$I$89,5,0)</f>
        <v>326.39450999999985</v>
      </c>
      <c r="P45" s="13">
        <f t="shared" si="33"/>
        <v>76.68231983802859</v>
      </c>
      <c r="Q45" s="20">
        <f t="shared" si="53"/>
        <v>702.02547863456618</v>
      </c>
      <c r="R45" s="59">
        <f t="shared" si="0"/>
        <v>995.35881196789956</v>
      </c>
      <c r="S45" s="59">
        <f ca="1">AVERAGE(OFFSET($R$3,0,0,'Données projet'!$E$9+1,1))-AVERAGE(OFFSET($H$3,0,0,'Données projet'!$E$9+1,1))</f>
        <v>404.65492118472037</v>
      </c>
      <c r="T45" s="59">
        <f t="shared" si="34"/>
        <v>534.22295841722166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0.22000000000000003</v>
      </c>
      <c r="X45" s="16">
        <f>IF(ISNA(VLOOKUP(A45,'Données projet'!$A$35:$I$55,6,0)),0%,VLOOKUP(A45,'Données projet'!$A$35:$I$55,6,0)*VLOOKUP('Données projet'!$B$9,Paramètres!$A$1:$I$89,7,0))</f>
        <v>0.18700000000000003</v>
      </c>
      <c r="Y45" s="16">
        <f>IF(ISNA(VLOOKUP(A45,'Données projet'!$A$35:$I$55,7,0)),0%,VLOOKUP(A45,'Données projet'!$A$35:$I$55,7,0))</f>
        <v>0.26</v>
      </c>
      <c r="Z45" s="21">
        <f>EXP(-LN(2)/35)*Z44+(1-EXP(-LN(2)/35))/(LN(2)/35)*V45*W45*VLOOKUP('Données projet'!$B$9,Paramètres!$A$1:$I$89,3,0)*0.475*44/12</f>
        <v>35.470075222629454</v>
      </c>
      <c r="AA45" s="21">
        <f>EXP(-LN(2)/25)*AA44+(1-EXP(-LN(2)/25))/(LN(2)/25)*Calculateur!V45*Calculateur!X45*VLOOKUP('Données projet'!$B$9,Paramètres!$A$1:$I$89,3,0)*0.475*44/12</f>
        <v>47.714223939944205</v>
      </c>
      <c r="AB45" s="21">
        <f>EXP(-LN(2)/2)*AB44+(1-EXP(-LN(2)/2))/(LN(2)/2)*V45*Y45*VLOOKUP('Données projet'!$B$9,Paramètres!$A$1:$I$89,3,0)*0.475*44/12</f>
        <v>17.090093393246363</v>
      </c>
      <c r="AC45" s="22">
        <f t="shared" si="3"/>
        <v>100.27439255582003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338.73</v>
      </c>
      <c r="AG45" s="12">
        <f>VLOOKUP(A45,'Données projet'!$A$61:$I$81,9,0)</f>
        <v>8.0650000000000013</v>
      </c>
      <c r="AH45" s="12">
        <f t="array" ref="AH45">INDEX(AG:AG,MIN(IF(ISNUMBER(AG45:AG241),ROW(AG45:AG241),"")))</f>
        <v>8.0650000000000013</v>
      </c>
      <c r="AI45" s="13">
        <f>IF('Données projet'!$A$62&gt;35,AI44+AH45-AQ44,IF(A45&lt;'Données projet'!$A$62,$AF$205^A45,IF(A45='Données projet'!$A$62,'Données projet'!$B$62,AI44+AH45-AQ44)))</f>
        <v>338.72999999999996</v>
      </c>
      <c r="AJ45" s="13">
        <f>AI45*VLOOKUP('Données projet'!$B$10,Paramètres!$A$1:$I$89,3,0)*VLOOKUP('Données projet'!$B$10,Paramètres!$A$1:$I$89,5,0)</f>
        <v>158.52563999999998</v>
      </c>
      <c r="AK45" s="13">
        <f t="shared" si="35"/>
        <v>40.509790434793032</v>
      </c>
      <c r="AL45" s="20">
        <f t="shared" si="4"/>
        <v>346.65337467393118</v>
      </c>
      <c r="AM45" s="59">
        <f t="shared" si="5"/>
        <v>639.9867080072645</v>
      </c>
      <c r="AN45" s="59">
        <f ca="1">AVERAGE(OFFSET($AM$3,0,0,'Données projet'!$E$10+1,1))-AVERAGE(OFFSET($H$3,0,0,'Données projet'!$E$10+1,1))</f>
        <v>331.17634116262298</v>
      </c>
      <c r="AO45" s="59">
        <f t="shared" si="36"/>
        <v>286.28916368940605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105.41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0.30800000000000005</v>
      </c>
      <c r="AT45" s="16">
        <f>IF(ISNA(VLOOKUP(A45,'Données projet'!$A$61:$I$81,7,0)),0%,VLOOKUP(A45,'Données projet'!$A$61:$I$81,7,0))</f>
        <v>0.44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20.07674861790694</v>
      </c>
      <c r="AW45" s="21">
        <f>EXP(-LN(2)/2)*AW44+(1-EXP(-LN(2)/2))/(LN(2)/2)*AQ45*AT45*VLOOKUP('Données projet'!$B$10,Paramètres!$A$1:$I$89,3,0)*0.475*44/12</f>
        <v>24.57626504682796</v>
      </c>
      <c r="AX45" s="21">
        <f t="shared" si="6"/>
        <v>44.6530136647349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214</v>
      </c>
      <c r="BB45" s="12">
        <f>VLOOKUP(A45,'Données projet'!$A$87:$I$107,9,0)</f>
        <v>10.833333333333334</v>
      </c>
      <c r="BC45" s="12">
        <f t="array" ref="BC45">INDEX(BB:BB,MIN(IF(ISNUMBER(BB45:BB241),ROW(BB45:BB241),"")))</f>
        <v>10.833333333333334</v>
      </c>
      <c r="BD45" s="12">
        <f>IF('Données projet'!$A$88&gt;35,BD44+BC45-BL44,IF(A45&lt;'Données projet'!$A$88,$BA$205^A45,IF(A45='Données projet'!$A$88,'Données projet'!$B$88,BD44+BC45-BL44)))</f>
        <v>214.00000000000014</v>
      </c>
      <c r="BE45" s="13">
        <f>BD45*VLOOKUP('Données projet'!$B$11,Paramètres!$A$1:$I$89,3,0)*VLOOKUP('Données projet'!$B$11,Paramètres!$A$1:$I$89,5,0)</f>
        <v>116.84400000000007</v>
      </c>
      <c r="BF45" s="13">
        <f t="shared" si="37"/>
        <v>30.93777624229395</v>
      </c>
      <c r="BG45" s="20">
        <f t="shared" si="7"/>
        <v>257.38659362199542</v>
      </c>
      <c r="BH45" s="59">
        <f t="shared" si="8"/>
        <v>550.71992695532867</v>
      </c>
      <c r="BI45" s="59">
        <f ca="1">AVERAGE(OFFSET($BH$3,0,0,'Données projet'!$E$11+1,1))-AVERAGE(OFFSET($H$3,0,0,'Données projet'!$E$11+1,1))</f>
        <v>165.87377022031535</v>
      </c>
      <c r="BJ45" s="59">
        <f t="shared" si="38"/>
        <v>272.91122662088929</v>
      </c>
      <c r="BK45" s="15">
        <f>IF(ISNA(VLOOKUP(A45,'Données projet'!$A$87:$I$107,3,0)),0,VLOOKUP(A45,'Données projet'!$A$87:$I$107,3,0))</f>
        <v>7</v>
      </c>
      <c r="BL45" s="15">
        <f>IF(ISNA(VLOOKUP(A45,'Données projet'!$A$87:$I$107,4,0)),0,VLOOKUP(A45,'Données projet'!$A$87:$I$107,4,0))</f>
        <v>214</v>
      </c>
      <c r="BM45" s="16">
        <f>IF(ISNA(VLOOKUP(A45,'Données projet'!$A$87:$I$107,5,0)),0%,VLOOKUP(A45,'Données projet'!$A$87:$I$107,5,0)*VLOOKUP('Données projet'!$B$11,Paramètres!$A$1:$I$89,7,0))</f>
        <v>0.48</v>
      </c>
      <c r="BN45" s="16">
        <f>IF(ISNA(VLOOKUP(A45,'Données projet'!$A$87:$I$107,6,0)),0%,VLOOKUP(A45,'Données projet'!$A$87:$I$107,6,0)*VLOOKUP('Données projet'!$B$11,Paramètres!$A$1:$I$89,7,0))</f>
        <v>6.6000000000000003E-2</v>
      </c>
      <c r="BO45" s="16">
        <f>IF(ISNA(VLOOKUP(A45,'Données projet'!$A$87:$I$107,7,0)),0%,VLOOKUP(A45,'Données projet'!$A$87:$I$107,7,0))</f>
        <v>0.09</v>
      </c>
      <c r="BP45" s="21">
        <f>EXP(-LN(2)/35)*BP44+(1-EXP(-LN(2)/35))/(LN(2)/35)*BL45*BM45*VLOOKUP('Données projet'!$B$11,Paramètres!$A$1:$I$89,3,0)*0.475*44/12</f>
        <v>108.06303683125201</v>
      </c>
      <c r="BQ45" s="21">
        <f>EXP(-LN(2)/25)*BQ44+(1-EXP(-LN(2)/25))/(LN(2)/25)*Calculateur!BL45*Calculateur!BN45*VLOOKUP('Données projet'!$B$11,Paramètres!$A$1:$I$89,3,0)*0.475*44/12</f>
        <v>36.506451632412833</v>
      </c>
      <c r="BR45" s="21">
        <f>EXP(-LN(2)/2)*BR44+(1-EXP(-LN(2)/2))/(LN(2)/2)*BL45*BO45*VLOOKUP('Données projet'!$B$11,Paramètres!$A$1:$I$89,3,0)*0.475*44/12</f>
        <v>12.882615442227014</v>
      </c>
      <c r="BS45" s="22">
        <f t="shared" si="9"/>
        <v>157.45210390589185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233.74</v>
      </c>
      <c r="BW45" s="12">
        <f>VLOOKUP(A45,'Données projet'!$A$113:$I$133,9,0)</f>
        <v>13.085000000000001</v>
      </c>
      <c r="BX45" s="12">
        <f t="array" ref="BX45">INDEX(BW:BW,MIN(IF(ISNUMBER(BW45:BW241),ROW(BW45:BW241),"")))</f>
        <v>13.085000000000001</v>
      </c>
      <c r="BY45" s="12">
        <f>IF('Données projet'!$A$114&gt;35,BY44+BX45-CG44,IF(A45&lt;'Données projet'!$A$114,$BV$205^A45,IF(A45='Données projet'!$A$114,'Données projet'!$B$114,BY44+BX45-CG44)))</f>
        <v>233.74000000000004</v>
      </c>
      <c r="BZ45" s="13">
        <f>BY45*VLOOKUP('Données projet'!$B$12,Paramètres!$A$1:$I$89,3,0)*VLOOKUP('Données projet'!$B$12,Paramètres!$A$1:$I$89,5,0)</f>
        <v>211.48795200000004</v>
      </c>
      <c r="CA45" s="13">
        <f t="shared" si="39"/>
        <v>52.260606912999364</v>
      </c>
      <c r="CB45" s="20">
        <f t="shared" si="10"/>
        <v>459.36207344014059</v>
      </c>
      <c r="CC45" s="59">
        <f t="shared" si="11"/>
        <v>752.69540677347391</v>
      </c>
      <c r="CD45" s="59">
        <f ca="1">AVERAGE(OFFSET($CC$3,0,0,'Données projet'!$E$12+1,1))-AVERAGE(OFFSET($H$3,0,0,'Données projet'!$E$12+1,1))</f>
        <v>639.86968831634636</v>
      </c>
      <c r="CE45" s="59">
        <f t="shared" si="40"/>
        <v>218.1556771431184</v>
      </c>
      <c r="CF45" s="15">
        <f>IF(ISNA(VLOOKUP(A45,'Données projet'!$A$113:$I$133,3,0)),0,VLOOKUP(A45,'Données projet'!$A$113:$I$133,3,0))</f>
        <v>2</v>
      </c>
      <c r="CG45" s="15">
        <f>IF(ISNA(VLOOKUP(A45,'Données projet'!$A$113:$I$133,4,0)),0,VLOOKUP(A45,'Données projet'!$A$113:$I$133,4,0))</f>
        <v>55.41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6.2819999999999991</v>
      </c>
      <c r="CT45" s="12">
        <f>IF('Données projet'!$A$140&gt;35,CT44+CS45-DB44,IF(A45&lt;'Données projet'!$A$140,$CQ$205^A45,IF(A45='Données projet'!$A$140,'Données projet'!$B$140,CT44+CS45-DB44)))</f>
        <v>124.10400000000006</v>
      </c>
      <c r="CU45" s="17">
        <f>CT45*VLOOKUP('Données projet'!$B$13,Paramètres!$A$1:$I$89,3,0)*VLOOKUP('Données projet'!$B$13,Paramètres!$A$1:$I$89,5,0)</f>
        <v>108.41725440000006</v>
      </c>
      <c r="CV45" s="13">
        <f t="shared" si="41"/>
        <v>28.957763400728382</v>
      </c>
      <c r="CW45" s="20">
        <f t="shared" si="13"/>
        <v>239.26148933626868</v>
      </c>
      <c r="CX45" s="59">
        <f t="shared" si="14"/>
        <v>532.59482266960197</v>
      </c>
      <c r="CY45" s="59">
        <f ca="1">AVERAGE(OFFSET($CX$3,0,0,'Données projet'!$E$13+1,1))-AVERAGE(OFFSET($H$3,0,0,'Données projet'!$E$13+1,1))</f>
        <v>218.76600554860482</v>
      </c>
      <c r="CZ45" s="59">
        <f t="shared" si="42"/>
        <v>264.34840059907702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3.942083878399647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3.942083878399647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221.31</v>
      </c>
      <c r="DM45" s="12">
        <f>VLOOKUP(A45,'Données projet'!$A$165:$I$185,9,0)</f>
        <v>5.2692857142857141</v>
      </c>
      <c r="DN45" s="12">
        <f t="array" ref="DN45">INDEX(DM:DM,MIN(IF(ISNUMBER(DM45:DM241),ROW(DM45:DM241),"")))</f>
        <v>5.2692857142857141</v>
      </c>
      <c r="DO45" s="12">
        <f>IF('Données projet'!$A$166&gt;35,DO44+DN45-DW44,IF(A45&lt;'Données projet'!$A$166,$DL$205^A45,IF(A45='Données projet'!$A$166,'Données projet'!$B$166,DO44+DN45-DW44)))</f>
        <v>221.30999999999977</v>
      </c>
      <c r="DP45" s="17">
        <f>DO45*VLOOKUP('Données projet'!$B$14,Paramètres!$A$1:$I$89,3,0)*VLOOKUP('Données projet'!$B$14,Paramètres!$A$1:$I$89,5,0)</f>
        <v>189.88397999999984</v>
      </c>
      <c r="DQ45" s="13">
        <f t="shared" si="43"/>
        <v>47.514301564715112</v>
      </c>
      <c r="DR45" s="20">
        <f t="shared" si="16"/>
        <v>413.46867372521183</v>
      </c>
      <c r="DS45" s="59">
        <f t="shared" si="17"/>
        <v>706.80200705854509</v>
      </c>
      <c r="DT45" s="59">
        <f ca="1">AVERAGE(OFFSET($DS$3,0,0,'Données projet'!$E$14+1,1))-AVERAGE(OFFSET($H$3,0,0,'Données projet'!$E$14+1,1))</f>
        <v>442.97490100035287</v>
      </c>
      <c r="DU45" s="59">
        <f t="shared" si="44"/>
        <v>334.36243356457049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78.63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11.142857142857142</v>
      </c>
      <c r="EJ45" s="12">
        <f>IF('Données projet'!$A$192&gt;35,EJ44+EI45-ER44,IF(A45&lt;'Données projet'!$A$192,$EG$205^A45,IF(A45='Données projet'!$A$192,'Données projet'!$B$192,EJ44+EI45-ER44)))</f>
        <v>207.71428571428564</v>
      </c>
      <c r="EK45" s="17">
        <f>EJ45*VLOOKUP('Données projet'!$B$15,Paramètres!$A$1:$I$89,3,0)*VLOOKUP('Données projet'!$B$15,Paramètres!$A$1:$I$89,5,0)</f>
        <v>162.0171428571428</v>
      </c>
      <c r="EL45" s="13">
        <f t="shared" si="45"/>
        <v>41.29715533509664</v>
      </c>
      <c r="EM45" s="20">
        <f t="shared" si="19"/>
        <v>354.10573601815037</v>
      </c>
      <c r="EN45" s="59">
        <f t="shared" si="20"/>
        <v>647.43906935148368</v>
      </c>
      <c r="EO45" s="59">
        <f ca="1">AVERAGE(OFFSET($EN$3,0,0,'Données projet'!$E$15+1,1))-AVERAGE(OFFSET($H$3,0,0,'Données projet'!$E$15+1,1))</f>
        <v>288.82868507674738</v>
      </c>
      <c r="EP45" s="59">
        <f t="shared" si="46"/>
        <v>283.48738729114024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9.4763218676368908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9.4763218676368908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155.87832000000003</v>
      </c>
      <c r="FG45" s="13">
        <f t="shared" si="47"/>
        <v>39.911451633481022</v>
      </c>
      <c r="FH45" s="20">
        <f t="shared" si="22"/>
        <v>341.00051892831283</v>
      </c>
      <c r="FI45" s="59">
        <f t="shared" si="23"/>
        <v>634.33385226164614</v>
      </c>
      <c r="FJ45" s="59">
        <f ca="1">AVERAGE(OFFSET($FI$3,0,0,'Données projet'!$E$16+1,1))-AVERAGE(OFFSET($H$3,0,0,'Données projet'!$E$16+1,1))</f>
        <v>328.55201074501201</v>
      </c>
      <c r="FK45" s="59">
        <f t="shared" si="48"/>
        <v>321.81422611044985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7.5649603605329006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7.5649603605329006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9.8000000000000007</v>
      </c>
      <c r="FZ45" s="12">
        <f>IF('Données projet'!$A$244&gt;35,FZ44+FY45-GH44,IF(A45&lt;'Données projet'!$A$244,$FW$205^A45,IF(A45='Données projet'!$A$244,'Données projet'!$B$244,FZ44+FY45-GH44)))</f>
        <v>212.60000000000002</v>
      </c>
      <c r="GA45" s="17">
        <f>FZ45*VLOOKUP('Données projet'!$B$17,Paramètres!$A$1:$I$89,3,0)*VLOOKUP('Données projet'!$B$17,Paramètres!$A$1:$I$89,5,0)</f>
        <v>169.14456000000004</v>
      </c>
      <c r="GB45" s="13">
        <f t="shared" si="49"/>
        <v>42.898377267189964</v>
      </c>
      <c r="GC45" s="20">
        <f t="shared" si="25"/>
        <v>369.30811574035596</v>
      </c>
      <c r="GD45" s="59">
        <f t="shared" si="26"/>
        <v>662.64144907368927</v>
      </c>
      <c r="GE45" s="59">
        <f ca="1">AVERAGE(OFFSET($GD$3,0,0,'Données projet'!$E$17+1,1))-AVERAGE(OFFSET($H$3,0,0,'Données projet'!$E$17+1,1))</f>
        <v>353.37024194969638</v>
      </c>
      <c r="GF45" s="59">
        <f t="shared" si="50"/>
        <v>345.4750813433123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10.11780695424069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10.11780695424069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27.068333333333328</v>
      </c>
      <c r="N46" s="13">
        <f>IF('Données projet'!$A$36&gt;35,N45+M46-V45,IF(A46&lt;'Données projet'!$A$36,$K$205^A46,IF(A46='Données projet'!$A$36,'Données projet'!$B$36,N45+M46-V45)))</f>
        <v>519.70833333333303</v>
      </c>
      <c r="O46" s="13">
        <f>N46*VLOOKUP('Données projet'!$B$9,Paramètres!$A$1:$I$89,3,0)*VLOOKUP('Données projet'!$B$9,Paramètres!$A$1:$I$89,5,0)</f>
        <v>290.51695833333315</v>
      </c>
      <c r="P46" s="13">
        <f t="shared" si="33"/>
        <v>69.184752576805266</v>
      </c>
      <c r="Q46" s="20">
        <f t="shared" si="53"/>
        <v>626.48047983515778</v>
      </c>
      <c r="R46" s="59">
        <f t="shared" si="0"/>
        <v>919.81381316849115</v>
      </c>
      <c r="S46" s="59">
        <f ca="1">AVERAGE(OFFSET($R$3,0,0,'Données projet'!$E$9+1,1))-AVERAGE(OFFSET($H$3,0,0,'Données projet'!$E$9+1,1))</f>
        <v>404.65492118472037</v>
      </c>
      <c r="T46" s="59">
        <f t="shared" si="34"/>
        <v>534.22295841722166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34.774528682123339</v>
      </c>
      <c r="AA46" s="21">
        <f>EXP(-LN(2)/25)*AA45+(1-EXP(-LN(2)/25))/(LN(2)/25)*Calculateur!V46*Calculateur!X46*VLOOKUP('Données projet'!$B$9,Paramètres!$A$1:$I$89,3,0)*0.475*44/12</f>
        <v>46.409475977124444</v>
      </c>
      <c r="AB46" s="21">
        <f>EXP(-LN(2)/2)*AB45+(1-EXP(-LN(2)/2))/(LN(2)/2)*V46*Y46*VLOOKUP('Données projet'!$B$9,Paramètres!$A$1:$I$89,3,0)*0.475*44/12</f>
        <v>12.084520929475918</v>
      </c>
      <c r="AC46" s="22">
        <f t="shared" si="3"/>
        <v>93.268525588723705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17.0825</v>
      </c>
      <c r="AI46" s="13">
        <f>IF('Données projet'!$A$62&gt;35,AI45+AH46-AQ45,IF(A46&lt;'Données projet'!$A$62,$AF$205^A46,IF(A46='Données projet'!$A$62,'Données projet'!$B$62,AI45+AH46-AQ45)))</f>
        <v>250.40249999999995</v>
      </c>
      <c r="AJ46" s="13">
        <f>AI46*VLOOKUP('Données projet'!$B$10,Paramètres!$A$1:$I$89,3,0)*VLOOKUP('Données projet'!$B$10,Paramètres!$A$1:$I$89,5,0)</f>
        <v>117.18836999999998</v>
      </c>
      <c r="AK46" s="13">
        <f t="shared" si="35"/>
        <v>31.018330643962909</v>
      </c>
      <c r="AL46" s="20">
        <f t="shared" si="4"/>
        <v>258.12667028823529</v>
      </c>
      <c r="AM46" s="59">
        <f t="shared" si="5"/>
        <v>551.4600036215686</v>
      </c>
      <c r="AN46" s="59">
        <f ca="1">AVERAGE(OFFSET($AM$3,0,0,'Données projet'!$E$10+1,1))-AVERAGE(OFFSET($H$3,0,0,'Données projet'!$E$10+1,1))</f>
        <v>331.17634116262298</v>
      </c>
      <c r="AO46" s="59">
        <f t="shared" si="36"/>
        <v>286.28916368940605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19.52774887115995</v>
      </c>
      <c r="AW46" s="21">
        <f>EXP(-LN(2)/2)*AW45+(1-EXP(-LN(2)/2))/(LN(2)/2)*AQ46*AT46*VLOOKUP('Données projet'!$B$10,Paramètres!$A$1:$I$89,3,0)*0.475*44/12</f>
        <v>17.378043670849976</v>
      </c>
      <c r="AX46" s="21">
        <f t="shared" si="6"/>
        <v>36.905792542009927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1.4210854715202004E-13</v>
      </c>
      <c r="BE46" s="13">
        <f>BD46*VLOOKUP('Données projet'!$B$11,Paramètres!$A$1:$I$89,3,0)*VLOOKUP('Données projet'!$B$11,Paramètres!$A$1:$I$89,5,0)</f>
        <v>7.7591266745002952E-14</v>
      </c>
      <c r="BF46" s="13">
        <f t="shared" si="37"/>
        <v>1.2005788606873384E-12</v>
      </c>
      <c r="BG46" s="20">
        <f t="shared" si="7"/>
        <v>2.226146305277994E-12</v>
      </c>
      <c r="BH46" s="59">
        <f t="shared" si="8"/>
        <v>293.33333333333553</v>
      </c>
      <c r="BI46" s="59">
        <f ca="1">AVERAGE(OFFSET($BH$3,0,0,'Données projet'!$E$11+1,1))-AVERAGE(OFFSET($H$3,0,0,'Données projet'!$E$11+1,1))</f>
        <v>165.87377022031535</v>
      </c>
      <c r="BJ46" s="59">
        <f t="shared" si="38"/>
        <v>272.91122662088929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105.94398659093535</v>
      </c>
      <c r="BQ46" s="21">
        <f>EXP(-LN(2)/25)*BQ45+(1-EXP(-LN(2)/25))/(LN(2)/25)*Calculateur!BL46*Calculateur!BN46*VLOOKUP('Données projet'!$B$11,Paramètres!$A$1:$I$89,3,0)*0.475*44/12</f>
        <v>35.508180792733647</v>
      </c>
      <c r="BR46" s="21">
        <f>EXP(-LN(2)/2)*BR45+(1-EXP(-LN(2)/2))/(LN(2)/2)*BL46*BO46*VLOOKUP('Données projet'!$B$11,Paramètres!$A$1:$I$89,3,0)*0.475*44/12</f>
        <v>9.1093847386172548</v>
      </c>
      <c r="BS46" s="22">
        <f t="shared" si="9"/>
        <v>150.56155212228626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13.355</v>
      </c>
      <c r="BY46" s="12">
        <f>IF('Données projet'!$A$114&gt;35,BY45+BX46-CG45,IF(A46&lt;'Données projet'!$A$114,$BV$205^A46,IF(A46='Données projet'!$A$114,'Données projet'!$B$114,BY45+BX46-CG45)))</f>
        <v>191.68500000000003</v>
      </c>
      <c r="BZ46" s="13">
        <f>BY46*VLOOKUP('Données projet'!$B$12,Paramètres!$A$1:$I$89,3,0)*VLOOKUP('Données projet'!$B$12,Paramètres!$A$1:$I$89,5,0)</f>
        <v>173.43658800000003</v>
      </c>
      <c r="CA46" s="13">
        <f t="shared" si="39"/>
        <v>43.858806167089995</v>
      </c>
      <c r="CB46" s="20">
        <f t="shared" si="10"/>
        <v>378.45614484101515</v>
      </c>
      <c r="CC46" s="59">
        <f t="shared" si="11"/>
        <v>671.78947817434846</v>
      </c>
      <c r="CD46" s="59">
        <f ca="1">AVERAGE(OFFSET($CC$3,0,0,'Données projet'!$E$12+1,1))-AVERAGE(OFFSET($H$3,0,0,'Données projet'!$E$12+1,1))</f>
        <v>639.86968831634636</v>
      </c>
      <c r="CE46" s="59">
        <f t="shared" si="40"/>
        <v>218.1556771431184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6.2819999999999991</v>
      </c>
      <c r="CT46" s="12">
        <f>IF('Données projet'!$A$140&gt;35,CT45+CS46-DB45,IF(A46&lt;'Données projet'!$A$140,$CQ$205^A46,IF(A46='Données projet'!$A$140,'Données projet'!$B$140,CT45+CS46-DB45)))</f>
        <v>130.38600000000005</v>
      </c>
      <c r="CU46" s="17">
        <f>CT46*VLOOKUP('Données projet'!$B$13,Paramètres!$A$1:$I$89,3,0)*VLOOKUP('Données projet'!$B$13,Paramètres!$A$1:$I$89,5,0)</f>
        <v>113.90520960000006</v>
      </c>
      <c r="CV46" s="13">
        <f t="shared" si="41"/>
        <v>30.249205952531838</v>
      </c>
      <c r="CW46" s="20">
        <f t="shared" si="13"/>
        <v>251.06894042065971</v>
      </c>
      <c r="CX46" s="59">
        <f t="shared" si="14"/>
        <v>544.40227375399309</v>
      </c>
      <c r="CY46" s="59">
        <f ca="1">AVERAGE(OFFSET($CX$3,0,0,'Données projet'!$E$13+1,1))-AVERAGE(OFFSET($H$3,0,0,'Données projet'!$E$13+1,1))</f>
        <v>218.76600554860482</v>
      </c>
      <c r="CZ46" s="59">
        <f t="shared" si="42"/>
        <v>264.34840059907702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3.8647820179779777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3.8647820179779777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13.6</v>
      </c>
      <c r="DO46" s="12">
        <f>IF('Données projet'!$A$166&gt;35,DO45+DN46-DW45,IF(A46&lt;'Données projet'!$A$166,$DL$205^A46,IF(A46='Données projet'!$A$166,'Données projet'!$B$166,DO45+DN46-DW45)))</f>
        <v>156.27999999999977</v>
      </c>
      <c r="DP46" s="17">
        <f>DO46*VLOOKUP('Données projet'!$B$14,Paramètres!$A$1:$I$89,3,0)*VLOOKUP('Données projet'!$B$14,Paramètres!$A$1:$I$89,5,0)</f>
        <v>134.08823999999981</v>
      </c>
      <c r="DQ46" s="13">
        <f t="shared" si="43"/>
        <v>34.939322458130945</v>
      </c>
      <c r="DR46" s="20">
        <f t="shared" si="16"/>
        <v>294.38967128124443</v>
      </c>
      <c r="DS46" s="59">
        <f t="shared" si="17"/>
        <v>587.7230046145778</v>
      </c>
      <c r="DT46" s="59">
        <f ca="1">AVERAGE(OFFSET($DS$3,0,0,'Données projet'!$E$14+1,1))-AVERAGE(OFFSET($H$3,0,0,'Données projet'!$E$14+1,1))</f>
        <v>442.97490100035287</v>
      </c>
      <c r="DU46" s="59">
        <f t="shared" si="44"/>
        <v>334.36243356457049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11.142857142857142</v>
      </c>
      <c r="EJ46" s="12">
        <f>IF('Données projet'!$A$192&gt;35,EJ45+EI46-ER45,IF(A46&lt;'Données projet'!$A$192,$EG$205^A46,IF(A46='Données projet'!$A$192,'Données projet'!$B$192,EJ45+EI46-ER45)))</f>
        <v>218.85714285714278</v>
      </c>
      <c r="EK46" s="17">
        <f>EJ46*VLOOKUP('Données projet'!$B$15,Paramètres!$A$1:$I$89,3,0)*VLOOKUP('Données projet'!$B$15,Paramètres!$A$1:$I$89,5,0)</f>
        <v>170.70857142857136</v>
      </c>
      <c r="EL46" s="13">
        <f t="shared" si="45"/>
        <v>43.248681576985376</v>
      </c>
      <c r="EM46" s="20">
        <f t="shared" si="19"/>
        <v>372.64221565134466</v>
      </c>
      <c r="EN46" s="59">
        <f t="shared" si="20"/>
        <v>665.97554898467797</v>
      </c>
      <c r="EO46" s="59">
        <f ca="1">AVERAGE(OFFSET($EN$3,0,0,'Données projet'!$E$15+1,1))-AVERAGE(OFFSET($H$3,0,0,'Données projet'!$E$15+1,1))</f>
        <v>288.82868507674738</v>
      </c>
      <c r="EP46" s="59">
        <f t="shared" si="46"/>
        <v>283.48738729114024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9.2904969757981437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9.2904969757981437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163.06368000000001</v>
      </c>
      <c r="FG46" s="13">
        <f t="shared" si="47"/>
        <v>41.532772330984628</v>
      </c>
      <c r="FH46" s="20">
        <f t="shared" si="22"/>
        <v>356.33882114313155</v>
      </c>
      <c r="FI46" s="59">
        <f t="shared" si="23"/>
        <v>649.67215447646481</v>
      </c>
      <c r="FJ46" s="59">
        <f ca="1">AVERAGE(OFFSET($FI$3,0,0,'Données projet'!$E$16+1,1))-AVERAGE(OFFSET($H$3,0,0,'Données projet'!$E$16+1,1))</f>
        <v>328.55201074501201</v>
      </c>
      <c r="FK46" s="59">
        <f t="shared" si="48"/>
        <v>321.81422611044985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7.4166161020330588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7.4166161020330588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9.8000000000000007</v>
      </c>
      <c r="FZ46" s="12">
        <f>IF('Données projet'!$A$244&gt;35,FZ45+FY46-GH45,IF(A46&lt;'Données projet'!$A$244,$FW$205^A46,IF(A46='Données projet'!$A$244,'Données projet'!$B$244,FZ45+FY46-GH45)))</f>
        <v>222.40000000000003</v>
      </c>
      <c r="GA46" s="17">
        <f>FZ46*VLOOKUP('Données projet'!$B$17,Paramètres!$A$1:$I$89,3,0)*VLOOKUP('Données projet'!$B$17,Paramètres!$A$1:$I$89,5,0)</f>
        <v>176.94144000000003</v>
      </c>
      <c r="GB46" s="13">
        <f t="shared" si="49"/>
        <v>44.641035679901449</v>
      </c>
      <c r="GC46" s="20">
        <f t="shared" si="25"/>
        <v>385.92281180916171</v>
      </c>
      <c r="GD46" s="59">
        <f t="shared" si="26"/>
        <v>679.25614514249503</v>
      </c>
      <c r="GE46" s="59">
        <f ca="1">AVERAGE(OFFSET($GD$3,0,0,'Données projet'!$E$17+1,1))-AVERAGE(OFFSET($H$3,0,0,'Données projet'!$E$17+1,1))</f>
        <v>353.37024194969638</v>
      </c>
      <c r="GF46" s="59">
        <f t="shared" si="50"/>
        <v>345.4750813433123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9.9194029311209118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9.9194029311209118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27.068333333333328</v>
      </c>
      <c r="N47" s="13">
        <f>IF('Données projet'!$A$36&gt;35,N46+M47-V46,IF(A47&lt;'Données projet'!$A$36,$K$205^A47,IF(A47='Données projet'!$A$36,'Données projet'!$B$36,N46+M47-V46)))</f>
        <v>546.77666666666642</v>
      </c>
      <c r="O47" s="13">
        <f>N47*VLOOKUP('Données projet'!$B$9,Paramètres!$A$1:$I$89,3,0)*VLOOKUP('Données projet'!$B$9,Paramètres!$A$1:$I$89,5,0)</f>
        <v>305.64815666666652</v>
      </c>
      <c r="P47" s="13">
        <f t="shared" si="33"/>
        <v>72.359245625403631</v>
      </c>
      <c r="Q47" s="20">
        <f t="shared" si="53"/>
        <v>658.36289232535546</v>
      </c>
      <c r="R47" s="59">
        <f t="shared" si="0"/>
        <v>951.69622565868872</v>
      </c>
      <c r="S47" s="59">
        <f ca="1">AVERAGE(OFFSET($R$3,0,0,'Données projet'!$E$9+1,1))-AVERAGE(OFFSET($H$3,0,0,'Données projet'!$E$9+1,1))</f>
        <v>404.65492118472037</v>
      </c>
      <c r="T47" s="59">
        <f t="shared" si="34"/>
        <v>534.22295841722166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34.092621385035045</v>
      </c>
      <c r="AA47" s="21">
        <f>EXP(-LN(2)/25)*AA46+(1-EXP(-LN(2)/25))/(LN(2)/25)*Calculateur!V47*Calculateur!X47*VLOOKUP('Données projet'!$B$9,Paramètres!$A$1:$I$89,3,0)*0.475*44/12</f>
        <v>45.140406415961706</v>
      </c>
      <c r="AB47" s="21">
        <f>EXP(-LN(2)/2)*AB46+(1-EXP(-LN(2)/2))/(LN(2)/2)*V47*Y47*VLOOKUP('Données projet'!$B$9,Paramètres!$A$1:$I$89,3,0)*0.475*44/12</f>
        <v>8.5450466966231833</v>
      </c>
      <c r="AC47" s="22">
        <f t="shared" si="3"/>
        <v>87.77807449761994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17.0825</v>
      </c>
      <c r="AI47" s="13">
        <f>IF('Données projet'!$A$62&gt;35,AI46+AH47-AQ46,IF(A47&lt;'Données projet'!$A$62,$AF$205^A47,IF(A47='Données projet'!$A$62,'Données projet'!$B$62,AI46+AH47-AQ46)))</f>
        <v>267.48499999999996</v>
      </c>
      <c r="AJ47" s="13">
        <f>AI47*VLOOKUP('Données projet'!$B$10,Paramètres!$A$1:$I$89,3,0)*VLOOKUP('Données projet'!$B$10,Paramètres!$A$1:$I$89,5,0)</f>
        <v>125.18297999999997</v>
      </c>
      <c r="AK47" s="13">
        <f t="shared" si="35"/>
        <v>32.880853291065115</v>
      </c>
      <c r="AL47" s="20">
        <f t="shared" si="4"/>
        <v>275.29450964860507</v>
      </c>
      <c r="AM47" s="59">
        <f t="shared" si="5"/>
        <v>568.62784298193833</v>
      </c>
      <c r="AN47" s="59">
        <f ca="1">AVERAGE(OFFSET($AM$3,0,0,'Données projet'!$E$10+1,1))-AVERAGE(OFFSET($H$3,0,0,'Données projet'!$E$10+1,1))</f>
        <v>331.17634116262298</v>
      </c>
      <c r="AO47" s="59">
        <f t="shared" si="36"/>
        <v>286.28916368940605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18.9937615513584</v>
      </c>
      <c r="AW47" s="21">
        <f>EXP(-LN(2)/2)*AW46+(1-EXP(-LN(2)/2))/(LN(2)/2)*AQ47*AT47*VLOOKUP('Données projet'!$B$10,Paramètres!$A$1:$I$89,3,0)*0.475*44/12</f>
        <v>12.288132523413982</v>
      </c>
      <c r="AX47" s="21">
        <f t="shared" si="6"/>
        <v>31.281894074772381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1.4210854715202004E-13</v>
      </c>
      <c r="BE47" s="13">
        <f>BD47*VLOOKUP('Données projet'!$B$11,Paramètres!$A$1:$I$89,3,0)*VLOOKUP('Données projet'!$B$11,Paramètres!$A$1:$I$89,5,0)</f>
        <v>7.7591266745002952E-14</v>
      </c>
      <c r="BF47" s="13">
        <f t="shared" si="37"/>
        <v>1.2005788606873384E-12</v>
      </c>
      <c r="BG47" s="20">
        <f t="shared" si="7"/>
        <v>2.226146305277994E-12</v>
      </c>
      <c r="BH47" s="59">
        <f t="shared" si="8"/>
        <v>293.33333333333553</v>
      </c>
      <c r="BI47" s="59">
        <f ca="1">AVERAGE(OFFSET($BH$3,0,0,'Données projet'!$E$11+1,1))-AVERAGE(OFFSET($H$3,0,0,'Données projet'!$E$11+1,1))</f>
        <v>165.87377022031535</v>
      </c>
      <c r="BJ47" s="59">
        <f t="shared" si="38"/>
        <v>272.91122662088929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103.86648963333829</v>
      </c>
      <c r="BQ47" s="21">
        <f>EXP(-LN(2)/25)*BQ46+(1-EXP(-LN(2)/25))/(LN(2)/25)*Calculateur!BL47*Calculateur!BN47*VLOOKUP('Données projet'!$B$11,Paramètres!$A$1:$I$89,3,0)*0.475*44/12</f>
        <v>34.53720772166227</v>
      </c>
      <c r="BR47" s="21">
        <f>EXP(-LN(2)/2)*BR46+(1-EXP(-LN(2)/2))/(LN(2)/2)*BL47*BO47*VLOOKUP('Données projet'!$B$11,Paramètres!$A$1:$I$89,3,0)*0.475*44/12</f>
        <v>6.4413077211135068</v>
      </c>
      <c r="BS47" s="22">
        <f t="shared" si="9"/>
        <v>144.84500507611406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13.355</v>
      </c>
      <c r="BY47" s="12">
        <f>IF('Données projet'!$A$114&gt;35,BY46+BX47-CG46,IF(A47&lt;'Données projet'!$A$114,$BV$205^A47,IF(A47='Données projet'!$A$114,'Données projet'!$B$114,BY46+BX47-CG46)))</f>
        <v>205.04000000000002</v>
      </c>
      <c r="BZ47" s="13">
        <f>BY47*VLOOKUP('Données projet'!$B$12,Paramètres!$A$1:$I$89,3,0)*VLOOKUP('Données projet'!$B$12,Paramètres!$A$1:$I$89,5,0)</f>
        <v>185.52019200000001</v>
      </c>
      <c r="CA47" s="13">
        <f t="shared" si="39"/>
        <v>46.548159739280301</v>
      </c>
      <c r="CB47" s="20">
        <f t="shared" si="10"/>
        <v>404.18571261257989</v>
      </c>
      <c r="CC47" s="59">
        <f t="shared" si="11"/>
        <v>697.51904594591315</v>
      </c>
      <c r="CD47" s="59">
        <f ca="1">AVERAGE(OFFSET($CC$3,0,0,'Données projet'!$E$12+1,1))-AVERAGE(OFFSET($H$3,0,0,'Données projet'!$E$12+1,1))</f>
        <v>639.86968831634636</v>
      </c>
      <c r="CE47" s="59">
        <f t="shared" si="40"/>
        <v>218.1556771431184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6.2819999999999991</v>
      </c>
      <c r="CT47" s="12">
        <f>IF('Données projet'!$A$140&gt;35,CT46+CS47-DB46,IF(A47&lt;'Données projet'!$A$140,$CQ$205^A47,IF(A47='Données projet'!$A$140,'Données projet'!$B$140,CT46+CS47-DB46)))</f>
        <v>136.66800000000006</v>
      </c>
      <c r="CU47" s="17">
        <f>CT47*VLOOKUP('Données projet'!$B$13,Paramètres!$A$1:$I$89,3,0)*VLOOKUP('Données projet'!$B$13,Paramètres!$A$1:$I$89,5,0)</f>
        <v>119.39316480000008</v>
      </c>
      <c r="CV47" s="13">
        <f t="shared" si="41"/>
        <v>31.53342321479667</v>
      </c>
      <c r="CW47" s="20">
        <f t="shared" si="13"/>
        <v>262.86380745910435</v>
      </c>
      <c r="CX47" s="59">
        <f t="shared" si="14"/>
        <v>556.19714079243772</v>
      </c>
      <c r="CY47" s="59">
        <f ca="1">AVERAGE(OFFSET($CX$3,0,0,'Données projet'!$E$13+1,1))-AVERAGE(OFFSET($H$3,0,0,'Données projet'!$E$13+1,1))</f>
        <v>218.76600554860482</v>
      </c>
      <c r="CZ47" s="59">
        <f t="shared" si="42"/>
        <v>264.34840059907702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3.788995999889698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3.788995999889698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13.6</v>
      </c>
      <c r="DO47" s="12">
        <f>IF('Données projet'!$A$166&gt;35,DO46+DN47-DW46,IF(A47&lt;'Données projet'!$A$166,$DL$205^A47,IF(A47='Données projet'!$A$166,'Données projet'!$B$166,DO46+DN47-DW46)))</f>
        <v>169.87999999999977</v>
      </c>
      <c r="DP47" s="17">
        <f>DO47*VLOOKUP('Données projet'!$B$14,Paramètres!$A$1:$I$89,3,0)*VLOOKUP('Données projet'!$B$14,Paramètres!$A$1:$I$89,5,0)</f>
        <v>145.75703999999982</v>
      </c>
      <c r="DQ47" s="13">
        <f t="shared" si="43"/>
        <v>37.612753393785368</v>
      </c>
      <c r="DR47" s="20">
        <f t="shared" si="16"/>
        <v>319.36905682750916</v>
      </c>
      <c r="DS47" s="59">
        <f t="shared" si="17"/>
        <v>612.70239016084247</v>
      </c>
      <c r="DT47" s="59">
        <f ca="1">AVERAGE(OFFSET($DS$3,0,0,'Données projet'!$E$14+1,1))-AVERAGE(OFFSET($H$3,0,0,'Données projet'!$E$14+1,1))</f>
        <v>442.97490100035287</v>
      </c>
      <c r="DU47" s="59">
        <f t="shared" si="44"/>
        <v>334.36243356457049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230</v>
      </c>
      <c r="EH47" s="12">
        <f>VLOOKUP(A47,'Données projet'!$A$191:$I$211,9,0)</f>
        <v>11.142857142857142</v>
      </c>
      <c r="EI47" s="12">
        <f t="array" ref="EI47">INDEX(EH:EH,MIN(IF(ISNUMBER(EH47:EH243),ROW(EH47:EH243),"")))</f>
        <v>11.142857142857142</v>
      </c>
      <c r="EJ47" s="12">
        <f>IF('Données projet'!$A$192&gt;35,EJ46+EI47-ER46,IF(A47&lt;'Données projet'!$A$192,$EG$205^A47,IF(A47='Données projet'!$A$192,'Données projet'!$B$192,EJ46+EI47-ER46)))</f>
        <v>229.99999999999991</v>
      </c>
      <c r="EK47" s="17">
        <f>EJ47*VLOOKUP('Données projet'!$B$15,Paramètres!$A$1:$I$89,3,0)*VLOOKUP('Données projet'!$B$15,Paramètres!$A$1:$I$89,5,0)</f>
        <v>179.39999999999995</v>
      </c>
      <c r="EL47" s="13">
        <f t="shared" si="45"/>
        <v>45.188671291872232</v>
      </c>
      <c r="EM47" s="20">
        <f t="shared" si="19"/>
        <v>391.15860250001066</v>
      </c>
      <c r="EN47" s="59">
        <f t="shared" si="20"/>
        <v>684.49193583334397</v>
      </c>
      <c r="EO47" s="59">
        <f ca="1">AVERAGE(OFFSET($EN$3,0,0,'Données projet'!$E$15+1,1))-AVERAGE(OFFSET($H$3,0,0,'Données projet'!$E$15+1,1))</f>
        <v>288.82868507674738</v>
      </c>
      <c r="EP47" s="59">
        <f t="shared" si="46"/>
        <v>283.48738729114024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43</v>
      </c>
      <c r="ES47" s="16">
        <f>IF(ISNA(VLOOKUP(A47,'Données projet'!$A$191:$I$211,5,0)),0%,VLOOKUP(A47,'Données projet'!$A$191:$I$211,5,0)*VLOOKUP('Données projet'!$B$15,Paramètres!$A$1:$I$89,7,0))</f>
        <v>0.17200000000000001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15.48564195982641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15.48564195982641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170.24904000000004</v>
      </c>
      <c r="FG47" s="13">
        <f t="shared" si="47"/>
        <v>43.145795507930117</v>
      </c>
      <c r="FH47" s="20">
        <f t="shared" si="22"/>
        <v>371.6626718429784</v>
      </c>
      <c r="FI47" s="59">
        <f t="shared" si="23"/>
        <v>664.99600517631166</v>
      </c>
      <c r="FJ47" s="59">
        <f ca="1">AVERAGE(OFFSET($FI$3,0,0,'Données projet'!$E$16+1,1))-AVERAGE(OFFSET($H$3,0,0,'Données projet'!$E$16+1,1))</f>
        <v>328.55201074501201</v>
      </c>
      <c r="FK47" s="59">
        <f t="shared" si="48"/>
        <v>321.81422611044985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7.2711807839613352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7.2711807839613352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9.8000000000000007</v>
      </c>
      <c r="FZ47" s="12">
        <f>IF('Données projet'!$A$244&gt;35,FZ46+FY47-GH46,IF(A47&lt;'Données projet'!$A$244,$FW$205^A47,IF(A47='Données projet'!$A$244,'Données projet'!$B$244,FZ46+FY47-GH46)))</f>
        <v>232.20000000000005</v>
      </c>
      <c r="GA47" s="17">
        <f>FZ47*VLOOKUP('Données projet'!$B$17,Paramètres!$A$1:$I$89,3,0)*VLOOKUP('Données projet'!$B$17,Paramètres!$A$1:$I$89,5,0)</f>
        <v>184.73832000000004</v>
      </c>
      <c r="GB47" s="13">
        <f t="shared" si="49"/>
        <v>46.374775595471988</v>
      </c>
      <c r="GC47" s="20">
        <f t="shared" si="25"/>
        <v>402.52197482878046</v>
      </c>
      <c r="GD47" s="59">
        <f t="shared" si="26"/>
        <v>695.85530816211372</v>
      </c>
      <c r="GE47" s="59">
        <f ca="1">AVERAGE(OFFSET($GD$3,0,0,'Données projet'!$E$17+1,1))-AVERAGE(OFFSET($H$3,0,0,'Données projet'!$E$17+1,1))</f>
        <v>353.37024194969638</v>
      </c>
      <c r="GF47" s="59">
        <f t="shared" si="50"/>
        <v>345.4750813433123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9.7248894898800078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9.7248894898800078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27.068333333333328</v>
      </c>
      <c r="N48" s="13">
        <f>IF('Données projet'!$A$36&gt;35,N47+M48-V47,IF(A48&lt;'Données projet'!$A$36,$K$205^A48,IF(A48='Données projet'!$A$36,'Données projet'!$B$36,N47+M48-V47)))</f>
        <v>573.8449999999998</v>
      </c>
      <c r="O48" s="13">
        <f>N48*VLOOKUP('Données projet'!$B$9,Paramètres!$A$1:$I$89,3,0)*VLOOKUP('Données projet'!$B$9,Paramètres!$A$1:$I$89,5,0)</f>
        <v>320.7793549999999</v>
      </c>
      <c r="P48" s="13">
        <f t="shared" si="33"/>
        <v>75.515490662730798</v>
      </c>
      <c r="Q48" s="20">
        <f t="shared" si="53"/>
        <v>690.21352286258923</v>
      </c>
      <c r="R48" s="59">
        <f t="shared" si="0"/>
        <v>983.5468561959226</v>
      </c>
      <c r="S48" s="59">
        <f ca="1">AVERAGE(OFFSET($R$3,0,0,'Données projet'!$E$9+1,1))-AVERAGE(OFFSET($H$3,0,0,'Données projet'!$E$9+1,1))</f>
        <v>404.65492118472037</v>
      </c>
      <c r="T48" s="59">
        <f t="shared" si="34"/>
        <v>534.22295841722166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33.424085874120273</v>
      </c>
      <c r="AA48" s="21">
        <f>EXP(-LN(2)/25)*AA47+(1-EXP(-LN(2)/25))/(LN(2)/25)*Calculateur!V48*Calculateur!X48*VLOOKUP('Données projet'!$B$9,Paramètres!$A$1:$I$89,3,0)*0.475*44/12</f>
        <v>43.906039628686429</v>
      </c>
      <c r="AB48" s="21">
        <f>EXP(-LN(2)/2)*AB47+(1-EXP(-LN(2)/2))/(LN(2)/2)*V48*Y48*VLOOKUP('Données projet'!$B$9,Paramètres!$A$1:$I$89,3,0)*0.475*44/12</f>
        <v>6.0422604647379607</v>
      </c>
      <c r="AC48" s="22">
        <f t="shared" si="3"/>
        <v>83.372385967544673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17.0825</v>
      </c>
      <c r="AI48" s="13">
        <f>IF('Données projet'!$A$62&gt;35,AI47+AH48-AQ47,IF(A48&lt;'Données projet'!$A$62,$AF$205^A48,IF(A48='Données projet'!$A$62,'Données projet'!$B$62,AI47+AH48-AQ47)))</f>
        <v>284.56749999999994</v>
      </c>
      <c r="AJ48" s="13">
        <f>AI48*VLOOKUP('Données projet'!$B$10,Paramètres!$A$1:$I$89,3,0)*VLOOKUP('Données projet'!$B$10,Paramètres!$A$1:$I$89,5,0)</f>
        <v>133.17758999999995</v>
      </c>
      <c r="AK48" s="13">
        <f t="shared" si="35"/>
        <v>34.729571936984776</v>
      </c>
      <c r="AL48" s="20">
        <f t="shared" si="4"/>
        <v>292.43830704024839</v>
      </c>
      <c r="AM48" s="59">
        <f t="shared" si="5"/>
        <v>585.7716403735817</v>
      </c>
      <c r="AN48" s="59">
        <f ca="1">AVERAGE(OFFSET($AM$3,0,0,'Données projet'!$E$10+1,1))-AVERAGE(OFFSET($H$3,0,0,'Données projet'!$E$10+1,1))</f>
        <v>331.17634116262298</v>
      </c>
      <c r="AO48" s="59">
        <f t="shared" si="36"/>
        <v>286.28916368940605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18.474376142897995</v>
      </c>
      <c r="AW48" s="21">
        <f>EXP(-LN(2)/2)*AW47+(1-EXP(-LN(2)/2))/(LN(2)/2)*AQ48*AT48*VLOOKUP('Données projet'!$B$10,Paramètres!$A$1:$I$89,3,0)*0.475*44/12</f>
        <v>8.6890218354249882</v>
      </c>
      <c r="AX48" s="21">
        <f t="shared" si="6"/>
        <v>27.163397978322983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1.4210854715202004E-13</v>
      </c>
      <c r="BE48" s="13">
        <f>BD48*VLOOKUP('Données projet'!$B$11,Paramètres!$A$1:$I$89,3,0)*VLOOKUP('Données projet'!$B$11,Paramètres!$A$1:$I$89,5,0)</f>
        <v>7.7591266745002952E-14</v>
      </c>
      <c r="BF48" s="13">
        <f t="shared" si="37"/>
        <v>1.2005788606873384E-12</v>
      </c>
      <c r="BG48" s="20">
        <f t="shared" si="7"/>
        <v>2.226146305277994E-12</v>
      </c>
      <c r="BH48" s="59">
        <f t="shared" si="8"/>
        <v>293.33333333333553</v>
      </c>
      <c r="BI48" s="59">
        <f ca="1">AVERAGE(OFFSET($BH$3,0,0,'Données projet'!$E$11+1,1))-AVERAGE(OFFSET($H$3,0,0,'Données projet'!$E$11+1,1))</f>
        <v>165.87377022031535</v>
      </c>
      <c r="BJ48" s="59">
        <f t="shared" si="38"/>
        <v>272.91122662088929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101.82973112393168</v>
      </c>
      <c r="BQ48" s="21">
        <f>EXP(-LN(2)/25)*BQ47+(1-EXP(-LN(2)/25))/(LN(2)/25)*Calculateur!BL48*Calculateur!BN48*VLOOKUP('Données projet'!$B$11,Paramètres!$A$1:$I$89,3,0)*0.475*44/12</f>
        <v>33.592785960280594</v>
      </c>
      <c r="BR48" s="21">
        <f>EXP(-LN(2)/2)*BR47+(1-EXP(-LN(2)/2))/(LN(2)/2)*BL48*BO48*VLOOKUP('Données projet'!$B$11,Paramètres!$A$1:$I$89,3,0)*0.475*44/12</f>
        <v>4.5546923693086274</v>
      </c>
      <c r="BS48" s="22">
        <f t="shared" si="9"/>
        <v>139.97720945352091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13.355</v>
      </c>
      <c r="BY48" s="12">
        <f>IF('Données projet'!$A$114&gt;35,BY47+BX48-CG47,IF(A48&lt;'Données projet'!$A$114,$BV$205^A48,IF(A48='Données projet'!$A$114,'Données projet'!$B$114,BY47+BX48-CG47)))</f>
        <v>218.39500000000001</v>
      </c>
      <c r="BZ48" s="13">
        <f>BY48*VLOOKUP('Données projet'!$B$12,Paramètres!$A$1:$I$89,3,0)*VLOOKUP('Données projet'!$B$12,Paramètres!$A$1:$I$89,5,0)</f>
        <v>197.60379600000002</v>
      </c>
      <c r="CA48" s="13">
        <f t="shared" si="39"/>
        <v>49.217185759528235</v>
      </c>
      <c r="CB48" s="20">
        <f t="shared" si="10"/>
        <v>429.87987656451173</v>
      </c>
      <c r="CC48" s="59">
        <f t="shared" si="11"/>
        <v>723.21320989784499</v>
      </c>
      <c r="CD48" s="59">
        <f ca="1">AVERAGE(OFFSET($CC$3,0,0,'Données projet'!$E$12+1,1))-AVERAGE(OFFSET($H$3,0,0,'Données projet'!$E$12+1,1))</f>
        <v>639.86968831634636</v>
      </c>
      <c r="CE48" s="59">
        <f t="shared" si="40"/>
        <v>218.1556771431184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142.94999999999999</v>
      </c>
      <c r="CR48" s="12">
        <f>VLOOKUP(A48,'Données projet'!$A$139:$I$159,9,0)</f>
        <v>6.2819999999999991</v>
      </c>
      <c r="CS48" s="12">
        <f t="array" ref="CS48">INDEX(CR:CR,MIN(IF(ISNUMBER(CR48:CR244),ROW(CR48:CR244),"")))</f>
        <v>6.2819999999999991</v>
      </c>
      <c r="CT48" s="12">
        <f>IF('Données projet'!$A$140&gt;35,CT47+CS48-DB47,IF(A48&lt;'Données projet'!$A$140,$CQ$205^A48,IF(A48='Données projet'!$A$140,'Données projet'!$B$140,CT47+CS48-DB47)))</f>
        <v>142.95000000000007</v>
      </c>
      <c r="CU48" s="17">
        <f>CT48*VLOOKUP('Données projet'!$B$13,Paramètres!$A$1:$I$89,3,0)*VLOOKUP('Données projet'!$B$13,Paramètres!$A$1:$I$89,5,0)</f>
        <v>124.88112000000008</v>
      </c>
      <c r="CV48" s="13">
        <f t="shared" si="41"/>
        <v>32.810785235108199</v>
      </c>
      <c r="CW48" s="20">
        <f t="shared" si="13"/>
        <v>274.64673495114693</v>
      </c>
      <c r="CX48" s="59">
        <f t="shared" si="14"/>
        <v>567.98006828448024</v>
      </c>
      <c r="CY48" s="59">
        <f ca="1">AVERAGE(OFFSET($CX$3,0,0,'Données projet'!$E$13+1,1))-AVERAGE(OFFSET($H$3,0,0,'Données projet'!$E$13+1,1))</f>
        <v>218.76600554860482</v>
      </c>
      <c r="CZ48" s="59">
        <f t="shared" si="42"/>
        <v>264.34840059907702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23.08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6.590009911284838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6.590009911284838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13.6</v>
      </c>
      <c r="DO48" s="12">
        <f>IF('Données projet'!$A$166&gt;35,DO47+DN48-DW47,IF(A48&lt;'Données projet'!$A$166,$DL$205^A48,IF(A48='Données projet'!$A$166,'Données projet'!$B$166,DO47+DN48-DW47)))</f>
        <v>183.47999999999976</v>
      </c>
      <c r="DP48" s="17">
        <f>DO48*VLOOKUP('Données projet'!$B$14,Paramètres!$A$1:$I$89,3,0)*VLOOKUP('Données projet'!$B$14,Paramètres!$A$1:$I$89,5,0)</f>
        <v>157.42583999999979</v>
      </c>
      <c r="DQ48" s="13">
        <f t="shared" si="43"/>
        <v>40.261359496859519</v>
      </c>
      <c r="DR48" s="20">
        <f t="shared" si="16"/>
        <v>344.30520579036329</v>
      </c>
      <c r="DS48" s="59">
        <f t="shared" si="17"/>
        <v>637.63853912369655</v>
      </c>
      <c r="DT48" s="59">
        <f ca="1">AVERAGE(OFFSET($DS$3,0,0,'Données projet'!$E$14+1,1))-AVERAGE(OFFSET($H$3,0,0,'Données projet'!$E$14+1,1))</f>
        <v>442.97490100035287</v>
      </c>
      <c r="DU48" s="59">
        <f t="shared" si="44"/>
        <v>334.36243356457049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10.375</v>
      </c>
      <c r="EJ48" s="12">
        <f>IF('Données projet'!$A$192&gt;35,EJ47+EI48-ER47,IF(A48&lt;'Données projet'!$A$192,$EG$205^A48,IF(A48='Données projet'!$A$192,'Données projet'!$B$192,EJ47+EI48-ER47)))</f>
        <v>197.37499999999991</v>
      </c>
      <c r="EK48" s="17">
        <f>EJ48*VLOOKUP('Données projet'!$B$15,Paramètres!$A$1:$I$89,3,0)*VLOOKUP('Données projet'!$B$15,Paramètres!$A$1:$I$89,5,0)</f>
        <v>153.95249999999993</v>
      </c>
      <c r="EL48" s="13">
        <f t="shared" si="45"/>
        <v>39.475441267837361</v>
      </c>
      <c r="EM48" s="20">
        <f t="shared" si="19"/>
        <v>336.88699770814992</v>
      </c>
      <c r="EN48" s="59">
        <f t="shared" si="20"/>
        <v>630.22033104148318</v>
      </c>
      <c r="EO48" s="59">
        <f ca="1">AVERAGE(OFFSET($EN$3,0,0,'Données projet'!$E$15+1,1))-AVERAGE(OFFSET($H$3,0,0,'Données projet'!$E$15+1,1))</f>
        <v>288.82868507674738</v>
      </c>
      <c r="EP48" s="59">
        <f t="shared" si="46"/>
        <v>283.48738729114024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15.181977966303162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15.181977966303162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177.43440000000004</v>
      </c>
      <c r="FG48" s="13">
        <f t="shared" si="47"/>
        <v>44.750911401641211</v>
      </c>
      <c r="FH48" s="20">
        <f t="shared" si="22"/>
        <v>386.97275069119183</v>
      </c>
      <c r="FI48" s="59">
        <f t="shared" si="23"/>
        <v>680.30608402452515</v>
      </c>
      <c r="FJ48" s="59">
        <f ca="1">AVERAGE(OFFSET($FI$3,0,0,'Données projet'!$E$16+1,1))-AVERAGE(OFFSET($H$3,0,0,'Données projet'!$E$16+1,1))</f>
        <v>328.55201074501201</v>
      </c>
      <c r="FK48" s="59">
        <f t="shared" si="48"/>
        <v>321.81422611044985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0.129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9.6380009752891524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9.6380009752891524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242</v>
      </c>
      <c r="FX48" s="12">
        <f>VLOOKUP(A48,'Données projet'!$A$243:$I$263,9,0)</f>
        <v>9.8000000000000007</v>
      </c>
      <c r="FY48" s="12">
        <f t="array" ref="FY48">INDEX(FX:FX,MIN(IF(ISNUMBER(FX48:FX244),ROW(FX48:FX244),"")))</f>
        <v>9.8000000000000007</v>
      </c>
      <c r="FZ48" s="12">
        <f>IF('Données projet'!$A$244&gt;35,FZ47+FY48-GH47,IF(A48&lt;'Données projet'!$A$244,$FW$205^A48,IF(A48='Données projet'!$A$244,'Données projet'!$B$244,FZ47+FY48-GH47)))</f>
        <v>242.00000000000006</v>
      </c>
      <c r="GA48" s="17">
        <f>FZ48*VLOOKUP('Données projet'!$B$17,Paramètres!$A$1:$I$89,3,0)*VLOOKUP('Données projet'!$B$17,Paramètres!$A$1:$I$89,5,0)</f>
        <v>192.53520000000006</v>
      </c>
      <c r="GB48" s="13">
        <f t="shared" si="49"/>
        <v>48.100016456123079</v>
      </c>
      <c r="GC48" s="20">
        <f t="shared" si="25"/>
        <v>419.10633532774779</v>
      </c>
      <c r="GD48" s="59">
        <f t="shared" si="26"/>
        <v>712.4396686610811</v>
      </c>
      <c r="GE48" s="59">
        <f ca="1">AVERAGE(OFFSET($GD$3,0,0,'Données projet'!$E$17+1,1))-AVERAGE(OFFSET($H$3,0,0,'Données projet'!$E$17+1,1))</f>
        <v>353.37024194969638</v>
      </c>
      <c r="GF48" s="59">
        <f t="shared" si="50"/>
        <v>345.4750813433123</v>
      </c>
      <c r="GG48" s="15">
        <f>IF(ISNA(VLOOKUP(A48,'Données projet'!$A$243:$I$263,3,0)),0,VLOOKUP(A48,'Données projet'!$A$243:$I$263,3,0))</f>
        <v>8</v>
      </c>
      <c r="GH48" s="15">
        <f>IF(ISNA(VLOOKUP(A48,'Données projet'!$A$243:$I$263,4,0)),0,VLOOKUP(A48,'Données projet'!$A$243:$I$263,4,0))</f>
        <v>24</v>
      </c>
      <c r="GI48" s="16">
        <f>IF(ISNA(VLOOKUP(A48,'Données projet'!$A$243:$I$263,5,0)),0%,VLOOKUP(A48,'Données projet'!$A$243:$I$263,5,0)*VLOOKUP('Données projet'!$B$17,Paramètres!$A$1:$I$89,7,0))</f>
        <v>0.159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12.890409023358034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12.890409023358034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27.068333333333328</v>
      </c>
      <c r="N49" s="13">
        <f>IF('Données projet'!$A$36&gt;35,N48+M49-V48,IF(A49&lt;'Données projet'!$A$36,$K$205^A49,IF(A49='Données projet'!$A$36,'Données projet'!$B$36,N48+M49-V48)))</f>
        <v>600.91333333333318</v>
      </c>
      <c r="O49" s="13">
        <f>N49*VLOOKUP('Données projet'!$B$9,Paramètres!$A$1:$I$89,3,0)*VLOOKUP('Données projet'!$B$9,Paramètres!$A$1:$I$89,5,0)</f>
        <v>335.91055333333321</v>
      </c>
      <c r="P49" s="13">
        <f t="shared" si="33"/>
        <v>78.654446736186813</v>
      </c>
      <c r="Q49" s="20">
        <f t="shared" si="53"/>
        <v>722.03404178774736</v>
      </c>
      <c r="R49" s="59">
        <f t="shared" si="0"/>
        <v>1015.3673751210806</v>
      </c>
      <c r="S49" s="59">
        <f ca="1">AVERAGE(OFFSET($R$3,0,0,'Données projet'!$E$9+1,1))-AVERAGE(OFFSET($H$3,0,0,'Données projet'!$E$9+1,1))</f>
        <v>404.65492118472037</v>
      </c>
      <c r="T49" s="59">
        <f t="shared" si="34"/>
        <v>534.22295841722166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32.768659936808142</v>
      </c>
      <c r="AA49" s="21">
        <f>EXP(-LN(2)/25)*AA48+(1-EXP(-LN(2)/25))/(LN(2)/25)*Calculateur!V49*Calculateur!X49*VLOOKUP('Données projet'!$B$9,Paramètres!$A$1:$I$89,3,0)*0.475*44/12</f>
        <v>42.705426666121724</v>
      </c>
      <c r="AB49" s="21">
        <f>EXP(-LN(2)/2)*AB48+(1-EXP(-LN(2)/2))/(LN(2)/2)*V49*Y49*VLOOKUP('Données projet'!$B$9,Paramètres!$A$1:$I$89,3,0)*0.475*44/12</f>
        <v>4.2725233483115925</v>
      </c>
      <c r="AC49" s="22">
        <f t="shared" si="3"/>
        <v>79.746609951241467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17.0825</v>
      </c>
      <c r="AI49" s="13">
        <f>IF('Données projet'!$A$62&gt;35,AI48+AH49-AQ48,IF(A49&lt;'Données projet'!$A$62,$AF$205^A49,IF(A49='Données projet'!$A$62,'Données projet'!$B$62,AI48+AH49-AQ48)))</f>
        <v>301.64999999999992</v>
      </c>
      <c r="AJ49" s="13">
        <f>AI49*VLOOKUP('Données projet'!$B$10,Paramètres!$A$1:$I$89,3,0)*VLOOKUP('Données projet'!$B$10,Paramètres!$A$1:$I$89,5,0)</f>
        <v>141.17219999999995</v>
      </c>
      <c r="AK49" s="13">
        <f t="shared" si="35"/>
        <v>36.565409603396844</v>
      </c>
      <c r="AL49" s="20">
        <f t="shared" si="4"/>
        <v>309.55967005924936</v>
      </c>
      <c r="AM49" s="59">
        <f t="shared" si="5"/>
        <v>602.89300339258261</v>
      </c>
      <c r="AN49" s="59">
        <f ca="1">AVERAGE(OFFSET($AM$3,0,0,'Données projet'!$E$10+1,1))-AVERAGE(OFFSET($H$3,0,0,'Données projet'!$E$10+1,1))</f>
        <v>331.17634116262298</v>
      </c>
      <c r="AO49" s="59">
        <f t="shared" si="36"/>
        <v>286.28916368940605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17.969193355745233</v>
      </c>
      <c r="AW49" s="21">
        <f>EXP(-LN(2)/2)*AW48+(1-EXP(-LN(2)/2))/(LN(2)/2)*AQ49*AT49*VLOOKUP('Données projet'!$B$10,Paramètres!$A$1:$I$89,3,0)*0.475*44/12</f>
        <v>6.1440662617069908</v>
      </c>
      <c r="AX49" s="21">
        <f t="shared" si="6"/>
        <v>24.113259617452222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1.4210854715202004E-13</v>
      </c>
      <c r="BE49" s="13">
        <f>BD49*VLOOKUP('Données projet'!$B$11,Paramètres!$A$1:$I$89,3,0)*VLOOKUP('Données projet'!$B$11,Paramètres!$A$1:$I$89,5,0)</f>
        <v>7.7591266745002952E-14</v>
      </c>
      <c r="BF49" s="13">
        <f t="shared" si="37"/>
        <v>1.2005788606873384E-12</v>
      </c>
      <c r="BG49" s="20">
        <f t="shared" si="7"/>
        <v>2.226146305277994E-12</v>
      </c>
      <c r="BH49" s="59">
        <f t="shared" si="8"/>
        <v>293.33333333333553</v>
      </c>
      <c r="BI49" s="59">
        <f ca="1">AVERAGE(OFFSET($BH$3,0,0,'Données projet'!$E$11+1,1))-AVERAGE(OFFSET($H$3,0,0,'Données projet'!$E$11+1,1))</f>
        <v>165.87377022031535</v>
      </c>
      <c r="BJ49" s="59">
        <f t="shared" si="38"/>
        <v>272.91122662088929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99.832912206594514</v>
      </c>
      <c r="BQ49" s="21">
        <f>EXP(-LN(2)/25)*BQ48+(1-EXP(-LN(2)/25))/(LN(2)/25)*Calculateur!BL49*Calculateur!BN49*VLOOKUP('Données projet'!$B$11,Paramètres!$A$1:$I$89,3,0)*0.475*44/12</f>
        <v>32.674189461628885</v>
      </c>
      <c r="BR49" s="21">
        <f>EXP(-LN(2)/2)*BR48+(1-EXP(-LN(2)/2))/(LN(2)/2)*BL49*BO49*VLOOKUP('Données projet'!$B$11,Paramètres!$A$1:$I$89,3,0)*0.475*44/12</f>
        <v>3.2206538605567534</v>
      </c>
      <c r="BS49" s="22">
        <f t="shared" si="9"/>
        <v>135.72775552878016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13.355</v>
      </c>
      <c r="BY49" s="12">
        <f>IF('Données projet'!$A$114&gt;35,BY48+BX49-CG48,IF(A49&lt;'Données projet'!$A$114,$BV$205^A49,IF(A49='Données projet'!$A$114,'Données projet'!$B$114,BY48+BX49-CG48)))</f>
        <v>231.75</v>
      </c>
      <c r="BZ49" s="13">
        <f>BY49*VLOOKUP('Données projet'!$B$12,Paramètres!$A$1:$I$89,3,0)*VLOOKUP('Données projet'!$B$12,Paramètres!$A$1:$I$89,5,0)</f>
        <v>209.6874</v>
      </c>
      <c r="CA49" s="13">
        <f t="shared" si="39"/>
        <v>51.867268812007943</v>
      </c>
      <c r="CB49" s="20">
        <f t="shared" si="10"/>
        <v>455.54104818091383</v>
      </c>
      <c r="CC49" s="59">
        <f t="shared" si="11"/>
        <v>748.87438151424715</v>
      </c>
      <c r="CD49" s="59">
        <f ca="1">AVERAGE(OFFSET($CC$3,0,0,'Données projet'!$E$12+1,1))-AVERAGE(OFFSET($H$3,0,0,'Données projet'!$E$12+1,1))</f>
        <v>639.86968831634636</v>
      </c>
      <c r="CE49" s="59">
        <f t="shared" si="40"/>
        <v>218.1556771431184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5.6420000000000048</v>
      </c>
      <c r="CT49" s="12">
        <f>IF('Données projet'!$A$140&gt;35,CT48+CS49-DB48,IF(A49&lt;'Données projet'!$A$140,$CQ$205^A49,IF(A49='Données projet'!$A$140,'Données projet'!$B$140,CT48+CS49-DB48)))</f>
        <v>125.51200000000007</v>
      </c>
      <c r="CU49" s="17">
        <f>CT49*VLOOKUP('Données projet'!$B$13,Paramètres!$A$1:$I$89,3,0)*VLOOKUP('Données projet'!$B$13,Paramètres!$A$1:$I$89,5,0)</f>
        <v>109.64728320000007</v>
      </c>
      <c r="CV49" s="13">
        <f t="shared" si="41"/>
        <v>29.247866216264661</v>
      </c>
      <c r="CW49" s="20">
        <f t="shared" si="13"/>
        <v>241.90905189999441</v>
      </c>
      <c r="CX49" s="59">
        <f t="shared" si="14"/>
        <v>535.2423852333277</v>
      </c>
      <c r="CY49" s="59">
        <f ca="1">AVERAGE(OFFSET($CX$3,0,0,'Données projet'!$E$13+1,1))-AVERAGE(OFFSET($H$3,0,0,'Données projet'!$E$13+1,1))</f>
        <v>218.76600554860482</v>
      </c>
      <c r="CZ49" s="59">
        <f t="shared" si="42"/>
        <v>264.34840059907702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6.4607838364336949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6.4607838364336949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13.6</v>
      </c>
      <c r="DO49" s="12">
        <f>IF('Données projet'!$A$166&gt;35,DO48+DN49-DW48,IF(A49&lt;'Données projet'!$A$166,$DL$205^A49,IF(A49='Données projet'!$A$166,'Données projet'!$B$166,DO48+DN49-DW48)))</f>
        <v>197.07999999999976</v>
      </c>
      <c r="DP49" s="17">
        <f>DO49*VLOOKUP('Données projet'!$B$14,Paramètres!$A$1:$I$89,3,0)*VLOOKUP('Données projet'!$B$14,Paramètres!$A$1:$I$89,5,0)</f>
        <v>169.09463999999983</v>
      </c>
      <c r="DQ49" s="13">
        <f t="shared" si="43"/>
        <v>42.88719008852577</v>
      </c>
      <c r="DR49" s="20">
        <f t="shared" si="16"/>
        <v>369.20168740418211</v>
      </c>
      <c r="DS49" s="59">
        <f t="shared" si="17"/>
        <v>662.53502073751542</v>
      </c>
      <c r="DT49" s="59">
        <f ca="1">AVERAGE(OFFSET($DS$3,0,0,'Données projet'!$E$14+1,1))-AVERAGE(OFFSET($H$3,0,0,'Données projet'!$E$14+1,1))</f>
        <v>442.97490100035287</v>
      </c>
      <c r="DU49" s="59">
        <f t="shared" si="44"/>
        <v>334.36243356457049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10.375</v>
      </c>
      <c r="EJ49" s="12">
        <f>IF('Données projet'!$A$192&gt;35,EJ48+EI49-ER48,IF(A49&lt;'Données projet'!$A$192,$EG$205^A49,IF(A49='Données projet'!$A$192,'Données projet'!$B$192,EJ48+EI49-ER48)))</f>
        <v>207.74999999999991</v>
      </c>
      <c r="EK49" s="17">
        <f>EJ49*VLOOKUP('Données projet'!$B$15,Paramètres!$A$1:$I$89,3,0)*VLOOKUP('Données projet'!$B$15,Paramètres!$A$1:$I$89,5,0)</f>
        <v>162.04499999999993</v>
      </c>
      <c r="EL49" s="13">
        <f t="shared" si="45"/>
        <v>41.303429372463391</v>
      </c>
      <c r="EM49" s="20">
        <f t="shared" si="19"/>
        <v>354.16518115704025</v>
      </c>
      <c r="EN49" s="59">
        <f t="shared" si="20"/>
        <v>647.49851449037351</v>
      </c>
      <c r="EO49" s="59">
        <f ca="1">AVERAGE(OFFSET($EN$3,0,0,'Données projet'!$E$15+1,1))-AVERAGE(OFFSET($H$3,0,0,'Données projet'!$E$15+1,1))</f>
        <v>288.82868507674738</v>
      </c>
      <c r="EP49" s="59">
        <f t="shared" si="46"/>
        <v>283.48738729114024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14.884268638476158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14.884268638476158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166.14312000000004</v>
      </c>
      <c r="FG49" s="13">
        <f t="shared" si="47"/>
        <v>42.225060429180481</v>
      </c>
      <c r="FH49" s="20">
        <f t="shared" si="22"/>
        <v>362.90791424748937</v>
      </c>
      <c r="FI49" s="59">
        <f t="shared" si="23"/>
        <v>656.24124758082269</v>
      </c>
      <c r="FJ49" s="59">
        <f ca="1">AVERAGE(OFFSET($FI$3,0,0,'Données projet'!$E$16+1,1))-AVERAGE(OFFSET($H$3,0,0,'Données projet'!$E$16+1,1))</f>
        <v>328.55201074501201</v>
      </c>
      <c r="FK49" s="59">
        <f t="shared" si="48"/>
        <v>321.81422611044985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9.4490056547638641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9.4490056547638641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8.6</v>
      </c>
      <c r="FZ49" s="12">
        <f>IF('Données projet'!$A$244&gt;35,FZ48+FY49-GH48,IF(A49&lt;'Données projet'!$A$244,$FW$205^A49,IF(A49='Données projet'!$A$244,'Données projet'!$B$244,FZ48+FY49-GH48)))</f>
        <v>226.60000000000005</v>
      </c>
      <c r="GA49" s="17">
        <f>FZ49*VLOOKUP('Données projet'!$B$17,Paramètres!$A$1:$I$89,3,0)*VLOOKUP('Données projet'!$B$17,Paramètres!$A$1:$I$89,5,0)</f>
        <v>180.28296000000006</v>
      </c>
      <c r="GB49" s="13">
        <f t="shared" si="49"/>
        <v>45.385133797071397</v>
      </c>
      <c r="GC49" s="20">
        <f t="shared" si="25"/>
        <v>393.03859669656612</v>
      </c>
      <c r="GD49" s="59">
        <f t="shared" si="26"/>
        <v>686.37193002989943</v>
      </c>
      <c r="GE49" s="59">
        <f ca="1">AVERAGE(OFFSET($GD$3,0,0,'Données projet'!$E$17+1,1))-AVERAGE(OFFSET($H$3,0,0,'Données projet'!$E$17+1,1))</f>
        <v>353.37024194969638</v>
      </c>
      <c r="GF49" s="59">
        <f t="shared" si="50"/>
        <v>345.4750813433123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12.637635964783142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12.637635964783142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27.068333333333328</v>
      </c>
      <c r="N50" s="13">
        <f>IF('Données projet'!$A$36&gt;35,N49+M50-V49,IF(A50&lt;'Données projet'!$A$36,$K$205^A50,IF(A50='Données projet'!$A$36,'Données projet'!$B$36,N49+M50-V49)))</f>
        <v>627.98166666666657</v>
      </c>
      <c r="O50" s="13">
        <f>N50*VLOOKUP('Données projet'!$B$9,Paramètres!$A$1:$I$89,3,0)*VLOOKUP('Données projet'!$B$9,Paramètres!$A$1:$I$89,5,0)</f>
        <v>351.04175166666664</v>
      </c>
      <c r="P50" s="13">
        <f t="shared" si="33"/>
        <v>81.776981607648722</v>
      </c>
      <c r="Q50" s="20">
        <f t="shared" si="53"/>
        <v>753.82596045276603</v>
      </c>
      <c r="R50" s="59">
        <f t="shared" si="0"/>
        <v>1047.1592937860994</v>
      </c>
      <c r="S50" s="59">
        <f ca="1">AVERAGE(OFFSET($R$3,0,0,'Données projet'!$E$9+1,1))-AVERAGE(OFFSET($H$3,0,0,'Données projet'!$E$9+1,1))</f>
        <v>404.65492118472037</v>
      </c>
      <c r="T50" s="59">
        <f t="shared" si="34"/>
        <v>534.22295841722166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32.126086502356351</v>
      </c>
      <c r="AA50" s="21">
        <f>EXP(-LN(2)/25)*AA49+(1-EXP(-LN(2)/25))/(LN(2)/25)*Calculateur!V50*Calculateur!X50*VLOOKUP('Données projet'!$B$9,Paramètres!$A$1:$I$89,3,0)*0.475*44/12</f>
        <v>41.537644528155845</v>
      </c>
      <c r="AB50" s="21">
        <f>EXP(-LN(2)/2)*AB49+(1-EXP(-LN(2)/2))/(LN(2)/2)*V50*Y50*VLOOKUP('Données projet'!$B$9,Paramètres!$A$1:$I$89,3,0)*0.475*44/12</f>
        <v>3.0211302323689808</v>
      </c>
      <c r="AC50" s="22">
        <f t="shared" si="3"/>
        <v>76.684861262881171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17.0825</v>
      </c>
      <c r="AI50" s="13">
        <f>IF('Données projet'!$A$62&gt;35,AI49+AH50-AQ49,IF(A50&lt;'Données projet'!$A$62,$AF$205^A50,IF(A50='Données projet'!$A$62,'Données projet'!$B$62,AI49+AH50-AQ49)))</f>
        <v>318.7324999999999</v>
      </c>
      <c r="AJ50" s="13">
        <f>AI50*VLOOKUP('Données projet'!$B$10,Paramètres!$A$1:$I$89,3,0)*VLOOKUP('Données projet'!$B$10,Paramètres!$A$1:$I$89,5,0)</f>
        <v>149.16680999999994</v>
      </c>
      <c r="AK50" s="13">
        <f t="shared" si="35"/>
        <v>38.389178865510175</v>
      </c>
      <c r="AL50" s="20">
        <f t="shared" si="4"/>
        <v>326.66001394076346</v>
      </c>
      <c r="AM50" s="59">
        <f t="shared" si="5"/>
        <v>619.99334727409678</v>
      </c>
      <c r="AN50" s="59">
        <f ca="1">AVERAGE(OFFSET($AM$3,0,0,'Données projet'!$E$10+1,1))-AVERAGE(OFFSET($H$3,0,0,'Données projet'!$E$10+1,1))</f>
        <v>331.17634116262298</v>
      </c>
      <c r="AO50" s="59">
        <f t="shared" si="36"/>
        <v>286.28916368940605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17.477824818473572</v>
      </c>
      <c r="AW50" s="21">
        <f>EXP(-LN(2)/2)*AW49+(1-EXP(-LN(2)/2))/(LN(2)/2)*AQ50*AT50*VLOOKUP('Données projet'!$B$10,Paramètres!$A$1:$I$89,3,0)*0.475*44/12</f>
        <v>4.3445109177124941</v>
      </c>
      <c r="AX50" s="21">
        <f t="shared" si="6"/>
        <v>21.822335736186066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1.4210854715202004E-13</v>
      </c>
      <c r="BE50" s="13">
        <f>BD50*VLOOKUP('Données projet'!$B$11,Paramètres!$A$1:$I$89,3,0)*VLOOKUP('Données projet'!$B$11,Paramètres!$A$1:$I$89,5,0)</f>
        <v>7.7591266745002952E-14</v>
      </c>
      <c r="BF50" s="13">
        <f t="shared" si="37"/>
        <v>1.2005788606873384E-12</v>
      </c>
      <c r="BG50" s="20">
        <f t="shared" si="7"/>
        <v>2.226146305277994E-12</v>
      </c>
      <c r="BH50" s="59">
        <f t="shared" si="8"/>
        <v>293.33333333333553</v>
      </c>
      <c r="BI50" s="59">
        <f ca="1">AVERAGE(OFFSET($BH$3,0,0,'Données projet'!$E$11+1,1))-AVERAGE(OFFSET($H$3,0,0,'Données projet'!$E$11+1,1))</f>
        <v>165.87377022031535</v>
      </c>
      <c r="BJ50" s="59">
        <f t="shared" si="38"/>
        <v>272.91122662088929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97.875249690287049</v>
      </c>
      <c r="BQ50" s="21">
        <f>EXP(-LN(2)/25)*BQ49+(1-EXP(-LN(2)/25))/(LN(2)/25)*Calculateur!BL50*Calculateur!BN50*VLOOKUP('Données projet'!$B$11,Paramètres!$A$1:$I$89,3,0)*0.475*44/12</f>
        <v>31.780712032539697</v>
      </c>
      <c r="BR50" s="21">
        <f>EXP(-LN(2)/2)*BR49+(1-EXP(-LN(2)/2))/(LN(2)/2)*BL50*BO50*VLOOKUP('Données projet'!$B$11,Paramètres!$A$1:$I$89,3,0)*0.475*44/12</f>
        <v>2.2773461846543137</v>
      </c>
      <c r="BS50" s="22">
        <f t="shared" si="9"/>
        <v>131.93330790748107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13.355</v>
      </c>
      <c r="BY50" s="12">
        <f>IF('Données projet'!$A$114&gt;35,BY49+BX50-CG49,IF(A50&lt;'Données projet'!$A$114,$BV$205^A50,IF(A50='Données projet'!$A$114,'Données projet'!$B$114,BY49+BX50-CG49)))</f>
        <v>245.10499999999999</v>
      </c>
      <c r="BZ50" s="13">
        <f>BY50*VLOOKUP('Données projet'!$B$12,Paramètres!$A$1:$I$89,3,0)*VLOOKUP('Données projet'!$B$12,Paramètres!$A$1:$I$89,5,0)</f>
        <v>221.771004</v>
      </c>
      <c r="CA50" s="13">
        <f t="shared" si="39"/>
        <v>54.499624888963353</v>
      </c>
      <c r="CB50" s="20">
        <f t="shared" si="10"/>
        <v>481.17134531494452</v>
      </c>
      <c r="CC50" s="59">
        <f t="shared" si="11"/>
        <v>774.50467864827783</v>
      </c>
      <c r="CD50" s="59">
        <f ca="1">AVERAGE(OFFSET($CC$3,0,0,'Données projet'!$E$12+1,1))-AVERAGE(OFFSET($H$3,0,0,'Données projet'!$E$12+1,1))</f>
        <v>639.86968831634636</v>
      </c>
      <c r="CE50" s="59">
        <f t="shared" si="40"/>
        <v>218.1556771431184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5.6420000000000048</v>
      </c>
      <c r="CT50" s="12">
        <f>IF('Données projet'!$A$140&gt;35,CT49+CS50-DB49,IF(A50&lt;'Données projet'!$A$140,$CQ$205^A50,IF(A50='Données projet'!$A$140,'Données projet'!$B$140,CT49+CS50-DB49)))</f>
        <v>131.15400000000008</v>
      </c>
      <c r="CU50" s="17">
        <f>CT50*VLOOKUP('Données projet'!$B$13,Paramètres!$A$1:$I$89,3,0)*VLOOKUP('Données projet'!$B$13,Paramètres!$A$1:$I$89,5,0)</f>
        <v>114.57613440000007</v>
      </c>
      <c r="CV50" s="13">
        <f t="shared" si="41"/>
        <v>30.406586612935399</v>
      </c>
      <c r="CW50" s="20">
        <f t="shared" si="13"/>
        <v>252.51157243086266</v>
      </c>
      <c r="CX50" s="59">
        <f t="shared" si="14"/>
        <v>545.84490576419603</v>
      </c>
      <c r="CY50" s="59">
        <f ca="1">AVERAGE(OFFSET($CX$3,0,0,'Données projet'!$E$13+1,1))-AVERAGE(OFFSET($H$3,0,0,'Données projet'!$E$13+1,1))</f>
        <v>218.76600554860482</v>
      </c>
      <c r="CZ50" s="59">
        <f t="shared" si="42"/>
        <v>264.34840059907702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6.3340918060902593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6.3340918060902593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13.6</v>
      </c>
      <c r="DO50" s="12">
        <f>IF('Données projet'!$A$166&gt;35,DO49+DN50-DW49,IF(A50&lt;'Données projet'!$A$166,$DL$205^A50,IF(A50='Données projet'!$A$166,'Données projet'!$B$166,DO49+DN50-DW49)))</f>
        <v>210.67999999999975</v>
      </c>
      <c r="DP50" s="17">
        <f>DO50*VLOOKUP('Données projet'!$B$14,Paramètres!$A$1:$I$89,3,0)*VLOOKUP('Données projet'!$B$14,Paramètres!$A$1:$I$89,5,0)</f>
        <v>180.7634399999998</v>
      </c>
      <c r="DQ50" s="13">
        <f t="shared" si="43"/>
        <v>45.491995639989071</v>
      </c>
      <c r="DR50" s="20">
        <f t="shared" si="16"/>
        <v>394.06155040631393</v>
      </c>
      <c r="DS50" s="59">
        <f t="shared" si="17"/>
        <v>687.39488373964718</v>
      </c>
      <c r="DT50" s="59">
        <f ca="1">AVERAGE(OFFSET($DS$3,0,0,'Données projet'!$E$14+1,1))-AVERAGE(OFFSET($H$3,0,0,'Données projet'!$E$14+1,1))</f>
        <v>442.97490100035287</v>
      </c>
      <c r="DU50" s="59">
        <f t="shared" si="44"/>
        <v>334.36243356457049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10.375</v>
      </c>
      <c r="EJ50" s="12">
        <f>IF('Données projet'!$A$192&gt;35,EJ49+EI50-ER49,IF(A50&lt;'Données projet'!$A$192,$EG$205^A50,IF(A50='Données projet'!$A$192,'Données projet'!$B$192,EJ49+EI50-ER49)))</f>
        <v>218.12499999999991</v>
      </c>
      <c r="EK50" s="17">
        <f>EJ50*VLOOKUP('Données projet'!$B$15,Paramètres!$A$1:$I$89,3,0)*VLOOKUP('Données projet'!$B$15,Paramètres!$A$1:$I$89,5,0)</f>
        <v>170.13749999999993</v>
      </c>
      <c r="EL50" s="13">
        <f t="shared" si="45"/>
        <v>43.120817562072375</v>
      </c>
      <c r="EM50" s="20">
        <f t="shared" si="19"/>
        <v>371.42490308727588</v>
      </c>
      <c r="EN50" s="59">
        <f t="shared" si="20"/>
        <v>664.75823642060914</v>
      </c>
      <c r="EO50" s="59">
        <f ca="1">AVERAGE(OFFSET($EN$3,0,0,'Données projet'!$E$15+1,1))-AVERAGE(OFFSET($H$3,0,0,'Données projet'!$E$15+1,1))</f>
        <v>288.82868507674738</v>
      </c>
      <c r="EP50" s="59">
        <f t="shared" si="46"/>
        <v>283.48738729114024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14.592397208983082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14.592397208983082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172.44864000000001</v>
      </c>
      <c r="FG50" s="13">
        <f t="shared" si="47"/>
        <v>43.637980200453676</v>
      </c>
      <c r="FH50" s="20">
        <f t="shared" si="22"/>
        <v>376.35086351579019</v>
      </c>
      <c r="FI50" s="59">
        <f t="shared" si="23"/>
        <v>669.68419684912351</v>
      </c>
      <c r="FJ50" s="59">
        <f ca="1">AVERAGE(OFFSET($FI$3,0,0,'Données projet'!$E$16+1,1))-AVERAGE(OFFSET($H$3,0,0,'Données projet'!$E$16+1,1))</f>
        <v>328.55201074501201</v>
      </c>
      <c r="FK50" s="59">
        <f t="shared" si="48"/>
        <v>321.81422611044985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9.2637164171983137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9.2637164171983137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8.6</v>
      </c>
      <c r="FZ50" s="12">
        <f>IF('Données projet'!$A$244&gt;35,FZ49+FY50-GH49,IF(A50&lt;'Données projet'!$A$244,$FW$205^A50,IF(A50='Données projet'!$A$244,'Données projet'!$B$244,FZ49+FY50-GH49)))</f>
        <v>235.20000000000005</v>
      </c>
      <c r="GA50" s="17">
        <f>FZ50*VLOOKUP('Données projet'!$B$17,Paramètres!$A$1:$I$89,3,0)*VLOOKUP('Données projet'!$B$17,Paramètres!$A$1:$I$89,5,0)</f>
        <v>187.12512000000004</v>
      </c>
      <c r="GB50" s="13">
        <f t="shared" si="49"/>
        <v>46.903794805770545</v>
      </c>
      <c r="GC50" s="20">
        <f t="shared" si="25"/>
        <v>407.60035995338376</v>
      </c>
      <c r="GD50" s="59">
        <f t="shared" si="26"/>
        <v>700.93369328671702</v>
      </c>
      <c r="GE50" s="59">
        <f ca="1">AVERAGE(OFFSET($GD$3,0,0,'Données projet'!$E$17+1,1))-AVERAGE(OFFSET($H$3,0,0,'Données projet'!$E$17+1,1))</f>
        <v>353.37024194969638</v>
      </c>
      <c r="GF50" s="59">
        <f t="shared" si="50"/>
        <v>345.4750813433123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12.389819631710562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12.389819631710562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655.04999999999995</v>
      </c>
      <c r="L51" s="12">
        <f>VLOOKUP(A51,'Données projet'!$A$35:$I$55,9,0)</f>
        <v>27.068333333333328</v>
      </c>
      <c r="M51" s="12">
        <f t="array" ref="M51">INDEX(L:L,MIN(IF(ISNUMBER(L51:L247),ROW(L51:L247),"")))</f>
        <v>27.068333333333328</v>
      </c>
      <c r="N51" s="13">
        <f>IF('Données projet'!$A$36&gt;35,N50+M51-V50,IF(A51&lt;'Données projet'!$A$36,$K$205^A51,IF(A51='Données projet'!$A$36,'Données projet'!$B$36,N50+M51-V50)))</f>
        <v>655.04999999999995</v>
      </c>
      <c r="O51" s="13">
        <f>N51*VLOOKUP('Données projet'!$B$9,Paramètres!$A$1:$I$89,3,0)*VLOOKUP('Données projet'!$B$9,Paramètres!$A$1:$I$89,5,0)</f>
        <v>366.17295000000001</v>
      </c>
      <c r="P51" s="13">
        <f t="shared" si="33"/>
        <v>84.883884000754321</v>
      </c>
      <c r="Q51" s="20">
        <f t="shared" si="53"/>
        <v>785.59065255131372</v>
      </c>
      <c r="R51" s="59">
        <f t="shared" si="0"/>
        <v>1078.923985884647</v>
      </c>
      <c r="S51" s="59">
        <f ca="1">AVERAGE(OFFSET($R$3,0,0,'Données projet'!$E$9+1,1))-AVERAGE(OFFSET($H$3,0,0,'Données projet'!$E$9+1,1))</f>
        <v>404.65492118472037</v>
      </c>
      <c r="T51" s="59">
        <f t="shared" si="34"/>
        <v>534.22295841722166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0.33</v>
      </c>
      <c r="X51" s="16">
        <f>IF(ISNA(VLOOKUP(A51,'Données projet'!$A$35:$I$55,6,0)),0%,VLOOKUP(A51,'Données projet'!$A$35:$I$55,6,0)*VLOOKUP('Données projet'!$B$9,Paramètres!$A$1:$I$89,7,0))</f>
        <v>0.12100000000000001</v>
      </c>
      <c r="Y51" s="16">
        <f>IF(ISNA(VLOOKUP(A51,'Données projet'!$A$35:$I$55,7,0)),0%,VLOOKUP(A51,'Données projet'!$A$35:$I$55,7,0))</f>
        <v>0.18</v>
      </c>
      <c r="Z51" s="21">
        <f>EXP(-LN(2)/35)*Z50+(1-EXP(-LN(2)/35))/(LN(2)/35)*V51*W51*VLOOKUP('Données projet'!$B$9,Paramètres!$A$1:$I$89,3,0)*0.475*44/12</f>
        <v>56.295161252943473</v>
      </c>
      <c r="AA51" s="21">
        <f>EXP(-LN(2)/25)*AA50+(1-EXP(-LN(2)/25))/(LN(2)/25)*Calculateur!V51*Calculateur!X51*VLOOKUP('Données projet'!$B$9,Paramètres!$A$1:$I$89,3,0)*0.475*44/12</f>
        <v>49.458977071860517</v>
      </c>
      <c r="AB51" s="21">
        <f>EXP(-LN(2)/2)*AB50+(1-EXP(-LN(2)/2))/(LN(2)/2)*V51*Y51*VLOOKUP('Données projet'!$B$9,Paramètres!$A$1:$I$89,3,0)*0.475*44/12</f>
        <v>13.681442838328428</v>
      </c>
      <c r="AC51" s="22">
        <f t="shared" si="3"/>
        <v>119.43558116313241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17.0825</v>
      </c>
      <c r="AI51" s="13">
        <f>IF('Données projet'!$A$62&gt;35,AI50+AH51-AQ50,IF(A51&lt;'Données projet'!$A$62,$AF$205^A51,IF(A51='Données projet'!$A$62,'Données projet'!$B$62,AI50+AH51-AQ50)))</f>
        <v>335.81499999999988</v>
      </c>
      <c r="AJ51" s="13">
        <f>AI51*VLOOKUP('Données projet'!$B$10,Paramètres!$A$1:$I$89,3,0)*VLOOKUP('Données projet'!$B$10,Paramètres!$A$1:$I$89,5,0)</f>
        <v>157.16141999999994</v>
      </c>
      <c r="AK51" s="13">
        <f t="shared" si="35"/>
        <v>40.201600279169881</v>
      </c>
      <c r="AL51" s="20">
        <f t="shared" si="4"/>
        <v>343.74059365288736</v>
      </c>
      <c r="AM51" s="59">
        <f t="shared" si="5"/>
        <v>637.07392698622061</v>
      </c>
      <c r="AN51" s="59">
        <f ca="1">AVERAGE(OFFSET($AM$3,0,0,'Données projet'!$E$10+1,1))-AVERAGE(OFFSET($H$3,0,0,'Données projet'!$E$10+1,1))</f>
        <v>331.17634116262298</v>
      </c>
      <c r="AO51" s="59">
        <f t="shared" si="36"/>
        <v>286.28916368940605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16.99989277969355</v>
      </c>
      <c r="AW51" s="21">
        <f>EXP(-LN(2)/2)*AW50+(1-EXP(-LN(2)/2))/(LN(2)/2)*AQ51*AT51*VLOOKUP('Données projet'!$B$10,Paramètres!$A$1:$I$89,3,0)*0.475*44/12</f>
        <v>3.0720331308534954</v>
      </c>
      <c r="AX51" s="21">
        <f t="shared" si="6"/>
        <v>20.071925910547044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1.4210854715202004E-13</v>
      </c>
      <c r="BE51" s="13">
        <f>BD51*VLOOKUP('Données projet'!$B$11,Paramètres!$A$1:$I$89,3,0)*VLOOKUP('Données projet'!$B$11,Paramètres!$A$1:$I$89,5,0)</f>
        <v>7.7591266745002952E-14</v>
      </c>
      <c r="BF51" s="13">
        <f t="shared" si="37"/>
        <v>1.2005788606873384E-12</v>
      </c>
      <c r="BG51" s="20">
        <f t="shared" si="7"/>
        <v>2.226146305277994E-12</v>
      </c>
      <c r="BH51" s="59">
        <f t="shared" si="8"/>
        <v>293.33333333333553</v>
      </c>
      <c r="BI51" s="59">
        <f ca="1">AVERAGE(OFFSET($BH$3,0,0,'Données projet'!$E$11+1,1))-AVERAGE(OFFSET($H$3,0,0,'Données projet'!$E$11+1,1))</f>
        <v>165.87377022031535</v>
      </c>
      <c r="BJ51" s="59">
        <f t="shared" si="38"/>
        <v>272.91122662088929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95.955975741868144</v>
      </c>
      <c r="BQ51" s="21">
        <f>EXP(-LN(2)/25)*BQ50+(1-EXP(-LN(2)/25))/(LN(2)/25)*Calculateur!BL51*Calculateur!BN51*VLOOKUP('Données projet'!$B$11,Paramètres!$A$1:$I$89,3,0)*0.475*44/12</f>
        <v>30.911666790734888</v>
      </c>
      <c r="BR51" s="21">
        <f>EXP(-LN(2)/2)*BR50+(1-EXP(-LN(2)/2))/(LN(2)/2)*BL51*BO51*VLOOKUP('Données projet'!$B$11,Paramètres!$A$1:$I$89,3,0)*0.475*44/12</f>
        <v>1.6103269302783767</v>
      </c>
      <c r="BS51" s="22">
        <f t="shared" si="9"/>
        <v>128.47796946288142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13.355</v>
      </c>
      <c r="BY51" s="12">
        <f>IF('Données projet'!$A$114&gt;35,BY50+BX51-CG50,IF(A51&lt;'Données projet'!$A$114,$BV$205^A51,IF(A51='Données projet'!$A$114,'Données projet'!$B$114,BY50+BX51-CG50)))</f>
        <v>258.45999999999998</v>
      </c>
      <c r="BZ51" s="13">
        <f>BY51*VLOOKUP('Données projet'!$B$12,Paramètres!$A$1:$I$89,3,0)*VLOOKUP('Données projet'!$B$12,Paramètres!$A$1:$I$89,5,0)</f>
        <v>233.85460799999996</v>
      </c>
      <c r="CA51" s="13">
        <f t="shared" si="39"/>
        <v>57.115329987491556</v>
      </c>
      <c r="CB51" s="20">
        <f t="shared" si="10"/>
        <v>506.77264199488104</v>
      </c>
      <c r="CC51" s="59">
        <f t="shared" si="11"/>
        <v>800.1059753282143</v>
      </c>
      <c r="CD51" s="59">
        <f ca="1">AVERAGE(OFFSET($CC$3,0,0,'Données projet'!$E$12+1,1))-AVERAGE(OFFSET($H$3,0,0,'Données projet'!$E$12+1,1))</f>
        <v>639.86968831634636</v>
      </c>
      <c r="CE51" s="59">
        <f t="shared" si="40"/>
        <v>218.1556771431184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5.6420000000000048</v>
      </c>
      <c r="CT51" s="12">
        <f>IF('Données projet'!$A$140&gt;35,CT50+CS51-DB50,IF(A51&lt;'Données projet'!$A$140,$CQ$205^A51,IF(A51='Données projet'!$A$140,'Données projet'!$B$140,CT50+CS51-DB50)))</f>
        <v>136.79600000000008</v>
      </c>
      <c r="CU51" s="17">
        <f>CT51*VLOOKUP('Données projet'!$B$13,Paramètres!$A$1:$I$89,3,0)*VLOOKUP('Données projet'!$B$13,Paramètres!$A$1:$I$89,5,0)</f>
        <v>119.50498560000008</v>
      </c>
      <c r="CV51" s="13">
        <f t="shared" si="41"/>
        <v>31.559517553318337</v>
      </c>
      <c r="CW51" s="20">
        <f t="shared" si="13"/>
        <v>263.10400965869621</v>
      </c>
      <c r="CX51" s="59">
        <f t="shared" si="14"/>
        <v>556.43734299202947</v>
      </c>
      <c r="CY51" s="59">
        <f ca="1">AVERAGE(OFFSET($CX$3,0,0,'Données projet'!$E$13+1,1))-AVERAGE(OFFSET($H$3,0,0,'Données projet'!$E$13+1,1))</f>
        <v>218.76600554860482</v>
      </c>
      <c r="CZ51" s="59">
        <f t="shared" si="42"/>
        <v>264.34840059907702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6.2098841291873503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6.2098841291873503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224.28</v>
      </c>
      <c r="DM51" s="12">
        <f>VLOOKUP(A51,'Données projet'!$A$165:$I$185,9,0)</f>
        <v>13.6</v>
      </c>
      <c r="DN51" s="12">
        <f t="array" ref="DN51">INDEX(DM:DM,MIN(IF(ISNUMBER(DM51:DM247),ROW(DM51:DM247),"")))</f>
        <v>13.6</v>
      </c>
      <c r="DO51" s="12">
        <f>IF('Données projet'!$A$166&gt;35,DO50+DN51-DW50,IF(A51&lt;'Données projet'!$A$166,$DL$205^A51,IF(A51='Données projet'!$A$166,'Données projet'!$B$166,DO50+DN51-DW50)))</f>
        <v>224.27999999999975</v>
      </c>
      <c r="DP51" s="17">
        <f>DO51*VLOOKUP('Données projet'!$B$14,Paramètres!$A$1:$I$89,3,0)*VLOOKUP('Données projet'!$B$14,Paramètres!$A$1:$I$89,5,0)</f>
        <v>192.43223999999981</v>
      </c>
      <c r="DQ51" s="13">
        <f t="shared" si="43"/>
        <v>48.077287847798026</v>
      </c>
      <c r="DR51" s="20">
        <f t="shared" si="16"/>
        <v>418.88742766824794</v>
      </c>
      <c r="DS51" s="59">
        <f t="shared" si="17"/>
        <v>712.2207610015812</v>
      </c>
      <c r="DT51" s="59">
        <f ca="1">AVERAGE(OFFSET($DS$3,0,0,'Données projet'!$E$14+1,1))-AVERAGE(OFFSET($H$3,0,0,'Données projet'!$E$14+1,1))</f>
        <v>442.97490100035287</v>
      </c>
      <c r="DU51" s="59">
        <f t="shared" si="44"/>
        <v>334.36243356457049</v>
      </c>
      <c r="DV51" s="15">
        <f>IF(ISNA(VLOOKUP(A51,'Données projet'!$A$165:$I$185,3,0)),0,VLOOKUP(A51,'Données projet'!$A$165:$I$185,3,0))</f>
        <v>2</v>
      </c>
      <c r="DW51" s="15">
        <f>IF(ISNA(VLOOKUP(A51,'Données projet'!$A$165:$I$185,4,0)),0,VLOOKUP(A51,'Données projet'!$A$165:$I$185,4,0))</f>
        <v>52.92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10.375</v>
      </c>
      <c r="EJ51" s="12">
        <f>IF('Données projet'!$A$192&gt;35,EJ50+EI51-ER50,IF(A51&lt;'Données projet'!$A$192,$EG$205^A51,IF(A51='Données projet'!$A$192,'Données projet'!$B$192,EJ50+EI51-ER50)))</f>
        <v>228.49999999999991</v>
      </c>
      <c r="EK51" s="17">
        <f>EJ51*VLOOKUP('Données projet'!$B$15,Paramètres!$A$1:$I$89,3,0)*VLOOKUP('Données projet'!$B$15,Paramètres!$A$1:$I$89,5,0)</f>
        <v>178.22999999999993</v>
      </c>
      <c r="EL51" s="13">
        <f t="shared" si="45"/>
        <v>44.928167580487852</v>
      </c>
      <c r="EM51" s="20">
        <f t="shared" si="19"/>
        <v>388.66714186934951</v>
      </c>
      <c r="EN51" s="59">
        <f t="shared" si="20"/>
        <v>682.00047520268276</v>
      </c>
      <c r="EO51" s="59">
        <f ca="1">AVERAGE(OFFSET($EN$3,0,0,'Données projet'!$E$15+1,1))-AVERAGE(OFFSET($H$3,0,0,'Données projet'!$E$15+1,1))</f>
        <v>288.82868507674738</v>
      </c>
      <c r="EP51" s="59">
        <f t="shared" si="46"/>
        <v>283.48738729114024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14.306249200198371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14.306249200198371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178.75416000000001</v>
      </c>
      <c r="FG51" s="13">
        <f t="shared" si="47"/>
        <v>45.044897778507469</v>
      </c>
      <c r="FH51" s="20">
        <f t="shared" si="22"/>
        <v>389.78335896423386</v>
      </c>
      <c r="FI51" s="59">
        <f t="shared" si="23"/>
        <v>683.11669229756717</v>
      </c>
      <c r="FJ51" s="59">
        <f ca="1">AVERAGE(OFFSET($FI$3,0,0,'Données projet'!$E$16+1,1))-AVERAGE(OFFSET($H$3,0,0,'Données projet'!$E$16+1,1))</f>
        <v>328.55201074501201</v>
      </c>
      <c r="FK51" s="59">
        <f t="shared" si="48"/>
        <v>321.81422611044985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9.0820605885661472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9.0820605885661472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8.6</v>
      </c>
      <c r="FZ51" s="12">
        <f>IF('Données projet'!$A$244&gt;35,FZ50+FY51-GH50,IF(A51&lt;'Données projet'!$A$244,$FW$205^A51,IF(A51='Données projet'!$A$244,'Données projet'!$B$244,FZ50+FY51-GH50)))</f>
        <v>243.80000000000004</v>
      </c>
      <c r="GA51" s="17">
        <f>FZ51*VLOOKUP('Données projet'!$B$17,Paramètres!$A$1:$I$89,3,0)*VLOOKUP('Données projet'!$B$17,Paramètres!$A$1:$I$89,5,0)</f>
        <v>193.96728000000004</v>
      </c>
      <c r="GB51" s="13">
        <f t="shared" si="49"/>
        <v>48.41600442423902</v>
      </c>
      <c r="GC51" s="20">
        <f t="shared" si="25"/>
        <v>422.15088703888301</v>
      </c>
      <c r="GD51" s="59">
        <f t="shared" si="26"/>
        <v>715.48422037221633</v>
      </c>
      <c r="GE51" s="59">
        <f ca="1">AVERAGE(OFFSET($GD$3,0,0,'Données projet'!$E$17+1,1))-AVERAGE(OFFSET($H$3,0,0,'Données projet'!$E$17+1,1))</f>
        <v>353.37024194969638</v>
      </c>
      <c r="GF51" s="59">
        <f t="shared" si="50"/>
        <v>345.4750813433123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12.146862825776497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12.146862825776497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25.673333333333346</v>
      </c>
      <c r="N52" s="13">
        <f>IF('Données projet'!$A$36&gt;35,N51+M52-V51,IF(A52&lt;'Données projet'!$A$36,$K$205^A52,IF(A52='Données projet'!$A$36,'Données projet'!$B$36,N51+M52-V51)))</f>
        <v>579.38333333333333</v>
      </c>
      <c r="O52" s="13">
        <f>N52*VLOOKUP('Données projet'!$B$9,Paramètres!$A$1:$I$89,3,0)*VLOOKUP('Données projet'!$B$9,Paramètres!$A$1:$I$89,5,0)</f>
        <v>323.8752833333333</v>
      </c>
      <c r="P52" s="13">
        <f t="shared" si="33"/>
        <v>76.159115957110714</v>
      </c>
      <c r="Q52" s="20">
        <f t="shared" si="53"/>
        <v>696.72657876418998</v>
      </c>
      <c r="R52" s="59">
        <f t="shared" si="0"/>
        <v>990.05991209752324</v>
      </c>
      <c r="S52" s="59">
        <f ca="1">AVERAGE(OFFSET($R$3,0,0,'Données projet'!$E$9+1,1))-AVERAGE(OFFSET($H$3,0,0,'Données projet'!$E$9+1,1))</f>
        <v>404.65492118472037</v>
      </c>
      <c r="T52" s="59">
        <f t="shared" si="34"/>
        <v>534.22295841722166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55.191247477431155</v>
      </c>
      <c r="AA52" s="21">
        <f>EXP(-LN(2)/25)*AA51+(1-EXP(-LN(2)/25))/(LN(2)/25)*Calculateur!V52*Calculateur!X52*VLOOKUP('Données projet'!$B$9,Paramètres!$A$1:$I$89,3,0)*0.475*44/12</f>
        <v>48.106518742895929</v>
      </c>
      <c r="AB52" s="21">
        <f>EXP(-LN(2)/2)*AB51+(1-EXP(-LN(2)/2))/(LN(2)/2)*V52*Y52*VLOOKUP('Données projet'!$B$9,Paramètres!$A$1:$I$89,3,0)*0.475*44/12</f>
        <v>9.6742410073981571</v>
      </c>
      <c r="AC52" s="22">
        <f t="shared" si="3"/>
        <v>112.97200722772523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17.0825</v>
      </c>
      <c r="AI52" s="13">
        <f>IF('Données projet'!$A$62&gt;35,AI51+AH52-AQ51,IF(A52&lt;'Données projet'!$A$62,$AF$205^A52,IF(A52='Données projet'!$A$62,'Données projet'!$B$62,AI51+AH52-AQ51)))</f>
        <v>352.89749999999987</v>
      </c>
      <c r="AJ52" s="13">
        <f>AI52*VLOOKUP('Données projet'!$B$10,Paramètres!$A$1:$I$89,3,0)*VLOOKUP('Données projet'!$B$10,Paramètres!$A$1:$I$89,5,0)</f>
        <v>165.15602999999993</v>
      </c>
      <c r="AK52" s="13">
        <f t="shared" si="35"/>
        <v>42.003316951820899</v>
      </c>
      <c r="AL52" s="20">
        <f t="shared" si="4"/>
        <v>360.8025292744212</v>
      </c>
      <c r="AM52" s="59">
        <f t="shared" si="5"/>
        <v>654.13586260775446</v>
      </c>
      <c r="AN52" s="59">
        <f ca="1">AVERAGE(OFFSET($AM$3,0,0,'Données projet'!$E$10+1,1))-AVERAGE(OFFSET($H$3,0,0,'Données projet'!$E$10+1,1))</f>
        <v>331.17634116262298</v>
      </c>
      <c r="AO52" s="59">
        <f t="shared" si="36"/>
        <v>286.28916368940605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16.535029817647324</v>
      </c>
      <c r="AW52" s="21">
        <f>EXP(-LN(2)/2)*AW51+(1-EXP(-LN(2)/2))/(LN(2)/2)*AQ52*AT52*VLOOKUP('Données projet'!$B$10,Paramètres!$A$1:$I$89,3,0)*0.475*44/12</f>
        <v>2.172255458856247</v>
      </c>
      <c r="AX52" s="21">
        <f t="shared" si="6"/>
        <v>18.707285276503569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1.4210854715202004E-13</v>
      </c>
      <c r="BE52" s="13">
        <f>BD52*VLOOKUP('Données projet'!$B$11,Paramètres!$A$1:$I$89,3,0)*VLOOKUP('Données projet'!$B$11,Paramètres!$A$1:$I$89,5,0)</f>
        <v>7.7591266745002952E-14</v>
      </c>
      <c r="BF52" s="13">
        <f t="shared" si="37"/>
        <v>1.2005788606873384E-12</v>
      </c>
      <c r="BG52" s="20">
        <f t="shared" si="7"/>
        <v>2.226146305277994E-12</v>
      </c>
      <c r="BH52" s="59">
        <f t="shared" si="8"/>
        <v>293.33333333333553</v>
      </c>
      <c r="BI52" s="59">
        <f ca="1">AVERAGE(OFFSET($BH$3,0,0,'Données projet'!$E$11+1,1))-AVERAGE(OFFSET($H$3,0,0,'Données projet'!$E$11+1,1))</f>
        <v>165.87377022031535</v>
      </c>
      <c r="BJ52" s="59">
        <f t="shared" si="38"/>
        <v>272.91122662088929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94.074337584936217</v>
      </c>
      <c r="BQ52" s="21">
        <f>EXP(-LN(2)/25)*BQ51+(1-EXP(-LN(2)/25))/(LN(2)/25)*Calculateur!BL52*Calculateur!BN52*VLOOKUP('Données projet'!$B$11,Paramètres!$A$1:$I$89,3,0)*0.475*44/12</f>
        <v>30.066385636768334</v>
      </c>
      <c r="BR52" s="21">
        <f>EXP(-LN(2)/2)*BR51+(1-EXP(-LN(2)/2))/(LN(2)/2)*BL52*BO52*VLOOKUP('Données projet'!$B$11,Paramètres!$A$1:$I$89,3,0)*0.475*44/12</f>
        <v>1.1386730923271569</v>
      </c>
      <c r="BS52" s="22">
        <f t="shared" si="9"/>
        <v>125.2793963140317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13.355</v>
      </c>
      <c r="BY52" s="12">
        <f>IF('Données projet'!$A$114&gt;35,BY51+BX52-CG51,IF(A52&lt;'Données projet'!$A$114,$BV$205^A52,IF(A52='Données projet'!$A$114,'Données projet'!$B$114,BY51+BX52-CG51)))</f>
        <v>271.815</v>
      </c>
      <c r="BZ52" s="13">
        <f>BY52*VLOOKUP('Données projet'!$B$12,Paramètres!$A$1:$I$89,3,0)*VLOOKUP('Données projet'!$B$12,Paramètres!$A$1:$I$89,5,0)</f>
        <v>245.93821199999999</v>
      </c>
      <c r="CA52" s="13">
        <f t="shared" si="39"/>
        <v>59.715342627411268</v>
      </c>
      <c r="CB52" s="20">
        <f t="shared" si="10"/>
        <v>532.34660764274122</v>
      </c>
      <c r="CC52" s="59">
        <f t="shared" si="11"/>
        <v>825.67994097607448</v>
      </c>
      <c r="CD52" s="59">
        <f ca="1">AVERAGE(OFFSET($CC$3,0,0,'Données projet'!$E$12+1,1))-AVERAGE(OFFSET($H$3,0,0,'Données projet'!$E$12+1,1))</f>
        <v>639.86968831634636</v>
      </c>
      <c r="CE52" s="59">
        <f t="shared" si="40"/>
        <v>218.1556771431184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5.6420000000000048</v>
      </c>
      <c r="CT52" s="12">
        <f>IF('Données projet'!$A$140&gt;35,CT51+CS52-DB51,IF(A52&lt;'Données projet'!$A$140,$CQ$205^A52,IF(A52='Données projet'!$A$140,'Données projet'!$B$140,CT51+CS52-DB51)))</f>
        <v>142.43800000000007</v>
      </c>
      <c r="CU52" s="17">
        <f>CT52*VLOOKUP('Données projet'!$B$13,Paramètres!$A$1:$I$89,3,0)*VLOOKUP('Données projet'!$B$13,Paramètres!$A$1:$I$89,5,0)</f>
        <v>124.43383680000008</v>
      </c>
      <c r="CV52" s="13">
        <f t="shared" si="41"/>
        <v>32.706925126076527</v>
      </c>
      <c r="CW52" s="20">
        <f t="shared" si="13"/>
        <v>273.68682702125011</v>
      </c>
      <c r="CX52" s="59">
        <f t="shared" si="14"/>
        <v>567.02016035458337</v>
      </c>
      <c r="CY52" s="59">
        <f ca="1">AVERAGE(OFFSET($CX$3,0,0,'Données projet'!$E$13+1,1))-AVERAGE(OFFSET($H$3,0,0,'Données projet'!$E$13+1,1))</f>
        <v>218.76600554860482</v>
      </c>
      <c r="CZ52" s="59">
        <f t="shared" si="42"/>
        <v>264.34840059907702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6.0881120890693055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6.0881120890693055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13.569999999999999</v>
      </c>
      <c r="DO52" s="12">
        <f>IF('Données projet'!$A$166&gt;35,DO51+DN52-DW51,IF(A52&lt;'Données projet'!$A$166,$DL$205^A52,IF(A52='Données projet'!$A$166,'Données projet'!$B$166,DO51+DN52-DW51)))</f>
        <v>184.92999999999972</v>
      </c>
      <c r="DP52" s="17">
        <f>DO52*VLOOKUP('Données projet'!$B$14,Paramètres!$A$1:$I$89,3,0)*VLOOKUP('Données projet'!$B$14,Paramètres!$A$1:$I$89,5,0)</f>
        <v>158.6699399999998</v>
      </c>
      <c r="DQ52" s="13">
        <f t="shared" si="43"/>
        <v>40.542371067881959</v>
      </c>
      <c r="DR52" s="20">
        <f t="shared" si="16"/>
        <v>346.96144177656078</v>
      </c>
      <c r="DS52" s="59">
        <f t="shared" si="17"/>
        <v>640.29477510989409</v>
      </c>
      <c r="DT52" s="59">
        <f ca="1">AVERAGE(OFFSET($DS$3,0,0,'Données projet'!$E$14+1,1))-AVERAGE(OFFSET($H$3,0,0,'Données projet'!$E$14+1,1))</f>
        <v>442.97490100035287</v>
      </c>
      <c r="DU52" s="59">
        <f t="shared" si="44"/>
        <v>334.36243356457049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10.375</v>
      </c>
      <c r="EJ52" s="12">
        <f>IF('Données projet'!$A$192&gt;35,EJ51+EI52-ER51,IF(A52&lt;'Données projet'!$A$192,$EG$205^A52,IF(A52='Données projet'!$A$192,'Données projet'!$B$192,EJ51+EI52-ER51)))</f>
        <v>238.87499999999991</v>
      </c>
      <c r="EK52" s="17">
        <f>EJ52*VLOOKUP('Données projet'!$B$15,Paramètres!$A$1:$I$89,3,0)*VLOOKUP('Données projet'!$B$15,Paramètres!$A$1:$I$89,5,0)</f>
        <v>186.32249999999993</v>
      </c>
      <c r="EL52" s="13">
        <f t="shared" si="45"/>
        <v>46.725987276254116</v>
      </c>
      <c r="EM52" s="20">
        <f t="shared" si="19"/>
        <v>405.8927820061424</v>
      </c>
      <c r="EN52" s="59">
        <f t="shared" si="20"/>
        <v>699.22611533947565</v>
      </c>
      <c r="EO52" s="59">
        <f ca="1">AVERAGE(OFFSET($EN$3,0,0,'Données projet'!$E$15+1,1))-AVERAGE(OFFSET($H$3,0,0,'Données projet'!$E$15+1,1))</f>
        <v>288.82868507674738</v>
      </c>
      <c r="EP52" s="59">
        <f t="shared" si="46"/>
        <v>283.48738729114024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14.025712379332877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14.025712379332877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185.05968000000004</v>
      </c>
      <c r="FG52" s="13">
        <f t="shared" si="47"/>
        <v>46.44604914943055</v>
      </c>
      <c r="FH52" s="20">
        <f t="shared" si="22"/>
        <v>403.20581160192484</v>
      </c>
      <c r="FI52" s="59">
        <f t="shared" si="23"/>
        <v>696.53914493525815</v>
      </c>
      <c r="FJ52" s="59">
        <f ca="1">AVERAGE(OFFSET($FI$3,0,0,'Données projet'!$E$16+1,1))-AVERAGE(OFFSET($H$3,0,0,'Données projet'!$E$16+1,1))</f>
        <v>328.55201074501201</v>
      </c>
      <c r="FK52" s="59">
        <f t="shared" si="48"/>
        <v>321.81422611044985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8.9039669199343425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8.9039669199343425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8.6</v>
      </c>
      <c r="FZ52" s="12">
        <f>IF('Données projet'!$A$244&gt;35,FZ51+FY52-GH51,IF(A52&lt;'Données projet'!$A$244,$FW$205^A52,IF(A52='Données projet'!$A$244,'Données projet'!$B$244,FZ51+FY52-GH51)))</f>
        <v>252.40000000000003</v>
      </c>
      <c r="GA52" s="17">
        <f>FZ52*VLOOKUP('Données projet'!$B$17,Paramètres!$A$1:$I$89,3,0)*VLOOKUP('Données projet'!$B$17,Paramètres!$A$1:$I$89,5,0)</f>
        <v>200.80944000000002</v>
      </c>
      <c r="GB52" s="13">
        <f t="shared" si="49"/>
        <v>49.922016299484312</v>
      </c>
      <c r="GC52" s="20">
        <f t="shared" si="25"/>
        <v>436.69061972160188</v>
      </c>
      <c r="GD52" s="59">
        <f t="shared" si="26"/>
        <v>730.02395305493519</v>
      </c>
      <c r="GE52" s="59">
        <f ca="1">AVERAGE(OFFSET($GD$3,0,0,'Données projet'!$E$17+1,1))-AVERAGE(OFFSET($H$3,0,0,'Données projet'!$E$17+1,1))</f>
        <v>353.37024194969638</v>
      </c>
      <c r="GF52" s="59">
        <f t="shared" si="50"/>
        <v>345.4750813433123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11.90867025461778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11.90867025461778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25.673333333333346</v>
      </c>
      <c r="N53" s="13">
        <f>IF('Données projet'!$A$36&gt;35,N52+M53-V52,IF(A53&lt;'Données projet'!$A$36,$K$205^A53,IF(A53='Données projet'!$A$36,'Données projet'!$B$36,N52+M53-V52)))</f>
        <v>605.05666666666662</v>
      </c>
      <c r="O53" s="13">
        <f>N53*VLOOKUP('Données projet'!$B$9,Paramètres!$A$1:$I$89,3,0)*VLOOKUP('Données projet'!$B$9,Paramètres!$A$1:$I$89,5,0)</f>
        <v>338.22667666666661</v>
      </c>
      <c r="P53" s="13">
        <f t="shared" si="33"/>
        <v>79.133455162097377</v>
      </c>
      <c r="Q53" s="20">
        <f t="shared" si="53"/>
        <v>726.90222960176391</v>
      </c>
      <c r="R53" s="59">
        <f t="shared" si="0"/>
        <v>1020.2355629350973</v>
      </c>
      <c r="S53" s="59">
        <f ca="1">AVERAGE(OFFSET($R$3,0,0,'Données projet'!$E$9+1,1))-AVERAGE(OFFSET($H$3,0,0,'Données projet'!$E$9+1,1))</f>
        <v>404.65492118472037</v>
      </c>
      <c r="T53" s="59">
        <f t="shared" si="34"/>
        <v>534.22295841722166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54.108980777735709</v>
      </c>
      <c r="AA53" s="21">
        <f>EXP(-LN(2)/25)*AA52+(1-EXP(-LN(2)/25))/(LN(2)/25)*Calculateur!V53*Calculateur!X53*VLOOKUP('Données projet'!$B$9,Paramètres!$A$1:$I$89,3,0)*0.475*44/12</f>
        <v>46.791043458059569</v>
      </c>
      <c r="AB53" s="21">
        <f>EXP(-LN(2)/2)*AB52+(1-EXP(-LN(2)/2))/(LN(2)/2)*V53*Y53*VLOOKUP('Données projet'!$B$9,Paramètres!$A$1:$I$89,3,0)*0.475*44/12</f>
        <v>6.8407214191642138</v>
      </c>
      <c r="AC53" s="22">
        <f t="shared" si="3"/>
        <v>107.7407456549595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369.98</v>
      </c>
      <c r="AG53" s="12">
        <f>VLOOKUP(A53,'Données projet'!$A$61:$I$81,9,0)</f>
        <v>17.0825</v>
      </c>
      <c r="AH53" s="12">
        <f t="array" ref="AH53">INDEX(AG:AG,MIN(IF(ISNUMBER(AG53:AG249),ROW(AG53:AG249),"")))</f>
        <v>17.0825</v>
      </c>
      <c r="AI53" s="13">
        <f>IF('Données projet'!$A$62&gt;35,AI52+AH53-AQ52,IF(A53&lt;'Données projet'!$A$62,$AF$205^A53,IF(A53='Données projet'!$A$62,'Données projet'!$B$62,AI52+AH53-AQ52)))</f>
        <v>369.97999999999985</v>
      </c>
      <c r="AJ53" s="13">
        <f>AI53*VLOOKUP('Données projet'!$B$10,Paramètres!$A$1:$I$89,3,0)*VLOOKUP('Données projet'!$B$10,Paramètres!$A$1:$I$89,5,0)</f>
        <v>173.15063999999995</v>
      </c>
      <c r="AK53" s="13">
        <f t="shared" si="35"/>
        <v>43.79490621214714</v>
      </c>
      <c r="AL53" s="20">
        <f t="shared" si="4"/>
        <v>377.84682631948954</v>
      </c>
      <c r="AM53" s="59">
        <f t="shared" si="5"/>
        <v>671.18015965282279</v>
      </c>
      <c r="AN53" s="59">
        <f ca="1">AVERAGE(OFFSET($AM$3,0,0,'Données projet'!$E$10+1,1))-AVERAGE(OFFSET($H$3,0,0,'Données projet'!$E$10+1,1))</f>
        <v>331.17634116262298</v>
      </c>
      <c r="AO53" s="59">
        <f t="shared" si="36"/>
        <v>286.28916368940605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106.51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0.30800000000000005</v>
      </c>
      <c r="AT53" s="16">
        <f>IF(ISNA(VLOOKUP(A53,'Données projet'!$A$61:$I$81,7,0)),0%,VLOOKUP(A53,'Données projet'!$A$61:$I$81,7,0))</f>
        <v>0.44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36.369136932597456</v>
      </c>
      <c r="AW53" s="21">
        <f>EXP(-LN(2)/2)*AW52+(1-EXP(-LN(2)/2))/(LN(2)/2)*AQ53*AT53*VLOOKUP('Données projet'!$B$10,Paramètres!$A$1:$I$89,3,0)*0.475*44/12</f>
        <v>26.368745814432021</v>
      </c>
      <c r="AX53" s="21">
        <f t="shared" si="6"/>
        <v>62.737882747029474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1.4210854715202004E-13</v>
      </c>
      <c r="BE53" s="13">
        <f>BD53*VLOOKUP('Données projet'!$B$11,Paramètres!$A$1:$I$89,3,0)*VLOOKUP('Données projet'!$B$11,Paramètres!$A$1:$I$89,5,0)</f>
        <v>7.7591266745002952E-14</v>
      </c>
      <c r="BF53" s="13">
        <f t="shared" si="37"/>
        <v>1.2005788606873384E-12</v>
      </c>
      <c r="BG53" s="20">
        <f t="shared" si="7"/>
        <v>2.226146305277994E-12</v>
      </c>
      <c r="BH53" s="59">
        <f t="shared" si="8"/>
        <v>293.33333333333553</v>
      </c>
      <c r="BI53" s="59">
        <f ca="1">AVERAGE(OFFSET($BH$3,0,0,'Données projet'!$E$11+1,1))-AVERAGE(OFFSET($H$3,0,0,'Données projet'!$E$11+1,1))</f>
        <v>165.87377022031535</v>
      </c>
      <c r="BJ53" s="59">
        <f t="shared" si="38"/>
        <v>272.91122662088929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92.229597204575768</v>
      </c>
      <c r="BQ53" s="21">
        <f>EXP(-LN(2)/25)*BQ52+(1-EXP(-LN(2)/25))/(LN(2)/25)*Calculateur!BL53*Calculateur!BN53*VLOOKUP('Données projet'!$B$11,Paramètres!$A$1:$I$89,3,0)*0.475*44/12</f>
        <v>29.244218740408403</v>
      </c>
      <c r="BR53" s="21">
        <f>EXP(-LN(2)/2)*BR52+(1-EXP(-LN(2)/2))/(LN(2)/2)*BL53*BO53*VLOOKUP('Données projet'!$B$11,Paramètres!$A$1:$I$89,3,0)*0.475*44/12</f>
        <v>0.80516346513918835</v>
      </c>
      <c r="BS53" s="22">
        <f t="shared" si="9"/>
        <v>122.27897941012336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285.17</v>
      </c>
      <c r="BW53" s="12">
        <f>VLOOKUP(A53,'Données projet'!$A$113:$I$133,9,0)</f>
        <v>13.355</v>
      </c>
      <c r="BX53" s="12">
        <f t="array" ref="BX53">INDEX(BW:BW,MIN(IF(ISNUMBER(BW53:BW249),ROW(BW53:BW249),"")))</f>
        <v>13.355</v>
      </c>
      <c r="BY53" s="12">
        <f>IF('Données projet'!$A$114&gt;35,BY52+BX53-CG52,IF(A53&lt;'Données projet'!$A$114,$BV$205^A53,IF(A53='Données projet'!$A$114,'Données projet'!$B$114,BY52+BX53-CG52)))</f>
        <v>285.17</v>
      </c>
      <c r="BZ53" s="13">
        <f>BY53*VLOOKUP('Données projet'!$B$12,Paramètres!$A$1:$I$89,3,0)*VLOOKUP('Données projet'!$B$12,Paramètres!$A$1:$I$89,5,0)</f>
        <v>258.021816</v>
      </c>
      <c r="CA53" s="13">
        <f t="shared" si="39"/>
        <v>62.30052181805771</v>
      </c>
      <c r="CB53" s="20">
        <f t="shared" si="10"/>
        <v>557.8947383664505</v>
      </c>
      <c r="CC53" s="59">
        <f t="shared" si="11"/>
        <v>851.22807169978387</v>
      </c>
      <c r="CD53" s="59">
        <f ca="1">AVERAGE(OFFSET($CC$3,0,0,'Données projet'!$E$12+1,1))-AVERAGE(OFFSET($H$3,0,0,'Données projet'!$E$12+1,1))</f>
        <v>639.86968831634636</v>
      </c>
      <c r="CE53" s="59">
        <f t="shared" si="40"/>
        <v>218.1556771431184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66.62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148.08000000000001</v>
      </c>
      <c r="CR53" s="12">
        <f>VLOOKUP(A53,'Données projet'!$A$139:$I$159,9,0)</f>
        <v>5.6420000000000048</v>
      </c>
      <c r="CS53" s="12">
        <f t="array" ref="CS53">INDEX(CR:CR,MIN(IF(ISNUMBER(CR53:CR249),ROW(CR53:CR249),"")))</f>
        <v>5.6420000000000048</v>
      </c>
      <c r="CT53" s="12">
        <f>IF('Données projet'!$A$140&gt;35,CT52+CS53-DB52,IF(A53&lt;'Données projet'!$A$140,$CQ$205^A53,IF(A53='Données projet'!$A$140,'Données projet'!$B$140,CT52+CS53-DB52)))</f>
        <v>148.08000000000007</v>
      </c>
      <c r="CU53" s="17">
        <f>CT53*VLOOKUP('Données projet'!$B$13,Paramètres!$A$1:$I$89,3,0)*VLOOKUP('Données projet'!$B$13,Paramètres!$A$1:$I$89,5,0)</f>
        <v>129.36268800000008</v>
      </c>
      <c r="CV53" s="13">
        <f t="shared" si="41"/>
        <v>33.849053146893588</v>
      </c>
      <c r="CW53" s="20">
        <f t="shared" si="13"/>
        <v>284.26044916417317</v>
      </c>
      <c r="CX53" s="59">
        <f t="shared" si="14"/>
        <v>577.59378249750648</v>
      </c>
      <c r="CY53" s="59">
        <f ca="1">AVERAGE(OFFSET($CX$3,0,0,'Données projet'!$E$13+1,1))-AVERAGE(OFFSET($H$3,0,0,'Données projet'!$E$13+1,1))</f>
        <v>218.76600554860482</v>
      </c>
      <c r="CZ53" s="59">
        <f t="shared" si="42"/>
        <v>264.34840059907702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21.15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8.6036017164792504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8.6036017164792504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13.569999999999999</v>
      </c>
      <c r="DO53" s="12">
        <f>IF('Données projet'!$A$166&gt;35,DO52+DN53-DW52,IF(A53&lt;'Données projet'!$A$166,$DL$205^A53,IF(A53='Données projet'!$A$166,'Données projet'!$B$166,DO52+DN53-DW52)))</f>
        <v>198.49999999999972</v>
      </c>
      <c r="DP53" s="17">
        <f>DO53*VLOOKUP('Données projet'!$B$14,Paramètres!$A$1:$I$89,3,0)*VLOOKUP('Données projet'!$B$14,Paramètres!$A$1:$I$89,5,0)</f>
        <v>170.31299999999979</v>
      </c>
      <c r="DQ53" s="13">
        <f t="shared" si="43"/>
        <v>43.160117666467627</v>
      </c>
      <c r="DR53" s="20">
        <f t="shared" si="16"/>
        <v>371.79901326909743</v>
      </c>
      <c r="DS53" s="59">
        <f t="shared" si="17"/>
        <v>665.13234660243074</v>
      </c>
      <c r="DT53" s="59">
        <f ca="1">AVERAGE(OFFSET($DS$3,0,0,'Données projet'!$E$14+1,1))-AVERAGE(OFFSET($H$3,0,0,'Données projet'!$E$14+1,1))</f>
        <v>442.97490100035287</v>
      </c>
      <c r="DU53" s="59">
        <f t="shared" si="44"/>
        <v>334.36243356457049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10.375</v>
      </c>
      <c r="EJ53" s="12">
        <f>IF('Données projet'!$A$192&gt;35,EJ52+EI53-ER52,IF(A53&lt;'Données projet'!$A$192,$EG$205^A53,IF(A53='Données projet'!$A$192,'Données projet'!$B$192,EJ52+EI53-ER52)))</f>
        <v>249.24999999999991</v>
      </c>
      <c r="EK53" s="17">
        <f>EJ53*VLOOKUP('Données projet'!$B$15,Paramètres!$A$1:$I$89,3,0)*VLOOKUP('Données projet'!$B$15,Paramètres!$A$1:$I$89,5,0)</f>
        <v>194.41499999999994</v>
      </c>
      <c r="EL53" s="13">
        <f t="shared" si="45"/>
        <v>48.514737888684927</v>
      </c>
      <c r="EM53" s="20">
        <f t="shared" si="19"/>
        <v>423.10262682279273</v>
      </c>
      <c r="EN53" s="59">
        <f t="shared" si="20"/>
        <v>716.43596015612604</v>
      </c>
      <c r="EO53" s="59">
        <f ca="1">AVERAGE(OFFSET($EN$3,0,0,'Données projet'!$E$15+1,1))-AVERAGE(OFFSET($H$3,0,0,'Données projet'!$E$15+1,1))</f>
        <v>288.82868507674738</v>
      </c>
      <c r="EP53" s="59">
        <f t="shared" si="46"/>
        <v>283.48738729114024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13.75067671441399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13.75067671441399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191.36520000000004</v>
      </c>
      <c r="FG53" s="13">
        <f t="shared" si="47"/>
        <v>47.841653305605021</v>
      </c>
      <c r="FH53" s="20">
        <f t="shared" si="22"/>
        <v>416.61860284059549</v>
      </c>
      <c r="FI53" s="59">
        <f t="shared" si="23"/>
        <v>709.95193617392874</v>
      </c>
      <c r="FJ53" s="59">
        <f ca="1">AVERAGE(OFFSET($FI$3,0,0,'Données projet'!$E$16+1,1))-AVERAGE(OFFSET($H$3,0,0,'Données projet'!$E$16+1,1))</f>
        <v>328.55201074501201</v>
      </c>
      <c r="FK53" s="59">
        <f t="shared" si="48"/>
        <v>321.81422611044985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0.17200000000000001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11.378180482787986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11.378180482787986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261</v>
      </c>
      <c r="FX53" s="12">
        <f>VLOOKUP(A53,'Données projet'!$A$243:$I$263,9,0)</f>
        <v>8.6</v>
      </c>
      <c r="FY53" s="12">
        <f t="array" ref="FY53">INDEX(FX:FX,MIN(IF(ISNUMBER(FX53:FX249),ROW(FX53:FX249),"")))</f>
        <v>8.6</v>
      </c>
      <c r="FZ53" s="12">
        <f>IF('Données projet'!$A$244&gt;35,FZ52+FY53-GH52,IF(A53&lt;'Données projet'!$A$244,$FW$205^A53,IF(A53='Données projet'!$A$244,'Données projet'!$B$244,FZ52+FY53-GH52)))</f>
        <v>261.00000000000006</v>
      </c>
      <c r="GA53" s="17">
        <f>FZ53*VLOOKUP('Données projet'!$B$17,Paramètres!$A$1:$I$89,3,0)*VLOOKUP('Données projet'!$B$17,Paramètres!$A$1:$I$89,5,0)</f>
        <v>207.65160000000006</v>
      </c>
      <c r="GB53" s="13">
        <f t="shared" si="49"/>
        <v>51.422065813018108</v>
      </c>
      <c r="GC53" s="20">
        <f t="shared" si="25"/>
        <v>451.2199679576733</v>
      </c>
      <c r="GD53" s="59">
        <f t="shared" si="26"/>
        <v>744.55330129100662</v>
      </c>
      <c r="GE53" s="59">
        <f ca="1">AVERAGE(OFFSET($GD$3,0,0,'Données projet'!$E$17+1,1))-AVERAGE(OFFSET($H$3,0,0,'Données projet'!$E$17+1,1))</f>
        <v>353.37024194969638</v>
      </c>
      <c r="GF53" s="59">
        <f t="shared" si="50"/>
        <v>345.4750813433123</v>
      </c>
      <c r="GG53" s="15">
        <f>IF(ISNA(VLOOKUP(A53,'Données projet'!$A$243:$I$263,3,0)),0,VLOOKUP(A53,'Données projet'!$A$243:$I$263,3,0))</f>
        <v>9</v>
      </c>
      <c r="GH53" s="15">
        <f>IF(ISNA(VLOOKUP(A53,'Données projet'!$A$243:$I$263,4,0)),0,VLOOKUP(A53,'Données projet'!$A$243:$I$263,4,0))</f>
        <v>19</v>
      </c>
      <c r="GI53" s="16">
        <f>IF(ISNA(VLOOKUP(A53,'Données projet'!$A$243:$I$263,5,0)),0%,VLOOKUP(A53,'Données projet'!$A$243:$I$263,5,0)*VLOOKUP('Données projet'!$B$17,Paramètres!$A$1:$I$89,7,0))</f>
        <v>0.21200000000000002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15.217823772872803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15.217823772872803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25.673333333333346</v>
      </c>
      <c r="N54" s="13">
        <f>IF('Données projet'!$A$36&gt;35,N53+M54-V53,IF(A54&lt;'Données projet'!$A$36,$K$205^A54,IF(A54='Données projet'!$A$36,'Données projet'!$B$36,N53+M54-V53)))</f>
        <v>630.73</v>
      </c>
      <c r="O54" s="13">
        <f>N54*VLOOKUP('Données projet'!$B$9,Paramètres!$A$1:$I$89,3,0)*VLOOKUP('Données projet'!$B$9,Paramètres!$A$1:$I$89,5,0)</f>
        <v>352.57807000000003</v>
      </c>
      <c r="P54" s="13">
        <f t="shared" si="33"/>
        <v>82.093135673042198</v>
      </c>
      <c r="Q54" s="20">
        <f t="shared" si="53"/>
        <v>757.05234988054838</v>
      </c>
      <c r="R54" s="59">
        <f t="shared" si="0"/>
        <v>1050.3856832138817</v>
      </c>
      <c r="S54" s="59">
        <f ca="1">AVERAGE(OFFSET($R$3,0,0,'Données projet'!$E$9+1,1))-AVERAGE(OFFSET($H$3,0,0,'Données projet'!$E$9+1,1))</f>
        <v>404.65492118472037</v>
      </c>
      <c r="T54" s="59">
        <f t="shared" si="34"/>
        <v>534.22295841722166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53.047936667903791</v>
      </c>
      <c r="AA54" s="21">
        <f>EXP(-LN(2)/25)*AA53+(1-EXP(-LN(2)/25))/(LN(2)/25)*Calculateur!V54*Calculateur!X54*VLOOKUP('Données projet'!$B$9,Paramètres!$A$1:$I$89,3,0)*0.475*44/12</f>
        <v>45.511539914064898</v>
      </c>
      <c r="AB54" s="21">
        <f>EXP(-LN(2)/2)*AB53+(1-EXP(-LN(2)/2))/(LN(2)/2)*V54*Y54*VLOOKUP('Données projet'!$B$9,Paramètres!$A$1:$I$89,3,0)*0.475*44/12</f>
        <v>4.8371205036990785</v>
      </c>
      <c r="AC54" s="22">
        <f t="shared" si="3"/>
        <v>103.39659708566776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16.351249999999993</v>
      </c>
      <c r="AI54" s="13">
        <f>IF('Données projet'!$A$62&gt;35,AI53+AH54-AQ53,IF(A54&lt;'Données projet'!$A$62,$AF$205^A54,IF(A54='Données projet'!$A$62,'Données projet'!$B$62,AI53+AH54-AQ53)))</f>
        <v>279.82124999999985</v>
      </c>
      <c r="AJ54" s="13">
        <f>AI54*VLOOKUP('Données projet'!$B$10,Paramètres!$A$1:$I$89,3,0)*VLOOKUP('Données projet'!$B$10,Paramètres!$A$1:$I$89,5,0)</f>
        <v>130.95634499999991</v>
      </c>
      <c r="AK54" s="13">
        <f t="shared" si="35"/>
        <v>34.217248227276983</v>
      </c>
      <c r="AL54" s="20">
        <f t="shared" si="4"/>
        <v>287.67734153750729</v>
      </c>
      <c r="AM54" s="59">
        <f t="shared" si="5"/>
        <v>581.0106748708406</v>
      </c>
      <c r="AN54" s="59">
        <f ca="1">AVERAGE(OFFSET($AM$3,0,0,'Données projet'!$E$10+1,1))-AVERAGE(OFFSET($H$3,0,0,'Données projet'!$E$10+1,1))</f>
        <v>331.17634116262298</v>
      </c>
      <c r="AO54" s="59">
        <f t="shared" si="36"/>
        <v>286.28916368940605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35.37462097060579</v>
      </c>
      <c r="AW54" s="21">
        <f>EXP(-LN(2)/2)*AW53+(1-EXP(-LN(2)/2))/(LN(2)/2)*AQ54*AT54*VLOOKUP('Données projet'!$B$10,Paramètres!$A$1:$I$89,3,0)*0.475*44/12</f>
        <v>18.645518976769274</v>
      </c>
      <c r="AX54" s="21">
        <f t="shared" si="6"/>
        <v>54.020139947375064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1.4210854715202004E-13</v>
      </c>
      <c r="BE54" s="13">
        <f>BD54*VLOOKUP('Données projet'!$B$11,Paramètres!$A$1:$I$89,3,0)*VLOOKUP('Données projet'!$B$11,Paramètres!$A$1:$I$89,5,0)</f>
        <v>7.7591266745002952E-14</v>
      </c>
      <c r="BF54" s="13">
        <f t="shared" si="37"/>
        <v>1.2005788606873384E-12</v>
      </c>
      <c r="BG54" s="20">
        <f t="shared" si="7"/>
        <v>2.226146305277994E-12</v>
      </c>
      <c r="BH54" s="59">
        <f t="shared" si="8"/>
        <v>293.33333333333553</v>
      </c>
      <c r="BI54" s="59">
        <f ca="1">AVERAGE(OFFSET($BH$3,0,0,'Données projet'!$E$11+1,1))-AVERAGE(OFFSET($H$3,0,0,'Données projet'!$E$11+1,1))</f>
        <v>165.87377022031535</v>
      </c>
      <c r="BJ54" s="59">
        <f t="shared" si="38"/>
        <v>272.91122662088929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90.421031057893657</v>
      </c>
      <c r="BQ54" s="21">
        <f>EXP(-LN(2)/25)*BQ53+(1-EXP(-LN(2)/25))/(LN(2)/25)*Calculateur!BL54*Calculateur!BN54*VLOOKUP('Données projet'!$B$11,Paramètres!$A$1:$I$89,3,0)*0.475*44/12</f>
        <v>28.44453404106531</v>
      </c>
      <c r="BR54" s="21">
        <f>EXP(-LN(2)/2)*BR53+(1-EXP(-LN(2)/2))/(LN(2)/2)*BL54*BO54*VLOOKUP('Données projet'!$B$11,Paramètres!$A$1:$I$89,3,0)*0.475*44/12</f>
        <v>0.56933654616357843</v>
      </c>
      <c r="BS54" s="22">
        <f t="shared" si="9"/>
        <v>119.43490164512255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13.04</v>
      </c>
      <c r="BY54" s="12">
        <f>IF('Données projet'!$A$114&gt;35,BY53+BX54-CG53,IF(A54&lt;'Données projet'!$A$114,$BV$205^A54,IF(A54='Données projet'!$A$114,'Données projet'!$B$114,BY53+BX54-CG53)))</f>
        <v>231.59000000000003</v>
      </c>
      <c r="BZ54" s="13">
        <f>BY54*VLOOKUP('Données projet'!$B$12,Paramètres!$A$1:$I$89,3,0)*VLOOKUP('Données projet'!$B$12,Paramètres!$A$1:$I$89,5,0)</f>
        <v>209.54263200000003</v>
      </c>
      <c r="CA54" s="13">
        <f t="shared" si="39"/>
        <v>51.835626603974767</v>
      </c>
      <c r="CB54" s="20">
        <f t="shared" si="10"/>
        <v>455.23380040192274</v>
      </c>
      <c r="CC54" s="59">
        <f t="shared" si="11"/>
        <v>748.56713373525599</v>
      </c>
      <c r="CD54" s="59">
        <f ca="1">AVERAGE(OFFSET($CC$3,0,0,'Données projet'!$E$12+1,1))-AVERAGE(OFFSET($H$3,0,0,'Données projet'!$E$12+1,1))</f>
        <v>639.86968831634636</v>
      </c>
      <c r="CE54" s="59">
        <f t="shared" si="40"/>
        <v>218.1556771431184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4.9979999999999958</v>
      </c>
      <c r="CT54" s="12">
        <f>IF('Données projet'!$A$140&gt;35,CT53+CS54-DB53,IF(A54&lt;'Données projet'!$A$140,$CQ$205^A54,IF(A54='Données projet'!$A$140,'Données projet'!$B$140,CT53+CS54-DB53)))</f>
        <v>131.92800000000005</v>
      </c>
      <c r="CU54" s="17">
        <f>CT54*VLOOKUP('Données projet'!$B$13,Paramètres!$A$1:$I$89,3,0)*VLOOKUP('Données projet'!$B$13,Paramètres!$A$1:$I$89,5,0)</f>
        <v>115.25230080000006</v>
      </c>
      <c r="CV54" s="13">
        <f t="shared" si="41"/>
        <v>30.565088316134247</v>
      </c>
      <c r="CW54" s="20">
        <f t="shared" si="13"/>
        <v>253.9652860439339</v>
      </c>
      <c r="CX54" s="59">
        <f t="shared" si="14"/>
        <v>547.29861937726719</v>
      </c>
      <c r="CY54" s="59">
        <f ca="1">AVERAGE(OFFSET($CX$3,0,0,'Données projet'!$E$13+1,1))-AVERAGE(OFFSET($H$3,0,0,'Données projet'!$E$13+1,1))</f>
        <v>218.76600554860482</v>
      </c>
      <c r="CZ54" s="59">
        <f t="shared" si="42"/>
        <v>264.34840059907702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8.4348903344979735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8.4348903344979735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13.569999999999999</v>
      </c>
      <c r="DO54" s="12">
        <f>IF('Données projet'!$A$166&gt;35,DO53+DN54-DW53,IF(A54&lt;'Données projet'!$A$166,$DL$205^A54,IF(A54='Données projet'!$A$166,'Données projet'!$B$166,DO53+DN54-DW53)))</f>
        <v>212.06999999999971</v>
      </c>
      <c r="DP54" s="17">
        <f>DO54*VLOOKUP('Données projet'!$B$14,Paramètres!$A$1:$I$89,3,0)*VLOOKUP('Données projet'!$B$14,Paramètres!$A$1:$I$89,5,0)</f>
        <v>181.95605999999978</v>
      </c>
      <c r="DQ54" s="13">
        <f t="shared" si="43"/>
        <v>45.757099346690268</v>
      </c>
      <c r="DR54" s="20">
        <f t="shared" si="16"/>
        <v>396.60041919548513</v>
      </c>
      <c r="DS54" s="59">
        <f t="shared" si="17"/>
        <v>689.93375252881845</v>
      </c>
      <c r="DT54" s="59">
        <f ca="1">AVERAGE(OFFSET($DS$3,0,0,'Données projet'!$E$14+1,1))-AVERAGE(OFFSET($H$3,0,0,'Données projet'!$E$14+1,1))</f>
        <v>442.97490100035287</v>
      </c>
      <c r="DU54" s="59">
        <f t="shared" si="44"/>
        <v>334.36243356457049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10.375</v>
      </c>
      <c r="EJ54" s="12">
        <f>IF('Données projet'!$A$192&gt;35,EJ53+EI54-ER53,IF(A54&lt;'Données projet'!$A$192,$EG$205^A54,IF(A54='Données projet'!$A$192,'Données projet'!$B$192,EJ53+EI54-ER53)))</f>
        <v>259.62499999999989</v>
      </c>
      <c r="EK54" s="17">
        <f>EJ54*VLOOKUP('Données projet'!$B$15,Paramètres!$A$1:$I$89,3,0)*VLOOKUP('Données projet'!$B$15,Paramètres!$A$1:$I$89,5,0)</f>
        <v>202.50749999999991</v>
      </c>
      <c r="EL54" s="13">
        <f t="shared" si="45"/>
        <v>50.294840086606349</v>
      </c>
      <c r="EM54" s="20">
        <f t="shared" si="19"/>
        <v>440.29740898417253</v>
      </c>
      <c r="EN54" s="59">
        <f t="shared" si="20"/>
        <v>733.63074231750579</v>
      </c>
      <c r="EO54" s="59">
        <f ca="1">AVERAGE(OFFSET($EN$3,0,0,'Données projet'!$E$15+1,1))-AVERAGE(OFFSET($H$3,0,0,'Données projet'!$E$15+1,1))</f>
        <v>288.82868507674738</v>
      </c>
      <c r="EP54" s="59">
        <f t="shared" si="46"/>
        <v>283.48738729114024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13.481034331128971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13.481034331128971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182.86008000000001</v>
      </c>
      <c r="FG54" s="13">
        <f t="shared" si="47"/>
        <v>45.957916284909473</v>
      </c>
      <c r="FH54" s="20">
        <f t="shared" si="22"/>
        <v>398.52467686288401</v>
      </c>
      <c r="FI54" s="59">
        <f t="shared" si="23"/>
        <v>691.85801019621726</v>
      </c>
      <c r="FJ54" s="59">
        <f ca="1">AVERAGE(OFFSET($FI$3,0,0,'Données projet'!$E$16+1,1))-AVERAGE(OFFSET($H$3,0,0,'Données projet'!$E$16+1,1))</f>
        <v>328.55201074501201</v>
      </c>
      <c r="FK54" s="59">
        <f t="shared" si="48"/>
        <v>321.81422611044985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11.15506130352534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11.15506130352534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7.4</v>
      </c>
      <c r="FZ54" s="12">
        <f>IF('Données projet'!$A$244&gt;35,FZ53+FY54-GH53,IF(A54&lt;'Données projet'!$A$244,$FW$205^A54,IF(A54='Données projet'!$A$244,'Données projet'!$B$244,FZ53+FY54-GH53)))</f>
        <v>249.40000000000003</v>
      </c>
      <c r="GA54" s="17">
        <f>FZ54*VLOOKUP('Données projet'!$B$17,Paramètres!$A$1:$I$89,3,0)*VLOOKUP('Données projet'!$B$17,Paramètres!$A$1:$I$89,5,0)</f>
        <v>198.42264000000003</v>
      </c>
      <c r="GB54" s="13">
        <f t="shared" si="49"/>
        <v>49.397352151183256</v>
      </c>
      <c r="GC54" s="20">
        <f t="shared" si="25"/>
        <v>431.61981966331086</v>
      </c>
      <c r="GD54" s="59">
        <f t="shared" si="26"/>
        <v>724.95315299664412</v>
      </c>
      <c r="GE54" s="59">
        <f ca="1">AVERAGE(OFFSET($GD$3,0,0,'Données projet'!$E$17+1,1))-AVERAGE(OFFSET($H$3,0,0,'Données projet'!$E$17+1,1))</f>
        <v>353.37024194969638</v>
      </c>
      <c r="GF54" s="59">
        <f t="shared" si="50"/>
        <v>345.4750813433123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14.919411530642751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14.919411530642751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25.673333333333346</v>
      </c>
      <c r="N55" s="13">
        <f>IF('Données projet'!$A$36&gt;35,N54+M55-V54,IF(A55&lt;'Données projet'!$A$36,$K$205^A55,IF(A55='Données projet'!$A$36,'Données projet'!$B$36,N54+M55-V54)))</f>
        <v>656.40333333333342</v>
      </c>
      <c r="O55" s="13">
        <f>N55*VLOOKUP('Données projet'!$B$9,Paramètres!$A$1:$I$89,3,0)*VLOOKUP('Données projet'!$B$9,Paramètres!$A$1:$I$89,5,0)</f>
        <v>366.92946333333339</v>
      </c>
      <c r="P55" s="13">
        <f t="shared" si="33"/>
        <v>85.038822410860604</v>
      </c>
      <c r="Q55" s="20">
        <f t="shared" si="53"/>
        <v>787.17809767113783</v>
      </c>
      <c r="R55" s="59">
        <f t="shared" si="0"/>
        <v>1080.5114310044712</v>
      </c>
      <c r="S55" s="59">
        <f ca="1">AVERAGE(OFFSET($R$3,0,0,'Données projet'!$E$9+1,1))-AVERAGE(OFFSET($H$3,0,0,'Données projet'!$E$9+1,1))</f>
        <v>404.65492118472037</v>
      </c>
      <c r="T55" s="59">
        <f t="shared" si="34"/>
        <v>534.22295841722166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52.007698985892674</v>
      </c>
      <c r="AA55" s="21">
        <f>EXP(-LN(2)/25)*AA54+(1-EXP(-LN(2)/25))/(LN(2)/25)*Calculateur!V55*Calculateur!X55*VLOOKUP('Données projet'!$B$9,Paramètres!$A$1:$I$89,3,0)*0.475*44/12</f>
        <v>44.26702446176693</v>
      </c>
      <c r="AB55" s="21">
        <f>EXP(-LN(2)/2)*AB54+(1-EXP(-LN(2)/2))/(LN(2)/2)*V55*Y55*VLOOKUP('Données projet'!$B$9,Paramètres!$A$1:$I$89,3,0)*0.475*44/12</f>
        <v>3.4203607095821069</v>
      </c>
      <c r="AC55" s="22">
        <f t="shared" si="3"/>
        <v>99.695084157241709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16.351249999999993</v>
      </c>
      <c r="AI55" s="13">
        <f>IF('Données projet'!$A$62&gt;35,AI54+AH55-AQ54,IF(A55&lt;'Données projet'!$A$62,$AF$205^A55,IF(A55='Données projet'!$A$62,'Données projet'!$B$62,AI54+AH55-AQ54)))</f>
        <v>296.17249999999984</v>
      </c>
      <c r="AJ55" s="13">
        <f>AI55*VLOOKUP('Données projet'!$B$10,Paramètres!$A$1:$I$89,3,0)*VLOOKUP('Données projet'!$B$10,Paramètres!$A$1:$I$89,5,0)</f>
        <v>138.60872999999992</v>
      </c>
      <c r="AK55" s="13">
        <f t="shared" si="35"/>
        <v>35.978100050959966</v>
      </c>
      <c r="AL55" s="20">
        <f t="shared" si="4"/>
        <v>304.07206233875513</v>
      </c>
      <c r="AM55" s="59">
        <f t="shared" si="5"/>
        <v>597.40539567208839</v>
      </c>
      <c r="AN55" s="59">
        <f ca="1">AVERAGE(OFFSET($AM$3,0,0,'Données projet'!$E$10+1,1))-AVERAGE(OFFSET($H$3,0,0,'Données projet'!$E$10+1,1))</f>
        <v>331.17634116262298</v>
      </c>
      <c r="AO55" s="59">
        <f t="shared" si="36"/>
        <v>286.28916368940605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34.407300099894108</v>
      </c>
      <c r="AW55" s="21">
        <f>EXP(-LN(2)/2)*AW54+(1-EXP(-LN(2)/2))/(LN(2)/2)*AQ55*AT55*VLOOKUP('Données projet'!$B$10,Paramètres!$A$1:$I$89,3,0)*0.475*44/12</f>
        <v>13.184372907216012</v>
      </c>
      <c r="AX55" s="21">
        <f t="shared" si="6"/>
        <v>47.591673007110117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1.4210854715202004E-13</v>
      </c>
      <c r="BE55" s="13">
        <f>BD55*VLOOKUP('Données projet'!$B$11,Paramètres!$A$1:$I$89,3,0)*VLOOKUP('Données projet'!$B$11,Paramètres!$A$1:$I$89,5,0)</f>
        <v>7.7591266745002952E-14</v>
      </c>
      <c r="BF55" s="13">
        <f t="shared" si="37"/>
        <v>1.2005788606873384E-12</v>
      </c>
      <c r="BG55" s="20">
        <f t="shared" si="7"/>
        <v>2.226146305277994E-12</v>
      </c>
      <c r="BH55" s="59">
        <f t="shared" si="8"/>
        <v>293.33333333333553</v>
      </c>
      <c r="BI55" s="59">
        <f ca="1">AVERAGE(OFFSET($BH$3,0,0,'Données projet'!$E$11+1,1))-AVERAGE(OFFSET($H$3,0,0,'Données projet'!$E$11+1,1))</f>
        <v>165.87377022031535</v>
      </c>
      <c r="BJ55" s="59">
        <f t="shared" si="38"/>
        <v>272.91122662088929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88.647929790231558</v>
      </c>
      <c r="BQ55" s="21">
        <f>EXP(-LN(2)/25)*BQ54+(1-EXP(-LN(2)/25))/(LN(2)/25)*Calculateur!BL55*Calculateur!BN55*VLOOKUP('Données projet'!$B$11,Paramètres!$A$1:$I$89,3,0)*0.475*44/12</f>
        <v>27.666716761879346</v>
      </c>
      <c r="BR55" s="21">
        <f>EXP(-LN(2)/2)*BR54+(1-EXP(-LN(2)/2))/(LN(2)/2)*BL55*BO55*VLOOKUP('Données projet'!$B$11,Paramètres!$A$1:$I$89,3,0)*0.475*44/12</f>
        <v>0.40258173256959418</v>
      </c>
      <c r="BS55" s="22">
        <f t="shared" si="9"/>
        <v>116.7172282846805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13.04</v>
      </c>
      <c r="BY55" s="12">
        <f>IF('Données projet'!$A$114&gt;35,BY54+BX55-CG54,IF(A55&lt;'Données projet'!$A$114,$BV$205^A55,IF(A55='Données projet'!$A$114,'Données projet'!$B$114,BY54+BX55-CG54)))</f>
        <v>244.63000000000002</v>
      </c>
      <c r="BZ55" s="13">
        <f>BY55*VLOOKUP('Données projet'!$B$12,Paramètres!$A$1:$I$89,3,0)*VLOOKUP('Données projet'!$B$12,Paramètres!$A$1:$I$89,5,0)</f>
        <v>221.34122400000001</v>
      </c>
      <c r="CA55" s="13">
        <f t="shared" si="39"/>
        <v>54.406290932697019</v>
      </c>
      <c r="CB55" s="20">
        <f t="shared" si="10"/>
        <v>480.26025517444731</v>
      </c>
      <c r="CC55" s="59">
        <f t="shared" si="11"/>
        <v>773.59358850778062</v>
      </c>
      <c r="CD55" s="59">
        <f ca="1">AVERAGE(OFFSET($CC$3,0,0,'Données projet'!$E$12+1,1))-AVERAGE(OFFSET($H$3,0,0,'Données projet'!$E$12+1,1))</f>
        <v>639.86968831634636</v>
      </c>
      <c r="CE55" s="59">
        <f t="shared" si="40"/>
        <v>218.1556771431184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4.9979999999999958</v>
      </c>
      <c r="CT55" s="12">
        <f>IF('Données projet'!$A$140&gt;35,CT54+CS55-DB54,IF(A55&lt;'Données projet'!$A$140,$CQ$205^A55,IF(A55='Données projet'!$A$140,'Données projet'!$B$140,CT54+CS55-DB54)))</f>
        <v>136.92600000000004</v>
      </c>
      <c r="CU55" s="17">
        <f>CT55*VLOOKUP('Données projet'!$B$13,Paramètres!$A$1:$I$89,3,0)*VLOOKUP('Données projet'!$B$13,Paramètres!$A$1:$I$89,5,0)</f>
        <v>119.61855360000006</v>
      </c>
      <c r="CV55" s="13">
        <f t="shared" si="41"/>
        <v>31.586016707018011</v>
      </c>
      <c r="CW55" s="20">
        <f t="shared" si="13"/>
        <v>263.34795995138978</v>
      </c>
      <c r="CX55" s="59">
        <f t="shared" si="14"/>
        <v>556.6812932847231</v>
      </c>
      <c r="CY55" s="59">
        <f ca="1">AVERAGE(OFFSET($CX$3,0,0,'Données projet'!$E$13+1,1))-AVERAGE(OFFSET($H$3,0,0,'Données projet'!$E$13+1,1))</f>
        <v>218.76600554860482</v>
      </c>
      <c r="CZ55" s="59">
        <f t="shared" si="42"/>
        <v>264.34840059907702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8.2694872798135677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8.2694872798135677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13.569999999999999</v>
      </c>
      <c r="DO55" s="12">
        <f>IF('Données projet'!$A$166&gt;35,DO54+DN55-DW54,IF(A55&lt;'Données projet'!$A$166,$DL$205^A55,IF(A55='Données projet'!$A$166,'Données projet'!$B$166,DO54+DN55-DW54)))</f>
        <v>225.6399999999997</v>
      </c>
      <c r="DP55" s="17">
        <f>DO55*VLOOKUP('Données projet'!$B$14,Paramètres!$A$1:$I$89,3,0)*VLOOKUP('Données projet'!$B$14,Paramètres!$A$1:$I$89,5,0)</f>
        <v>193.59911999999977</v>
      </c>
      <c r="DQ55" s="13">
        <f t="shared" si="43"/>
        <v>48.334796055802734</v>
      </c>
      <c r="DR55" s="20">
        <f t="shared" si="16"/>
        <v>421.36823713052269</v>
      </c>
      <c r="DS55" s="59">
        <f t="shared" si="17"/>
        <v>714.701570463856</v>
      </c>
      <c r="DT55" s="59">
        <f ca="1">AVERAGE(OFFSET($DS$3,0,0,'Données projet'!$E$14+1,1))-AVERAGE(OFFSET($H$3,0,0,'Données projet'!$E$14+1,1))</f>
        <v>442.97490100035287</v>
      </c>
      <c r="DU55" s="59">
        <f t="shared" si="44"/>
        <v>334.36243356457049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270</v>
      </c>
      <c r="EH55" s="12">
        <f>VLOOKUP(A55,'Données projet'!$A$191:$I$211,9,0)</f>
        <v>10.375</v>
      </c>
      <c r="EI55" s="12">
        <f t="array" ref="EI55">INDEX(EH:EH,MIN(IF(ISNUMBER(EH55:EH251),ROW(EH55:EH251),"")))</f>
        <v>10.375</v>
      </c>
      <c r="EJ55" s="12">
        <f>IF('Données projet'!$A$192&gt;35,EJ54+EI55-ER54,IF(A55&lt;'Données projet'!$A$192,$EG$205^A55,IF(A55='Données projet'!$A$192,'Données projet'!$B$192,EJ54+EI55-ER54)))</f>
        <v>269.99999999999989</v>
      </c>
      <c r="EK55" s="17">
        <f>EJ55*VLOOKUP('Données projet'!$B$15,Paramètres!$A$1:$I$89,3,0)*VLOOKUP('Données projet'!$B$15,Paramètres!$A$1:$I$89,5,0)</f>
        <v>210.59999999999991</v>
      </c>
      <c r="EL55" s="13">
        <f t="shared" si="45"/>
        <v>52.066679014659961</v>
      </c>
      <c r="EM55" s="20">
        <f t="shared" si="19"/>
        <v>457.47779928386586</v>
      </c>
      <c r="EN55" s="59">
        <f t="shared" si="20"/>
        <v>750.81113261719918</v>
      </c>
      <c r="EO55" s="59">
        <f ca="1">AVERAGE(OFFSET($EN$3,0,0,'Données projet'!$E$15+1,1))-AVERAGE(OFFSET($H$3,0,0,'Données projet'!$E$15+1,1))</f>
        <v>288.82868507674738</v>
      </c>
      <c r="EP55" s="59">
        <f t="shared" si="46"/>
        <v>283.48738729114024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48</v>
      </c>
      <c r="ES55" s="16">
        <f>IF(ISNA(VLOOKUP(A55,'Données projet'!$A$191:$I$211,5,0)),0%,VLOOKUP(A55,'Données projet'!$A$191:$I$211,5,0)*VLOOKUP('Données projet'!$B$15,Paramètres!$A$1:$I$89,7,0))</f>
        <v>0.17200000000000001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20.335554964185306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20.335554964185306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188.28576000000001</v>
      </c>
      <c r="FG55" s="13">
        <f t="shared" si="47"/>
        <v>47.160759045639651</v>
      </c>
      <c r="FH55" s="20">
        <f t="shared" si="22"/>
        <v>410.06935400448907</v>
      </c>
      <c r="FI55" s="59">
        <f t="shared" si="23"/>
        <v>703.40268733782239</v>
      </c>
      <c r="FJ55" s="59">
        <f ca="1">AVERAGE(OFFSET($FI$3,0,0,'Données projet'!$E$16+1,1))-AVERAGE(OFFSET($H$3,0,0,'Données projet'!$E$16+1,1))</f>
        <v>328.55201074501201</v>
      </c>
      <c r="FK55" s="59">
        <f t="shared" si="48"/>
        <v>321.81422611044985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10.936317355278772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10.936317355278772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7.4</v>
      </c>
      <c r="FZ55" s="12">
        <f>IF('Données projet'!$A$244&gt;35,FZ54+FY55-GH54,IF(A55&lt;'Données projet'!$A$244,$FW$205^A55,IF(A55='Données projet'!$A$244,'Données projet'!$B$244,FZ54+FY55-GH54)))</f>
        <v>256.8</v>
      </c>
      <c r="GA55" s="17">
        <f>FZ55*VLOOKUP('Données projet'!$B$17,Paramètres!$A$1:$I$89,3,0)*VLOOKUP('Données projet'!$B$17,Paramètres!$A$1:$I$89,5,0)</f>
        <v>204.31008000000003</v>
      </c>
      <c r="GB55" s="13">
        <f t="shared" si="49"/>
        <v>50.690214235398379</v>
      </c>
      <c r="GC55" s="20">
        <f t="shared" si="25"/>
        <v>444.12551245998549</v>
      </c>
      <c r="GD55" s="59">
        <f t="shared" si="26"/>
        <v>737.4588457933188</v>
      </c>
      <c r="GE55" s="59">
        <f ca="1">AVERAGE(OFFSET($GD$3,0,0,'Données projet'!$E$17+1,1))-AVERAGE(OFFSET($H$3,0,0,'Données projet'!$E$17+1,1))</f>
        <v>353.37024194969638</v>
      </c>
      <c r="GF55" s="59">
        <f t="shared" si="50"/>
        <v>345.4750813433123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14.626850970469336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14.626850970469336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25.673333333333346</v>
      </c>
      <c r="N56" s="13">
        <f>IF('Données projet'!$A$36&gt;35,N55+M56-V55,IF(A56&lt;'Données projet'!$A$36,$K$205^A56,IF(A56='Données projet'!$A$36,'Données projet'!$B$36,N55+M56-V55)))</f>
        <v>682.07666666666682</v>
      </c>
      <c r="O56" s="13">
        <f>N56*VLOOKUP('Données projet'!$B$9,Paramètres!$A$1:$I$89,3,0)*VLOOKUP('Données projet'!$B$9,Paramètres!$A$1:$I$89,5,0)</f>
        <v>381.28085666666681</v>
      </c>
      <c r="P56" s="13">
        <f t="shared" si="33"/>
        <v>87.971125338595996</v>
      </c>
      <c r="Q56" s="20">
        <f t="shared" si="53"/>
        <v>817.28053532583272</v>
      </c>
      <c r="R56" s="59">
        <f t="shared" si="0"/>
        <v>1110.613868659166</v>
      </c>
      <c r="S56" s="59">
        <f ca="1">AVERAGE(OFFSET($R$3,0,0,'Données projet'!$E$9+1,1))-AVERAGE(OFFSET($H$3,0,0,'Données projet'!$E$9+1,1))</f>
        <v>404.65492118472037</v>
      </c>
      <c r="T56" s="59">
        <f t="shared" si="34"/>
        <v>534.22295841722166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50.987859730343459</v>
      </c>
      <c r="AA56" s="21">
        <f>EXP(-LN(2)/25)*AA55+(1-EXP(-LN(2)/25))/(LN(2)/25)*Calculateur!V56*Calculateur!X56*VLOOKUP('Données projet'!$B$9,Paramètres!$A$1:$I$89,3,0)*0.475*44/12</f>
        <v>43.056540349958269</v>
      </c>
      <c r="AB56" s="21">
        <f>EXP(-LN(2)/2)*AB55+(1-EXP(-LN(2)/2))/(LN(2)/2)*V56*Y56*VLOOKUP('Données projet'!$B$9,Paramètres!$A$1:$I$89,3,0)*0.475*44/12</f>
        <v>2.4185602518495393</v>
      </c>
      <c r="AC56" s="22">
        <f t="shared" si="3"/>
        <v>96.462960332151269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16.351249999999993</v>
      </c>
      <c r="AI56" s="13">
        <f>IF('Données projet'!$A$62&gt;35,AI55+AH56-AQ55,IF(A56&lt;'Données projet'!$A$62,$AF$205^A56,IF(A56='Données projet'!$A$62,'Données projet'!$B$62,AI55+AH56-AQ55)))</f>
        <v>312.52374999999984</v>
      </c>
      <c r="AJ56" s="13">
        <f>AI56*VLOOKUP('Données projet'!$B$10,Paramètres!$A$1:$I$89,3,0)*VLOOKUP('Données projet'!$B$10,Paramètres!$A$1:$I$89,5,0)</f>
        <v>146.26111499999993</v>
      </c>
      <c r="AK56" s="13">
        <f t="shared" si="35"/>
        <v>37.727666388687098</v>
      </c>
      <c r="AL56" s="20">
        <f t="shared" si="4"/>
        <v>320.44712758529653</v>
      </c>
      <c r="AM56" s="59">
        <f t="shared" si="5"/>
        <v>613.78046091862984</v>
      </c>
      <c r="AN56" s="59">
        <f ca="1">AVERAGE(OFFSET($AM$3,0,0,'Données projet'!$E$10+1,1))-AVERAGE(OFFSET($H$3,0,0,'Données projet'!$E$10+1,1))</f>
        <v>331.17634116262298</v>
      </c>
      <c r="AO56" s="59">
        <f t="shared" si="36"/>
        <v>286.28916368940605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33.466430669261229</v>
      </c>
      <c r="AW56" s="21">
        <f>EXP(-LN(2)/2)*AW55+(1-EXP(-LN(2)/2))/(LN(2)/2)*AQ56*AT56*VLOOKUP('Données projet'!$B$10,Paramètres!$A$1:$I$89,3,0)*0.475*44/12</f>
        <v>9.322759488384639</v>
      </c>
      <c r="AX56" s="21">
        <f t="shared" si="6"/>
        <v>42.789190157645869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1.4210854715202004E-13</v>
      </c>
      <c r="BE56" s="13">
        <f>BD56*VLOOKUP('Données projet'!$B$11,Paramètres!$A$1:$I$89,3,0)*VLOOKUP('Données projet'!$B$11,Paramètres!$A$1:$I$89,5,0)</f>
        <v>7.7591266745002952E-14</v>
      </c>
      <c r="BF56" s="13">
        <f t="shared" si="37"/>
        <v>1.2005788606873384E-12</v>
      </c>
      <c r="BG56" s="20">
        <f t="shared" si="7"/>
        <v>2.226146305277994E-12</v>
      </c>
      <c r="BH56" s="59">
        <f t="shared" si="8"/>
        <v>293.33333333333553</v>
      </c>
      <c r="BI56" s="59">
        <f ca="1">AVERAGE(OFFSET($BH$3,0,0,'Données projet'!$E$11+1,1))-AVERAGE(OFFSET($H$3,0,0,'Données projet'!$E$11+1,1))</f>
        <v>165.87377022031535</v>
      </c>
      <c r="BJ56" s="59">
        <f t="shared" si="38"/>
        <v>272.91122662088929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86.90959795694333</v>
      </c>
      <c r="BQ56" s="21">
        <f>EXP(-LN(2)/25)*BQ55+(1-EXP(-LN(2)/25))/(LN(2)/25)*Calculateur!BL56*Calculateur!BN56*VLOOKUP('Données projet'!$B$11,Paramètres!$A$1:$I$89,3,0)*0.475*44/12</f>
        <v>26.910168937096355</v>
      </c>
      <c r="BR56" s="21">
        <f>EXP(-LN(2)/2)*BR55+(1-EXP(-LN(2)/2))/(LN(2)/2)*BL56*BO56*VLOOKUP('Données projet'!$B$11,Paramètres!$A$1:$I$89,3,0)*0.475*44/12</f>
        <v>0.28466827308178921</v>
      </c>
      <c r="BS56" s="22">
        <f t="shared" si="9"/>
        <v>114.10443516712148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13.04</v>
      </c>
      <c r="BY56" s="12">
        <f>IF('Données projet'!$A$114&gt;35,BY55+BX56-CG55,IF(A56&lt;'Données projet'!$A$114,$BV$205^A56,IF(A56='Données projet'!$A$114,'Données projet'!$B$114,BY55+BX56-CG55)))</f>
        <v>257.67</v>
      </c>
      <c r="BZ56" s="13">
        <f>BY56*VLOOKUP('Données projet'!$B$12,Paramètres!$A$1:$I$89,3,0)*VLOOKUP('Données projet'!$B$12,Paramètres!$A$1:$I$89,5,0)</f>
        <v>233.139816</v>
      </c>
      <c r="CA56" s="13">
        <f t="shared" si="39"/>
        <v>56.961046485712458</v>
      </c>
      <c r="CB56" s="20">
        <f t="shared" si="10"/>
        <v>505.25900216261584</v>
      </c>
      <c r="CC56" s="59">
        <f t="shared" si="11"/>
        <v>798.5923354959491</v>
      </c>
      <c r="CD56" s="59">
        <f ca="1">AVERAGE(OFFSET($CC$3,0,0,'Données projet'!$E$12+1,1))-AVERAGE(OFFSET($H$3,0,0,'Données projet'!$E$12+1,1))</f>
        <v>639.86968831634636</v>
      </c>
      <c r="CE56" s="59">
        <f t="shared" si="40"/>
        <v>218.1556771431184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4.9979999999999958</v>
      </c>
      <c r="CT56" s="12">
        <f>IF('Données projet'!$A$140&gt;35,CT55+CS56-DB55,IF(A56&lt;'Données projet'!$A$140,$CQ$205^A56,IF(A56='Données projet'!$A$140,'Données projet'!$B$140,CT55+CS56-DB55)))</f>
        <v>141.92400000000004</v>
      </c>
      <c r="CU56" s="17">
        <f>CT56*VLOOKUP('Données projet'!$B$13,Paramètres!$A$1:$I$89,3,0)*VLOOKUP('Données projet'!$B$13,Paramètres!$A$1:$I$89,5,0)</f>
        <v>123.98480640000005</v>
      </c>
      <c r="CV56" s="13">
        <f t="shared" si="41"/>
        <v>32.602615593455717</v>
      </c>
      <c r="CW56" s="20">
        <f t="shared" si="13"/>
        <v>272.72309330526878</v>
      </c>
      <c r="CX56" s="59">
        <f t="shared" si="14"/>
        <v>566.05642663860203</v>
      </c>
      <c r="CY56" s="59">
        <f ca="1">AVERAGE(OFFSET($CX$3,0,0,'Données projet'!$E$13+1,1))-AVERAGE(OFFSET($H$3,0,0,'Données projet'!$E$13+1,1))</f>
        <v>218.76600554860482</v>
      </c>
      <c r="CZ56" s="59">
        <f t="shared" si="42"/>
        <v>264.34840059907702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8.1073276781456212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8.1073276781456212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13.569999999999999</v>
      </c>
      <c r="DO56" s="12">
        <f>IF('Données projet'!$A$166&gt;35,DO55+DN56-DW55,IF(A56&lt;'Données projet'!$A$166,$DL$205^A56,IF(A56='Données projet'!$A$166,'Données projet'!$B$166,DO55+DN56-DW55)))</f>
        <v>239.2099999999997</v>
      </c>
      <c r="DP56" s="17">
        <f>DO56*VLOOKUP('Données projet'!$B$14,Paramètres!$A$1:$I$89,3,0)*VLOOKUP('Données projet'!$B$14,Paramètres!$A$1:$I$89,5,0)</f>
        <v>205.24217999999976</v>
      </c>
      <c r="DQ56" s="13">
        <f t="shared" si="43"/>
        <v>50.894499675528749</v>
      </c>
      <c r="DR56" s="20">
        <f t="shared" si="16"/>
        <v>446.10471710154548</v>
      </c>
      <c r="DS56" s="59">
        <f t="shared" si="17"/>
        <v>739.43805043487873</v>
      </c>
      <c r="DT56" s="59">
        <f ca="1">AVERAGE(OFFSET($DS$3,0,0,'Données projet'!$E$14+1,1))-AVERAGE(OFFSET($H$3,0,0,'Données projet'!$E$14+1,1))</f>
        <v>442.97490100035287</v>
      </c>
      <c r="DU56" s="59">
        <f t="shared" si="44"/>
        <v>334.36243356457049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9.375</v>
      </c>
      <c r="EJ56" s="12">
        <f>IF('Données projet'!$A$192&gt;35,EJ55+EI56-ER55,IF(A56&lt;'Données projet'!$A$192,$EG$205^A56,IF(A56='Données projet'!$A$192,'Données projet'!$B$192,EJ55+EI56-ER55)))</f>
        <v>231.37499999999989</v>
      </c>
      <c r="EK56" s="17">
        <f>EJ56*VLOOKUP('Données projet'!$B$15,Paramètres!$A$1:$I$89,3,0)*VLOOKUP('Données projet'!$B$15,Paramètres!$A$1:$I$89,5,0)</f>
        <v>180.47249999999991</v>
      </c>
      <c r="EL56" s="13">
        <f t="shared" si="45"/>
        <v>45.427292666837829</v>
      </c>
      <c r="EM56" s="20">
        <f t="shared" si="19"/>
        <v>393.44213889474241</v>
      </c>
      <c r="EN56" s="59">
        <f t="shared" si="20"/>
        <v>686.77547222807573</v>
      </c>
      <c r="EO56" s="59">
        <f ca="1">AVERAGE(OFFSET($EN$3,0,0,'Données projet'!$E$15+1,1))-AVERAGE(OFFSET($H$3,0,0,'Données projet'!$E$15+1,1))</f>
        <v>288.82868507674738</v>
      </c>
      <c r="EP56" s="59">
        <f t="shared" si="46"/>
        <v>283.48738729114024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19.936787134801421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19.936787134801421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193.71143999999998</v>
      </c>
      <c r="FG56" s="13">
        <f t="shared" si="47"/>
        <v>48.359573394195209</v>
      </c>
      <c r="FH56" s="20">
        <f t="shared" si="22"/>
        <v>421.60701499488988</v>
      </c>
      <c r="FI56" s="59">
        <f t="shared" si="23"/>
        <v>714.94034832822319</v>
      </c>
      <c r="FJ56" s="59">
        <f ca="1">AVERAGE(OFFSET($FI$3,0,0,'Données projet'!$E$16+1,1))-AVERAGE(OFFSET($H$3,0,0,'Données projet'!$E$16+1,1))</f>
        <v>328.55201074501201</v>
      </c>
      <c r="FK56" s="59">
        <f t="shared" si="48"/>
        <v>321.81422611044985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10.721862842436686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10.721862842436686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7.4</v>
      </c>
      <c r="FZ56" s="12">
        <f>IF('Données projet'!$A$244&gt;35,FZ55+FY56-GH55,IF(A56&lt;'Données projet'!$A$244,$FW$205^A56,IF(A56='Données projet'!$A$244,'Données projet'!$B$244,FZ55+FY56-GH55)))</f>
        <v>264.2</v>
      </c>
      <c r="GA56" s="17">
        <f>FZ56*VLOOKUP('Données projet'!$B$17,Paramètres!$A$1:$I$89,3,0)*VLOOKUP('Données projet'!$B$17,Paramètres!$A$1:$I$89,5,0)</f>
        <v>210.19752</v>
      </c>
      <c r="GB56" s="13">
        <f t="shared" si="49"/>
        <v>51.978746425856599</v>
      </c>
      <c r="GC56" s="20">
        <f t="shared" si="25"/>
        <v>456.62366402503358</v>
      </c>
      <c r="GD56" s="59">
        <f t="shared" si="26"/>
        <v>749.95699735836683</v>
      </c>
      <c r="GE56" s="59">
        <f ca="1">AVERAGE(OFFSET($GD$3,0,0,'Données projet'!$E$17+1,1))-AVERAGE(OFFSET($H$3,0,0,'Données projet'!$E$17+1,1))</f>
        <v>353.37024194969638</v>
      </c>
      <c r="GF56" s="59">
        <f t="shared" si="50"/>
        <v>345.4750813433123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14.340027344436599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14.340027344436599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707.75</v>
      </c>
      <c r="L57" s="12">
        <f>VLOOKUP(A57,'Données projet'!$A$35:$I$55,9,0)</f>
        <v>25.673333333333346</v>
      </c>
      <c r="M57" s="12">
        <f t="array" ref="M57">INDEX(L:L,MIN(IF(ISNUMBER(L57:L253),ROW(L57:L253),"")))</f>
        <v>25.673333333333346</v>
      </c>
      <c r="N57" s="13">
        <f>IF('Données projet'!$A$36&gt;35,N56+M57-V56,IF(A57&lt;'Données projet'!$A$36,$K$205^A57,IF(A57='Données projet'!$A$36,'Données projet'!$B$36,N56+M57-V56)))</f>
        <v>707.75000000000023</v>
      </c>
      <c r="O57" s="13">
        <f>N57*VLOOKUP('Données projet'!$B$9,Paramètres!$A$1:$I$89,3,0)*VLOOKUP('Données projet'!$B$9,Paramètres!$A$1:$I$89,5,0)</f>
        <v>395.63225000000011</v>
      </c>
      <c r="P57" s="13">
        <f t="shared" si="33"/>
        <v>90.890605900198707</v>
      </c>
      <c r="Q57" s="20">
        <f t="shared" si="53"/>
        <v>847.36064069284623</v>
      </c>
      <c r="R57" s="59">
        <f t="shared" si="0"/>
        <v>1140.6939740261796</v>
      </c>
      <c r="S57" s="59">
        <f ca="1">AVERAGE(OFFSET($R$3,0,0,'Données projet'!$E$9+1,1))-AVERAGE(OFFSET($H$3,0,0,'Données projet'!$E$9+1,1))</f>
        <v>404.65492118472037</v>
      </c>
      <c r="T57" s="59">
        <f t="shared" si="34"/>
        <v>534.22295841722166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0.44000000000000006</v>
      </c>
      <c r="X57" s="16">
        <f>IF(ISNA(VLOOKUP(A57,'Données projet'!$A$35:$I$55,6,0)),0%,VLOOKUP(A57,'Données projet'!$A$35:$I$55,6,0)*VLOOKUP('Données projet'!$B$9,Paramètres!$A$1:$I$89,7,0))</f>
        <v>6.0500000000000005E-2</v>
      </c>
      <c r="Y57" s="16">
        <f>IF(ISNA(VLOOKUP(A57,'Données projet'!$A$35:$I$55,7,0)),0%,VLOOKUP(A57,'Données projet'!$A$35:$I$55,7,0))</f>
        <v>0.09</v>
      </c>
      <c r="Z57" s="21">
        <f>EXP(-LN(2)/35)*Z56+(1-EXP(-LN(2)/35))/(LN(2)/35)*V57*W57*VLOOKUP('Données projet'!$B$9,Paramètres!$A$1:$I$89,3,0)*0.475*44/12</f>
        <v>280.9139582218059</v>
      </c>
      <c r="AA57" s="21">
        <f>EXP(-LN(2)/25)*AA56+(1-EXP(-LN(2)/25))/(LN(2)/25)*Calculateur!V57*Calculateur!X57*VLOOKUP('Données projet'!$B$9,Paramètres!$A$1:$I$89,3,0)*0.475*44/12</f>
        <v>73.506452677257116</v>
      </c>
      <c r="AB57" s="21">
        <f>EXP(-LN(2)/2)*AB56+(1-EXP(-LN(2)/2))/(LN(2)/2)*V57*Y57*VLOOKUP('Données projet'!$B$9,Paramètres!$A$1:$I$89,3,0)*0.475*44/12</f>
        <v>42.025465380166921</v>
      </c>
      <c r="AC57" s="22">
        <f t="shared" si="3"/>
        <v>396.44587627922994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16.351249999999993</v>
      </c>
      <c r="AI57" s="13">
        <f>IF('Données projet'!$A$62&gt;35,AI56+AH57-AQ56,IF(A57&lt;'Données projet'!$A$62,$AF$205^A57,IF(A57='Données projet'!$A$62,'Données projet'!$B$62,AI56+AH57-AQ56)))</f>
        <v>328.87499999999983</v>
      </c>
      <c r="AJ57" s="13">
        <f>AI57*VLOOKUP('Données projet'!$B$10,Paramètres!$A$1:$I$89,3,0)*VLOOKUP('Données projet'!$B$10,Paramètres!$A$1:$I$89,5,0)</f>
        <v>153.91349999999991</v>
      </c>
      <c r="AK57" s="13">
        <f t="shared" si="35"/>
        <v>39.466605038777566</v>
      </c>
      <c r="AL57" s="20">
        <f t="shared" si="4"/>
        <v>336.80368294253748</v>
      </c>
      <c r="AM57" s="59">
        <f t="shared" si="5"/>
        <v>630.13701627587079</v>
      </c>
      <c r="AN57" s="59">
        <f ca="1">AVERAGE(OFFSET($AM$3,0,0,'Données projet'!$E$10+1,1))-AVERAGE(OFFSET($H$3,0,0,'Données projet'!$E$10+1,1))</f>
        <v>331.17634116262298</v>
      </c>
      <c r="AO57" s="59">
        <f t="shared" si="36"/>
        <v>286.28916368940605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32.551289362687179</v>
      </c>
      <c r="AW57" s="21">
        <f>EXP(-LN(2)/2)*AW56+(1-EXP(-LN(2)/2))/(LN(2)/2)*AQ57*AT57*VLOOKUP('Données projet'!$B$10,Paramètres!$A$1:$I$89,3,0)*0.475*44/12</f>
        <v>6.592186453608007</v>
      </c>
      <c r="AX57" s="21">
        <f t="shared" si="6"/>
        <v>39.143475816295187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1.4210854715202004E-13</v>
      </c>
      <c r="BE57" s="13">
        <f>BD57*VLOOKUP('Données projet'!$B$11,Paramètres!$A$1:$I$89,3,0)*VLOOKUP('Données projet'!$B$11,Paramètres!$A$1:$I$89,5,0)</f>
        <v>7.7591266745002952E-14</v>
      </c>
      <c r="BF57" s="13">
        <f t="shared" si="37"/>
        <v>1.2005788606873384E-12</v>
      </c>
      <c r="BG57" s="20">
        <f t="shared" si="7"/>
        <v>2.226146305277994E-12</v>
      </c>
      <c r="BH57" s="59">
        <f t="shared" si="8"/>
        <v>293.33333333333553</v>
      </c>
      <c r="BI57" s="59">
        <f ca="1">AVERAGE(OFFSET($BH$3,0,0,'Données projet'!$E$11+1,1))-AVERAGE(OFFSET($H$3,0,0,'Données projet'!$E$11+1,1))</f>
        <v>165.87377022031535</v>
      </c>
      <c r="BJ57" s="59">
        <f t="shared" si="38"/>
        <v>272.91122662088929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85.205353750628163</v>
      </c>
      <c r="BQ57" s="21">
        <f>EXP(-LN(2)/25)*BQ56+(1-EXP(-LN(2)/25))/(LN(2)/25)*Calculateur!BL57*Calculateur!BN57*VLOOKUP('Données projet'!$B$11,Paramètres!$A$1:$I$89,3,0)*0.475*44/12</f>
        <v>26.174308952367173</v>
      </c>
      <c r="BR57" s="21">
        <f>EXP(-LN(2)/2)*BR56+(1-EXP(-LN(2)/2))/(LN(2)/2)*BL57*BO57*VLOOKUP('Données projet'!$B$11,Paramètres!$A$1:$I$89,3,0)*0.475*44/12</f>
        <v>0.20129086628479709</v>
      </c>
      <c r="BS57" s="22">
        <f t="shared" si="9"/>
        <v>111.58095356928013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13.04</v>
      </c>
      <c r="BY57" s="12">
        <f>IF('Données projet'!$A$114&gt;35,BY56+BX57-CG56,IF(A57&lt;'Données projet'!$A$114,$BV$205^A57,IF(A57='Données projet'!$A$114,'Données projet'!$B$114,BY56+BX57-CG56)))</f>
        <v>270.71000000000004</v>
      </c>
      <c r="BZ57" s="13">
        <f>BY57*VLOOKUP('Données projet'!$B$12,Paramètres!$A$1:$I$89,3,0)*VLOOKUP('Données projet'!$B$12,Paramètres!$A$1:$I$89,5,0)</f>
        <v>244.93840800000004</v>
      </c>
      <c r="CA57" s="13">
        <f t="shared" si="39"/>
        <v>59.50079022033654</v>
      </c>
      <c r="CB57" s="20">
        <f t="shared" si="10"/>
        <v>530.23160356708627</v>
      </c>
      <c r="CC57" s="59">
        <f t="shared" si="11"/>
        <v>823.56493690041953</v>
      </c>
      <c r="CD57" s="59">
        <f ca="1">AVERAGE(OFFSET($CC$3,0,0,'Données projet'!$E$12+1,1))-AVERAGE(OFFSET($H$3,0,0,'Données projet'!$E$12+1,1))</f>
        <v>639.86968831634636</v>
      </c>
      <c r="CE57" s="59">
        <f t="shared" si="40"/>
        <v>218.1556771431184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4.9979999999999958</v>
      </c>
      <c r="CT57" s="12">
        <f>IF('Données projet'!$A$140&gt;35,CT56+CS57-DB56,IF(A57&lt;'Données projet'!$A$140,$CQ$205^A57,IF(A57='Données projet'!$A$140,'Données projet'!$B$140,CT56+CS57-DB56)))</f>
        <v>146.92200000000003</v>
      </c>
      <c r="CU57" s="17">
        <f>CT57*VLOOKUP('Données projet'!$B$13,Paramètres!$A$1:$I$89,3,0)*VLOOKUP('Données projet'!$B$13,Paramètres!$A$1:$I$89,5,0)</f>
        <v>128.35105920000004</v>
      </c>
      <c r="CV57" s="13">
        <f t="shared" si="41"/>
        <v>33.615054913700121</v>
      </c>
      <c r="CW57" s="20">
        <f t="shared" si="13"/>
        <v>282.09098208136106</v>
      </c>
      <c r="CX57" s="59">
        <f t="shared" si="14"/>
        <v>575.42431541469432</v>
      </c>
      <c r="CY57" s="59">
        <f ca="1">AVERAGE(OFFSET($CX$3,0,0,'Données projet'!$E$13+1,1))-AVERAGE(OFFSET($H$3,0,0,'Données projet'!$E$13+1,1))</f>
        <v>218.76600554860482</v>
      </c>
      <c r="CZ57" s="59">
        <f t="shared" si="42"/>
        <v>264.34840059907702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7.9483479273587925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7.9483479273587925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>
        <f>VLOOKUP(A57,'Données projet'!$A$165:$I$185,2,0)</f>
        <v>252.78</v>
      </c>
      <c r="DM57" s="12">
        <f>VLOOKUP(A57,'Données projet'!$A$165:$I$185,9,0)</f>
        <v>13.569999999999999</v>
      </c>
      <c r="DN57" s="12">
        <f t="array" ref="DN57">INDEX(DM:DM,MIN(IF(ISNUMBER(DM57:DM253),ROW(DM57:DM253),"")))</f>
        <v>13.569999999999999</v>
      </c>
      <c r="DO57" s="12">
        <f>IF('Données projet'!$A$166&gt;35,DO56+DN57-DW56,IF(A57&lt;'Données projet'!$A$166,$DL$205^A57,IF(A57='Données projet'!$A$166,'Données projet'!$B$166,DO56+DN57-DW56)))</f>
        <v>252.77999999999969</v>
      </c>
      <c r="DP57" s="17">
        <f>DO57*VLOOKUP('Données projet'!$B$14,Paramètres!$A$1:$I$89,3,0)*VLOOKUP('Données projet'!$B$14,Paramètres!$A$1:$I$89,5,0)</f>
        <v>216.88523999999973</v>
      </c>
      <c r="DQ57" s="13">
        <f t="shared" si="43"/>
        <v>53.437347236163767</v>
      </c>
      <c r="DR57" s="20">
        <f t="shared" si="16"/>
        <v>470.81183943631805</v>
      </c>
      <c r="DS57" s="59">
        <f t="shared" si="17"/>
        <v>764.14517276965137</v>
      </c>
      <c r="DT57" s="59">
        <f ca="1">AVERAGE(OFFSET($DS$3,0,0,'Données projet'!$E$14+1,1))-AVERAGE(OFFSET($H$3,0,0,'Données projet'!$E$14+1,1))</f>
        <v>442.97490100035287</v>
      </c>
      <c r="DU57" s="59">
        <f t="shared" si="44"/>
        <v>334.36243356457049</v>
      </c>
      <c r="DV57" s="15">
        <f>IF(ISNA(VLOOKUP(A57,'Données projet'!$A$165:$I$185,3,0)),0,VLOOKUP(A57,'Données projet'!$A$165:$I$185,3,0))</f>
        <v>3</v>
      </c>
      <c r="DW57" s="15">
        <f>IF(ISNA(VLOOKUP(A57,'Données projet'!$A$165:$I$185,4,0)),0,VLOOKUP(A57,'Données projet'!$A$165:$I$185,4,0))</f>
        <v>57.96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9.375</v>
      </c>
      <c r="EJ57" s="12">
        <f>IF('Données projet'!$A$192&gt;35,EJ56+EI57-ER56,IF(A57&lt;'Données projet'!$A$192,$EG$205^A57,IF(A57='Données projet'!$A$192,'Données projet'!$B$192,EJ56+EI57-ER56)))</f>
        <v>240.74999999999989</v>
      </c>
      <c r="EK57" s="17">
        <f>EJ57*VLOOKUP('Données projet'!$B$15,Paramètres!$A$1:$I$89,3,0)*VLOOKUP('Données projet'!$B$15,Paramètres!$A$1:$I$89,5,0)</f>
        <v>187.78499999999991</v>
      </c>
      <c r="EL57" s="13">
        <f t="shared" si="45"/>
        <v>47.049914090154054</v>
      </c>
      <c r="EM57" s="20">
        <f t="shared" si="19"/>
        <v>409.0041420403515</v>
      </c>
      <c r="EN57" s="59">
        <f t="shared" si="20"/>
        <v>702.33747537368481</v>
      </c>
      <c r="EO57" s="59">
        <f ca="1">AVERAGE(OFFSET($EN$3,0,0,'Données projet'!$E$15+1,1))-AVERAGE(OFFSET($H$3,0,0,'Données projet'!$E$15+1,1))</f>
        <v>288.82868507674738</v>
      </c>
      <c r="EP57" s="59">
        <f t="shared" si="46"/>
        <v>283.48738729114024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19.545838899327393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19.545838899327393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199.13711999999995</v>
      </c>
      <c r="FG57" s="13">
        <f t="shared" si="47"/>
        <v>49.554485124576232</v>
      </c>
      <c r="FH57" s="20">
        <f t="shared" si="22"/>
        <v>433.13787892530354</v>
      </c>
      <c r="FI57" s="59">
        <f t="shared" si="23"/>
        <v>726.4712122586368</v>
      </c>
      <c r="FJ57" s="59">
        <f ca="1">AVERAGE(OFFSET($FI$3,0,0,'Données projet'!$E$16+1,1))-AVERAGE(OFFSET($H$3,0,0,'Données projet'!$E$16+1,1))</f>
        <v>328.55201074501201</v>
      </c>
      <c r="FK57" s="59">
        <f t="shared" si="48"/>
        <v>321.81422611044985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10.511613651787096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10.511613651787096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7.4</v>
      </c>
      <c r="FZ57" s="12">
        <f>IF('Données projet'!$A$244&gt;35,FZ56+FY57-GH56,IF(A57&lt;'Données projet'!$A$244,$FW$205^A57,IF(A57='Données projet'!$A$244,'Données projet'!$B$244,FZ56+FY57-GH56)))</f>
        <v>271.59999999999997</v>
      </c>
      <c r="GA57" s="17">
        <f>FZ57*VLOOKUP('Données projet'!$B$17,Paramètres!$A$1:$I$89,3,0)*VLOOKUP('Données projet'!$B$17,Paramètres!$A$1:$I$89,5,0)</f>
        <v>216.08496</v>
      </c>
      <c r="GB57" s="13">
        <f t="shared" si="49"/>
        <v>53.26308393083157</v>
      </c>
      <c r="GC57" s="20">
        <f t="shared" si="25"/>
        <v>469.11450984619825</v>
      </c>
      <c r="GD57" s="59">
        <f t="shared" si="26"/>
        <v>762.44784317953156</v>
      </c>
      <c r="GE57" s="59">
        <f ca="1">AVERAGE(OFFSET($GD$3,0,0,'Données projet'!$E$17+1,1))-AVERAGE(OFFSET($H$3,0,0,'Données projet'!$E$17+1,1))</f>
        <v>353.37024194969638</v>
      </c>
      <c r="GF57" s="59">
        <f t="shared" si="50"/>
        <v>345.4750813433123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14.058828154765227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14.058828154765227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1.2710188457276673E-13</v>
      </c>
      <c r="P58" s="13">
        <f t="shared" si="33"/>
        <v>1.856866851063998E-12</v>
      </c>
      <c r="Q58" s="20">
        <f t="shared" si="53"/>
        <v>3.4554122145673649E-12</v>
      </c>
      <c r="R58" s="59">
        <f t="shared" si="0"/>
        <v>293.33333333333678</v>
      </c>
      <c r="S58" s="59">
        <f ca="1">AVERAGE(OFFSET($R$3,0,0,'Données projet'!$E$9+1,1))-AVERAGE(OFFSET($H$3,0,0,'Données projet'!$E$9+1,1))</f>
        <v>404.65492118472037</v>
      </c>
      <c r="T58" s="59">
        <f t="shared" si="34"/>
        <v>534.22295841722166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275.40540684167235</v>
      </c>
      <c r="AA58" s="21">
        <f>EXP(-LN(2)/25)*AA57+(1-EXP(-LN(2)/25))/(LN(2)/25)*Calculateur!V58*Calculateur!X58*VLOOKUP('Données projet'!$B$9,Paramètres!$A$1:$I$89,3,0)*0.475*44/12</f>
        <v>71.49641486326118</v>
      </c>
      <c r="AB58" s="21">
        <f>EXP(-LN(2)/2)*AB57+(1-EXP(-LN(2)/2))/(LN(2)/2)*V58*Y58*VLOOKUP('Données projet'!$B$9,Paramètres!$A$1:$I$89,3,0)*0.475*44/12</f>
        <v>29.716491552836523</v>
      </c>
      <c r="AC58" s="22">
        <f t="shared" si="3"/>
        <v>376.61831325777007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16.351249999999993</v>
      </c>
      <c r="AI58" s="13">
        <f>IF('Données projet'!$A$62&gt;35,AI57+AH58-AQ57,IF(A58&lt;'Données projet'!$A$62,$AF$205^A58,IF(A58='Données projet'!$A$62,'Données projet'!$B$62,AI57+AH58-AQ57)))</f>
        <v>345.22624999999982</v>
      </c>
      <c r="AJ58" s="13">
        <f>AI58*VLOOKUP('Données projet'!$B$10,Paramètres!$A$1:$I$89,3,0)*VLOOKUP('Données projet'!$B$10,Paramètres!$A$1:$I$89,5,0)</f>
        <v>161.56588499999992</v>
      </c>
      <c r="AK58" s="13">
        <f t="shared" si="35"/>
        <v>41.195504694677737</v>
      </c>
      <c r="AL58" s="20">
        <f t="shared" si="4"/>
        <v>353.14275371823027</v>
      </c>
      <c r="AM58" s="59">
        <f t="shared" si="5"/>
        <v>646.47608705156358</v>
      </c>
      <c r="AN58" s="59">
        <f ca="1">AVERAGE(OFFSET($AM$3,0,0,'Données projet'!$E$10+1,1))-AVERAGE(OFFSET($H$3,0,0,'Données projet'!$E$10+1,1))</f>
        <v>331.17634116262298</v>
      </c>
      <c r="AO58" s="59">
        <f t="shared" si="36"/>
        <v>286.28916368940605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31.661172643266585</v>
      </c>
      <c r="AW58" s="21">
        <f>EXP(-LN(2)/2)*AW57+(1-EXP(-LN(2)/2))/(LN(2)/2)*AQ58*AT58*VLOOKUP('Données projet'!$B$10,Paramètres!$A$1:$I$89,3,0)*0.475*44/12</f>
        <v>4.6613797441923204</v>
      </c>
      <c r="AX58" s="21">
        <f t="shared" si="6"/>
        <v>36.322552387458906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1.4210854715202004E-13</v>
      </c>
      <c r="BE58" s="13">
        <f>BD58*VLOOKUP('Données projet'!$B$11,Paramètres!$A$1:$I$89,3,0)*VLOOKUP('Données projet'!$B$11,Paramètres!$A$1:$I$89,5,0)</f>
        <v>7.7591266745002952E-14</v>
      </c>
      <c r="BF58" s="13">
        <f t="shared" si="37"/>
        <v>1.2005788606873384E-12</v>
      </c>
      <c r="BG58" s="20">
        <f t="shared" si="7"/>
        <v>2.226146305277994E-12</v>
      </c>
      <c r="BH58" s="59">
        <f t="shared" si="8"/>
        <v>293.33333333333553</v>
      </c>
      <c r="BI58" s="59">
        <f ca="1">AVERAGE(OFFSET($BH$3,0,0,'Données projet'!$E$11+1,1))-AVERAGE(OFFSET($H$3,0,0,'Données projet'!$E$11+1,1))</f>
        <v>165.87377022031535</v>
      </c>
      <c r="BJ58" s="59">
        <f t="shared" si="38"/>
        <v>272.91122662088929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83.534528733712506</v>
      </c>
      <c r="BQ58" s="21">
        <f>EXP(-LN(2)/25)*BQ57+(1-EXP(-LN(2)/25))/(LN(2)/25)*Calculateur!BL58*Calculateur!BN58*VLOOKUP('Données projet'!$B$11,Paramètres!$A$1:$I$89,3,0)*0.475*44/12</f>
        <v>25.458571097617607</v>
      </c>
      <c r="BR58" s="21">
        <f>EXP(-LN(2)/2)*BR57+(1-EXP(-LN(2)/2))/(LN(2)/2)*BL58*BO58*VLOOKUP('Données projet'!$B$11,Paramètres!$A$1:$I$89,3,0)*0.475*44/12</f>
        <v>0.14233413654089461</v>
      </c>
      <c r="BS58" s="22">
        <f t="shared" si="9"/>
        <v>109.13543396787101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13.04</v>
      </c>
      <c r="BY58" s="12">
        <f>IF('Données projet'!$A$114&gt;35,BY57+BX58-CG57,IF(A58&lt;'Données projet'!$A$114,$BV$205^A58,IF(A58='Données projet'!$A$114,'Données projet'!$B$114,BY57+BX58-CG57)))</f>
        <v>283.75000000000006</v>
      </c>
      <c r="BZ58" s="13">
        <f>BY58*VLOOKUP('Données projet'!$B$12,Paramètres!$A$1:$I$89,3,0)*VLOOKUP('Données projet'!$B$12,Paramètres!$A$1:$I$89,5,0)</f>
        <v>256.73700000000002</v>
      </c>
      <c r="CA58" s="13">
        <f t="shared" si="39"/>
        <v>62.026327799283663</v>
      </c>
      <c r="CB58" s="20">
        <f t="shared" si="10"/>
        <v>555.17946258375241</v>
      </c>
      <c r="CC58" s="59">
        <f t="shared" si="11"/>
        <v>848.51279591708567</v>
      </c>
      <c r="CD58" s="59">
        <f ca="1">AVERAGE(OFFSET($CC$3,0,0,'Données projet'!$E$12+1,1))-AVERAGE(OFFSET($H$3,0,0,'Données projet'!$E$12+1,1))</f>
        <v>639.86968831634636</v>
      </c>
      <c r="CE58" s="59">
        <f t="shared" si="40"/>
        <v>218.1556771431184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151.91999999999999</v>
      </c>
      <c r="CR58" s="12">
        <f>VLOOKUP(A58,'Données projet'!$A$139:$I$159,9,0)</f>
        <v>4.9979999999999958</v>
      </c>
      <c r="CS58" s="12">
        <f t="array" ref="CS58">INDEX(CR:CR,MIN(IF(ISNUMBER(CR58:CR254),ROW(CR58:CR254),"")))</f>
        <v>4.9979999999999958</v>
      </c>
      <c r="CT58" s="12">
        <f>IF('Données projet'!$A$140&gt;35,CT57+CS58-DB57,IF(A58&lt;'Données projet'!$A$140,$CQ$205^A58,IF(A58='Données projet'!$A$140,'Données projet'!$B$140,CT57+CS58-DB57)))</f>
        <v>151.92000000000002</v>
      </c>
      <c r="CU58" s="17">
        <f>CT58*VLOOKUP('Données projet'!$B$13,Paramètres!$A$1:$I$89,3,0)*VLOOKUP('Données projet'!$B$13,Paramètres!$A$1:$I$89,5,0)</f>
        <v>132.71731200000005</v>
      </c>
      <c r="CV58" s="13">
        <f t="shared" si="41"/>
        <v>34.623492388183855</v>
      </c>
      <c r="CW58" s="20">
        <f t="shared" si="13"/>
        <v>291.45190097608696</v>
      </c>
      <c r="CX58" s="59">
        <f t="shared" si="14"/>
        <v>584.78523430942028</v>
      </c>
      <c r="CY58" s="59">
        <f ca="1">AVERAGE(OFFSET($CX$3,0,0,'Données projet'!$E$13+1,1))-AVERAGE(OFFSET($H$3,0,0,'Données projet'!$E$13+1,1))</f>
        <v>218.76600554860482</v>
      </c>
      <c r="CZ58" s="59">
        <f t="shared" si="42"/>
        <v>264.34840059907702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18.59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10.880416565821402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10.880416565821402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12.903333333333332</v>
      </c>
      <c r="DO58" s="12">
        <f>IF('Données projet'!$A$166&gt;35,DO57+DN58-DW57,IF(A58&lt;'Données projet'!$A$166,$DL$205^A58,IF(A58='Données projet'!$A$166,'Données projet'!$B$166,DO57+DN58-DW57)))</f>
        <v>207.72333333333299</v>
      </c>
      <c r="DP58" s="17">
        <f>DO58*VLOOKUP('Données projet'!$B$14,Paramètres!$A$1:$I$89,3,0)*VLOOKUP('Données projet'!$B$14,Paramètres!$A$1:$I$89,5,0)</f>
        <v>178.22661999999971</v>
      </c>
      <c r="DQ58" s="13">
        <f t="shared" si="43"/>
        <v>44.927414726447012</v>
      </c>
      <c r="DR58" s="20">
        <f t="shared" si="16"/>
        <v>388.65994381522802</v>
      </c>
      <c r="DS58" s="59">
        <f t="shared" si="17"/>
        <v>681.99327714856133</v>
      </c>
      <c r="DT58" s="59">
        <f ca="1">AVERAGE(OFFSET($DS$3,0,0,'Données projet'!$E$14+1,1))-AVERAGE(OFFSET($H$3,0,0,'Données projet'!$E$14+1,1))</f>
        <v>442.97490100035287</v>
      </c>
      <c r="DU58" s="59">
        <f t="shared" si="44"/>
        <v>334.36243356457049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9.375</v>
      </c>
      <c r="EJ58" s="12">
        <f>IF('Données projet'!$A$192&gt;35,EJ57+EI58-ER57,IF(A58&lt;'Données projet'!$A$192,$EG$205^A58,IF(A58='Données projet'!$A$192,'Données projet'!$B$192,EJ57+EI58-ER57)))</f>
        <v>250.12499999999989</v>
      </c>
      <c r="EK58" s="17">
        <f>EJ58*VLOOKUP('Données projet'!$B$15,Paramètres!$A$1:$I$89,3,0)*VLOOKUP('Données projet'!$B$15,Paramètres!$A$1:$I$89,5,0)</f>
        <v>195.09749999999991</v>
      </c>
      <c r="EL58" s="13">
        <f t="shared" si="45"/>
        <v>48.66519532492579</v>
      </c>
      <c r="EM58" s="20">
        <f t="shared" si="19"/>
        <v>424.55336102424553</v>
      </c>
      <c r="EN58" s="59">
        <f t="shared" si="20"/>
        <v>717.88669435757879</v>
      </c>
      <c r="EO58" s="59">
        <f ca="1">AVERAGE(OFFSET($EN$3,0,0,'Données projet'!$E$15+1,1))-AVERAGE(OFFSET($H$3,0,0,'Données projet'!$E$15+1,1))</f>
        <v>288.82868507674738</v>
      </c>
      <c r="EP58" s="59">
        <f t="shared" si="46"/>
        <v>283.48738729114024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19.162556920296133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19.162556920296133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204.56279999999995</v>
      </c>
      <c r="FG58" s="13">
        <f t="shared" si="47"/>
        <v>50.74561278586372</v>
      </c>
      <c r="FH58" s="20">
        <f t="shared" si="22"/>
        <v>444.66215226871259</v>
      </c>
      <c r="FI58" s="59">
        <f t="shared" si="23"/>
        <v>737.99548560204585</v>
      </c>
      <c r="FJ58" s="59">
        <f ca="1">AVERAGE(OFFSET($FI$3,0,0,'Données projet'!$E$16+1,1))-AVERAGE(OFFSET($H$3,0,0,'Données projet'!$E$16+1,1))</f>
        <v>328.55201074501201</v>
      </c>
      <c r="FK58" s="59">
        <f t="shared" si="48"/>
        <v>321.81422611044985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0.17200000000000001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12.536068307543635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12.536068307543635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279</v>
      </c>
      <c r="FX58" s="12">
        <f>VLOOKUP(A58,'Données projet'!$A$243:$I$263,9,0)</f>
        <v>7.4</v>
      </c>
      <c r="FY58" s="12">
        <f t="array" ref="FY58">INDEX(FX:FX,MIN(IF(ISNUMBER(FX58:FX254),ROW(FX58:FX254),"")))</f>
        <v>7.4</v>
      </c>
      <c r="FZ58" s="12">
        <f>IF('Données projet'!$A$244&gt;35,FZ57+FY58-GH57,IF(A58&lt;'Données projet'!$A$244,$FW$205^A58,IF(A58='Données projet'!$A$244,'Données projet'!$B$244,FZ57+FY58-GH57)))</f>
        <v>278.99999999999994</v>
      </c>
      <c r="GA58" s="17">
        <f>FZ58*VLOOKUP('Données projet'!$B$17,Paramètres!$A$1:$I$89,3,0)*VLOOKUP('Données projet'!$B$17,Paramètres!$A$1:$I$89,5,0)</f>
        <v>221.97239999999996</v>
      </c>
      <c r="GB58" s="13">
        <f t="shared" si="49"/>
        <v>54.543354171476821</v>
      </c>
      <c r="GC58" s="20">
        <f t="shared" si="25"/>
        <v>481.59827184865543</v>
      </c>
      <c r="GD58" s="59">
        <f t="shared" si="26"/>
        <v>774.93160518198874</v>
      </c>
      <c r="GE58" s="59">
        <f ca="1">AVERAGE(OFFSET($GD$3,0,0,'Données projet'!$E$17+1,1))-AVERAGE(OFFSET($H$3,0,0,'Données projet'!$E$17+1,1))</f>
        <v>353.37024194969638</v>
      </c>
      <c r="GF58" s="59">
        <f t="shared" si="50"/>
        <v>345.4750813433123</v>
      </c>
      <c r="GG58" s="15">
        <f>IF(ISNA(VLOOKUP(A58,'Données projet'!$A$243:$I$263,3,0)),0,VLOOKUP(A58,'Données projet'!$A$243:$I$263,3,0))</f>
        <v>10</v>
      </c>
      <c r="GH58" s="15">
        <f>IF(ISNA(VLOOKUP(A58,'Données projet'!$A$243:$I$263,4,0)),0,VLOOKUP(A58,'Données projet'!$A$243:$I$263,4,0))</f>
        <v>16</v>
      </c>
      <c r="GI58" s="16">
        <f>IF(ISNA(VLOOKUP(A58,'Données projet'!$A$243:$I$263,5,0)),0%,VLOOKUP(A58,'Données projet'!$A$243:$I$263,5,0)*VLOOKUP('Données projet'!$B$17,Paramètres!$A$1:$I$89,7,0))</f>
        <v>0.21200000000000002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16.766448607268902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16.766448607268902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1.2710188457276673E-13</v>
      </c>
      <c r="P59" s="13">
        <f t="shared" si="33"/>
        <v>1.856866851063998E-12</v>
      </c>
      <c r="Q59" s="20">
        <f t="shared" si="53"/>
        <v>3.4554122145673649E-12</v>
      </c>
      <c r="R59" s="59">
        <f t="shared" si="0"/>
        <v>293.33333333333678</v>
      </c>
      <c r="S59" s="59">
        <f ca="1">AVERAGE(OFFSET($R$3,0,0,'Données projet'!$E$9+1,1))-AVERAGE(OFFSET($H$3,0,0,'Données projet'!$E$9+1,1))</f>
        <v>404.65492118472037</v>
      </c>
      <c r="T59" s="59">
        <f t="shared" si="34"/>
        <v>534.22295841722166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270.00487479421861</v>
      </c>
      <c r="AA59" s="21">
        <f>EXP(-LN(2)/25)*AA58+(1-EXP(-LN(2)/25))/(LN(2)/25)*Calculateur!V59*Calculateur!X59*VLOOKUP('Données projet'!$B$9,Paramètres!$A$1:$I$89,3,0)*0.475*44/12</f>
        <v>69.54134163899225</v>
      </c>
      <c r="AB59" s="21">
        <f>EXP(-LN(2)/2)*AB58+(1-EXP(-LN(2)/2))/(LN(2)/2)*V59*Y59*VLOOKUP('Données projet'!$B$9,Paramètres!$A$1:$I$89,3,0)*0.475*44/12</f>
        <v>21.012732690083464</v>
      </c>
      <c r="AC59" s="22">
        <f t="shared" si="3"/>
        <v>360.55894912329433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16.351249999999993</v>
      </c>
      <c r="AI59" s="13">
        <f>IF('Données projet'!$A$62&gt;35,AI58+AH59-AQ58,IF(A59&lt;'Données projet'!$A$62,$AF$205^A59,IF(A59='Données projet'!$A$62,'Données projet'!$B$62,AI58+AH59-AQ58)))</f>
        <v>361.57749999999982</v>
      </c>
      <c r="AJ59" s="13">
        <f>AI59*VLOOKUP('Données projet'!$B$10,Paramètres!$A$1:$I$89,3,0)*VLOOKUP('Données projet'!$B$10,Paramètres!$A$1:$I$89,5,0)</f>
        <v>169.2182699999999</v>
      </c>
      <c r="AK59" s="13">
        <f t="shared" si="35"/>
        <v>42.914895133049136</v>
      </c>
      <c r="AL59" s="20">
        <f t="shared" si="4"/>
        <v>369.46526260672704</v>
      </c>
      <c r="AM59" s="59">
        <f t="shared" si="5"/>
        <v>662.7985959400603</v>
      </c>
      <c r="AN59" s="59">
        <f ca="1">AVERAGE(OFFSET($AM$3,0,0,'Données projet'!$E$10+1,1))-AVERAGE(OFFSET($H$3,0,0,'Données projet'!$E$10+1,1))</f>
        <v>331.17634116262298</v>
      </c>
      <c r="AO59" s="59">
        <f t="shared" si="36"/>
        <v>286.28916368940605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30.795396212347754</v>
      </c>
      <c r="AW59" s="21">
        <f>EXP(-LN(2)/2)*AW58+(1-EXP(-LN(2)/2))/(LN(2)/2)*AQ59*AT59*VLOOKUP('Données projet'!$B$10,Paramètres!$A$1:$I$89,3,0)*0.475*44/12</f>
        <v>3.296093226804004</v>
      </c>
      <c r="AX59" s="21">
        <f t="shared" si="6"/>
        <v>34.091489439151758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1.4210854715202004E-13</v>
      </c>
      <c r="BE59" s="13">
        <f>BD59*VLOOKUP('Données projet'!$B$11,Paramètres!$A$1:$I$89,3,0)*VLOOKUP('Données projet'!$B$11,Paramètres!$A$1:$I$89,5,0)</f>
        <v>7.7591266745002952E-14</v>
      </c>
      <c r="BF59" s="13">
        <f t="shared" si="37"/>
        <v>1.2005788606873384E-12</v>
      </c>
      <c r="BG59" s="20">
        <f t="shared" si="7"/>
        <v>2.226146305277994E-12</v>
      </c>
      <c r="BH59" s="59">
        <f t="shared" si="8"/>
        <v>293.33333333333553</v>
      </c>
      <c r="BI59" s="59">
        <f ca="1">AVERAGE(OFFSET($BH$3,0,0,'Données projet'!$E$11+1,1))-AVERAGE(OFFSET($H$3,0,0,'Données projet'!$E$11+1,1))</f>
        <v>165.87377022031535</v>
      </c>
      <c r="BJ59" s="59">
        <f t="shared" si="38"/>
        <v>272.91122662088929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81.896467576275938</v>
      </c>
      <c r="BQ59" s="21">
        <f>EXP(-LN(2)/25)*BQ58+(1-EXP(-LN(2)/25))/(LN(2)/25)*Calculateur!BL59*Calculateur!BN59*VLOOKUP('Données projet'!$B$11,Paramètres!$A$1:$I$89,3,0)*0.475*44/12</f>
        <v>24.762405132145187</v>
      </c>
      <c r="BR59" s="21">
        <f>EXP(-LN(2)/2)*BR58+(1-EXP(-LN(2)/2))/(LN(2)/2)*BL59*BO59*VLOOKUP('Données projet'!$B$11,Paramètres!$A$1:$I$89,3,0)*0.475*44/12</f>
        <v>0.10064543314239854</v>
      </c>
      <c r="BS59" s="22">
        <f t="shared" si="9"/>
        <v>106.75951814156353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13.04</v>
      </c>
      <c r="BY59" s="12">
        <f>IF('Données projet'!$A$114&gt;35,BY58+BX59-CG58,IF(A59&lt;'Données projet'!$A$114,$BV$205^A59,IF(A59='Données projet'!$A$114,'Données projet'!$B$114,BY58+BX59-CG58)))</f>
        <v>296.79000000000008</v>
      </c>
      <c r="BZ59" s="13">
        <f>BY59*VLOOKUP('Données projet'!$B$12,Paramètres!$A$1:$I$89,3,0)*VLOOKUP('Données projet'!$B$12,Paramètres!$A$1:$I$89,5,0)</f>
        <v>268.53559200000007</v>
      </c>
      <c r="CA59" s="13">
        <f t="shared" si="39"/>
        <v>64.538386649903643</v>
      </c>
      <c r="CB59" s="20">
        <f t="shared" si="10"/>
        <v>580.10384614858219</v>
      </c>
      <c r="CC59" s="59">
        <f t="shared" si="11"/>
        <v>873.43717948191556</v>
      </c>
      <c r="CD59" s="59">
        <f ca="1">AVERAGE(OFFSET($CC$3,0,0,'Données projet'!$E$12+1,1))-AVERAGE(OFFSET($H$3,0,0,'Données projet'!$E$12+1,1))</f>
        <v>639.86968831634636</v>
      </c>
      <c r="CE59" s="59">
        <f t="shared" si="40"/>
        <v>218.1556771431184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4.3600000000000021</v>
      </c>
      <c r="CT59" s="12">
        <f>IF('Données projet'!$A$140&gt;35,CT58+CS59-DB58,IF(A59&lt;'Données projet'!$A$140,$CQ$205^A59,IF(A59='Données projet'!$A$140,'Données projet'!$B$140,CT58+CS59-DB58)))</f>
        <v>137.69000000000003</v>
      </c>
      <c r="CU59" s="17">
        <f>CT59*VLOOKUP('Données projet'!$B$13,Paramètres!$A$1:$I$89,3,0)*VLOOKUP('Données projet'!$B$13,Paramètres!$A$1:$I$89,5,0)</f>
        <v>120.28598400000004</v>
      </c>
      <c r="CV59" s="13">
        <f t="shared" si="41"/>
        <v>31.741691122339187</v>
      </c>
      <c r="CW59" s="20">
        <f t="shared" si="13"/>
        <v>264.78153417140743</v>
      </c>
      <c r="CX59" s="59">
        <f t="shared" si="14"/>
        <v>558.11486750474069</v>
      </c>
      <c r="CY59" s="59">
        <f ca="1">AVERAGE(OFFSET($CX$3,0,0,'Données projet'!$E$13+1,1))-AVERAGE(OFFSET($H$3,0,0,'Données projet'!$E$13+1,1))</f>
        <v>218.76600554860482</v>
      </c>
      <c r="CZ59" s="59">
        <f t="shared" si="42"/>
        <v>264.34840059907702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10.667058233364459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10.667058233364459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12.903333333333332</v>
      </c>
      <c r="DO59" s="12">
        <f>IF('Données projet'!$A$166&gt;35,DO58+DN59-DW58,IF(A59&lt;'Données projet'!$A$166,$DL$205^A59,IF(A59='Données projet'!$A$166,'Données projet'!$B$166,DO58+DN59-DW58)))</f>
        <v>220.62666666666632</v>
      </c>
      <c r="DP59" s="17">
        <f>DO59*VLOOKUP('Données projet'!$B$14,Paramètres!$A$1:$I$89,3,0)*VLOOKUP('Données projet'!$B$14,Paramètres!$A$1:$I$89,5,0)</f>
        <v>189.29767999999973</v>
      </c>
      <c r="DQ59" s="13">
        <f t="shared" si="43"/>
        <v>47.384646420737042</v>
      </c>
      <c r="DR59" s="20">
        <f t="shared" si="16"/>
        <v>412.2217185161166</v>
      </c>
      <c r="DS59" s="59">
        <f t="shared" si="17"/>
        <v>705.55505184944991</v>
      </c>
      <c r="DT59" s="59">
        <f ca="1">AVERAGE(OFFSET($DS$3,0,0,'Données projet'!$E$14+1,1))-AVERAGE(OFFSET($H$3,0,0,'Données projet'!$E$14+1,1))</f>
        <v>442.97490100035287</v>
      </c>
      <c r="DU59" s="59">
        <f t="shared" si="44"/>
        <v>334.36243356457049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9.375</v>
      </c>
      <c r="EJ59" s="12">
        <f>IF('Données projet'!$A$192&gt;35,EJ58+EI59-ER58,IF(A59&lt;'Données projet'!$A$192,$EG$205^A59,IF(A59='Données projet'!$A$192,'Données projet'!$B$192,EJ58+EI59-ER58)))</f>
        <v>259.49999999999989</v>
      </c>
      <c r="EK59" s="17">
        <f>EJ59*VLOOKUP('Données projet'!$B$15,Paramètres!$A$1:$I$89,3,0)*VLOOKUP('Données projet'!$B$15,Paramètres!$A$1:$I$89,5,0)</f>
        <v>202.40999999999991</v>
      </c>
      <c r="EL59" s="13">
        <f t="shared" si="45"/>
        <v>50.273442991661817</v>
      </c>
      <c r="EM59" s="20">
        <f t="shared" si="19"/>
        <v>440.09032987714414</v>
      </c>
      <c r="EN59" s="59">
        <f t="shared" si="20"/>
        <v>733.42366321047746</v>
      </c>
      <c r="EO59" s="59">
        <f ca="1">AVERAGE(OFFSET($EN$3,0,0,'Données projet'!$E$15+1,1))-AVERAGE(OFFSET($H$3,0,0,'Données projet'!$E$15+1,1))</f>
        <v>288.82868507674738</v>
      </c>
      <c r="EP59" s="59">
        <f t="shared" si="46"/>
        <v>283.48738729114024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18.786790867094751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18.786790867094751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197.37743999999995</v>
      </c>
      <c r="FG59" s="13">
        <f t="shared" si="47"/>
        <v>49.167366395757924</v>
      </c>
      <c r="FH59" s="20">
        <f t="shared" si="22"/>
        <v>429.39887113927824</v>
      </c>
      <c r="FI59" s="59">
        <f t="shared" si="23"/>
        <v>722.73220447261156</v>
      </c>
      <c r="FJ59" s="59">
        <f ca="1">AVERAGE(OFFSET($FI$3,0,0,'Données projet'!$E$16+1,1))-AVERAGE(OFFSET($H$3,0,0,'Données projet'!$E$16+1,1))</f>
        <v>328.55201074501201</v>
      </c>
      <c r="FK59" s="59">
        <f t="shared" si="48"/>
        <v>321.81422611044985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12.290243654279369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12.290243654279369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6.2</v>
      </c>
      <c r="FZ59" s="12">
        <f>IF('Données projet'!$A$244&gt;35,FZ58+FY59-GH58,IF(A59&lt;'Données projet'!$A$244,$FW$205^A59,IF(A59='Données projet'!$A$244,'Données projet'!$B$244,FZ58+FY59-GH58)))</f>
        <v>269.19999999999993</v>
      </c>
      <c r="GA59" s="17">
        <f>FZ59*VLOOKUP('Données projet'!$B$17,Paramètres!$A$1:$I$89,3,0)*VLOOKUP('Données projet'!$B$17,Paramètres!$A$1:$I$89,5,0)</f>
        <v>214.17551999999998</v>
      </c>
      <c r="GB59" s="13">
        <f t="shared" si="49"/>
        <v>52.846993696165399</v>
      </c>
      <c r="GC59" s="20">
        <f t="shared" si="25"/>
        <v>465.06421135415468</v>
      </c>
      <c r="GD59" s="59">
        <f t="shared" si="26"/>
        <v>758.39754468748799</v>
      </c>
      <c r="GE59" s="59">
        <f ca="1">AVERAGE(OFFSET($GD$3,0,0,'Données projet'!$E$17+1,1))-AVERAGE(OFFSET($H$3,0,0,'Données projet'!$E$17+1,1))</f>
        <v>353.37024194969638</v>
      </c>
      <c r="GF59" s="59">
        <f t="shared" si="50"/>
        <v>345.4750813433123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16.437668776604223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16.437668776604223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1.2710188457276673E-13</v>
      </c>
      <c r="P60" s="13">
        <f t="shared" si="33"/>
        <v>1.856866851063998E-12</v>
      </c>
      <c r="Q60" s="20">
        <f t="shared" si="53"/>
        <v>3.4554122145673649E-12</v>
      </c>
      <c r="R60" s="59">
        <f t="shared" si="0"/>
        <v>293.33333333333678</v>
      </c>
      <c r="S60" s="59">
        <f ca="1">AVERAGE(OFFSET($R$3,0,0,'Données projet'!$E$9+1,1))-AVERAGE(OFFSET($H$3,0,0,'Données projet'!$E$9+1,1))</f>
        <v>404.65492118472037</v>
      </c>
      <c r="T60" s="59">
        <f t="shared" si="34"/>
        <v>534.22295841722166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264.71024388621612</v>
      </c>
      <c r="AA60" s="21">
        <f>EXP(-LN(2)/25)*AA59+(1-EXP(-LN(2)/25))/(LN(2)/25)*Calculateur!V60*Calculateur!X60*VLOOKUP('Données projet'!$B$9,Paramètres!$A$1:$I$89,3,0)*0.475*44/12</f>
        <v>67.639729994853795</v>
      </c>
      <c r="AB60" s="21">
        <f>EXP(-LN(2)/2)*AB59+(1-EXP(-LN(2)/2))/(LN(2)/2)*V60*Y60*VLOOKUP('Données projet'!$B$9,Paramètres!$A$1:$I$89,3,0)*0.475*44/12</f>
        <v>14.858245776418263</v>
      </c>
      <c r="AC60" s="22">
        <f t="shared" si="3"/>
        <v>347.20821965748814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16.351249999999993</v>
      </c>
      <c r="AI60" s="13">
        <f>IF('Données projet'!$A$62&gt;35,AI59+AH60-AQ59,IF(A60&lt;'Données projet'!$A$62,$AF$205^A60,IF(A60='Données projet'!$A$62,'Données projet'!$B$62,AI59+AH60-AQ59)))</f>
        <v>377.92874999999981</v>
      </c>
      <c r="AJ60" s="13">
        <f>AI60*VLOOKUP('Données projet'!$B$10,Paramètres!$A$1:$I$89,3,0)*VLOOKUP('Données projet'!$B$10,Paramètres!$A$1:$I$89,5,0)</f>
        <v>176.87065499999989</v>
      </c>
      <c r="AK60" s="13">
        <f t="shared" si="35"/>
        <v>44.625255506871156</v>
      </c>
      <c r="AL60" s="20">
        <f t="shared" si="4"/>
        <v>385.77204413280037</v>
      </c>
      <c r="AM60" s="59">
        <f t="shared" si="5"/>
        <v>679.10537746613363</v>
      </c>
      <c r="AN60" s="59">
        <f ca="1">AVERAGE(OFFSET($AM$3,0,0,'Données projet'!$E$10+1,1))-AVERAGE(OFFSET($H$3,0,0,'Données projet'!$E$10+1,1))</f>
        <v>331.17634116262298</v>
      </c>
      <c r="AO60" s="59">
        <f t="shared" si="36"/>
        <v>286.28916368940605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29.953294483461601</v>
      </c>
      <c r="AW60" s="21">
        <f>EXP(-LN(2)/2)*AW59+(1-EXP(-LN(2)/2))/(LN(2)/2)*AQ60*AT60*VLOOKUP('Données projet'!$B$10,Paramètres!$A$1:$I$89,3,0)*0.475*44/12</f>
        <v>2.3306898720961602</v>
      </c>
      <c r="AX60" s="21">
        <f t="shared" si="6"/>
        <v>32.283984355557763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1.4210854715202004E-13</v>
      </c>
      <c r="BE60" s="13">
        <f>BD60*VLOOKUP('Données projet'!$B$11,Paramètres!$A$1:$I$89,3,0)*VLOOKUP('Données projet'!$B$11,Paramètres!$A$1:$I$89,5,0)</f>
        <v>7.7591266745002952E-14</v>
      </c>
      <c r="BF60" s="13">
        <f t="shared" si="37"/>
        <v>1.2005788606873384E-12</v>
      </c>
      <c r="BG60" s="20">
        <f t="shared" si="7"/>
        <v>2.226146305277994E-12</v>
      </c>
      <c r="BH60" s="59">
        <f t="shared" si="8"/>
        <v>293.33333333333553</v>
      </c>
      <c r="BI60" s="59">
        <f ca="1">AVERAGE(OFFSET($BH$3,0,0,'Données projet'!$E$11+1,1))-AVERAGE(OFFSET($H$3,0,0,'Données projet'!$E$11+1,1))</f>
        <v>165.87377022031535</v>
      </c>
      <c r="BJ60" s="59">
        <f t="shared" si="38"/>
        <v>272.91122662088929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80.290527799018051</v>
      </c>
      <c r="BQ60" s="21">
        <f>EXP(-LN(2)/25)*BQ59+(1-EXP(-LN(2)/25))/(LN(2)/25)*Calculateur!BL60*Calculateur!BN60*VLOOKUP('Données projet'!$B$11,Paramètres!$A$1:$I$89,3,0)*0.475*44/12</f>
        <v>24.085275861608388</v>
      </c>
      <c r="BR60" s="21">
        <f>EXP(-LN(2)/2)*BR59+(1-EXP(-LN(2)/2))/(LN(2)/2)*BL60*BO60*VLOOKUP('Données projet'!$B$11,Paramètres!$A$1:$I$89,3,0)*0.475*44/12</f>
        <v>7.1167068270447303E-2</v>
      </c>
      <c r="BS60" s="22">
        <f t="shared" si="9"/>
        <v>104.44697072889689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13.04</v>
      </c>
      <c r="BY60" s="12">
        <f>IF('Données projet'!$A$114&gt;35,BY59+BX60-CG59,IF(A60&lt;'Données projet'!$A$114,$BV$205^A60,IF(A60='Données projet'!$A$114,'Données projet'!$B$114,BY59+BX60-CG59)))</f>
        <v>309.8300000000001</v>
      </c>
      <c r="BZ60" s="13">
        <f>BY60*VLOOKUP('Données projet'!$B$12,Paramètres!$A$1:$I$89,3,0)*VLOOKUP('Données projet'!$B$12,Paramètres!$A$1:$I$89,5,0)</f>
        <v>280.33418400000005</v>
      </c>
      <c r="CA60" s="13">
        <f t="shared" si="39"/>
        <v>67.037626663507893</v>
      </c>
      <c r="CB60" s="20">
        <f t="shared" si="10"/>
        <v>605.00590357227645</v>
      </c>
      <c r="CC60" s="59">
        <f t="shared" si="11"/>
        <v>898.33923690560982</v>
      </c>
      <c r="CD60" s="59">
        <f ca="1">AVERAGE(OFFSET($CC$3,0,0,'Données projet'!$E$12+1,1))-AVERAGE(OFFSET($H$3,0,0,'Données projet'!$E$12+1,1))</f>
        <v>639.86968831634636</v>
      </c>
      <c r="CE60" s="59">
        <f t="shared" si="40"/>
        <v>218.1556771431184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4.3600000000000021</v>
      </c>
      <c r="CT60" s="12">
        <f>IF('Données projet'!$A$140&gt;35,CT59+CS60-DB59,IF(A60&lt;'Données projet'!$A$140,$CQ$205^A60,IF(A60='Données projet'!$A$140,'Données projet'!$B$140,CT59+CS60-DB59)))</f>
        <v>142.05000000000004</v>
      </c>
      <c r="CU60" s="17">
        <f>CT60*VLOOKUP('Données projet'!$B$13,Paramètres!$A$1:$I$89,3,0)*VLOOKUP('Données projet'!$B$13,Paramètres!$A$1:$I$89,5,0)</f>
        <v>124.09488000000005</v>
      </c>
      <c r="CV60" s="13">
        <f t="shared" si="41"/>
        <v>32.628189697029903</v>
      </c>
      <c r="CW60" s="20">
        <f t="shared" si="13"/>
        <v>272.95934638899382</v>
      </c>
      <c r="CX60" s="59">
        <f t="shared" si="14"/>
        <v>566.29267972232719</v>
      </c>
      <c r="CY60" s="59">
        <f ca="1">AVERAGE(OFFSET($CX$3,0,0,'Données projet'!$E$13+1,1))-AVERAGE(OFFSET($H$3,0,0,'Données projet'!$E$13+1,1))</f>
        <v>218.76600554860482</v>
      </c>
      <c r="CZ60" s="59">
        <f t="shared" si="42"/>
        <v>264.34840059907702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10.457883727671264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10.457883727671264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12.903333333333332</v>
      </c>
      <c r="DO60" s="12">
        <f>IF('Données projet'!$A$166&gt;35,DO59+DN60-DW59,IF(A60&lt;'Données projet'!$A$166,$DL$205^A60,IF(A60='Données projet'!$A$166,'Données projet'!$B$166,DO59+DN60-DW59)))</f>
        <v>233.52999999999966</v>
      </c>
      <c r="DP60" s="17">
        <f>DO60*VLOOKUP('Données projet'!$B$14,Paramètres!$A$1:$I$89,3,0)*VLOOKUP('Données projet'!$B$14,Paramètres!$A$1:$I$89,5,0)</f>
        <v>200.36873999999972</v>
      </c>
      <c r="DQ60" s="13">
        <f t="shared" si="43"/>
        <v>49.825196927057348</v>
      </c>
      <c r="DR60" s="20">
        <f t="shared" si="16"/>
        <v>435.75444014795767</v>
      </c>
      <c r="DS60" s="59">
        <f t="shared" si="17"/>
        <v>729.08777348129092</v>
      </c>
      <c r="DT60" s="59">
        <f ca="1">AVERAGE(OFFSET($DS$3,0,0,'Données projet'!$E$14+1,1))-AVERAGE(OFFSET($H$3,0,0,'Données projet'!$E$14+1,1))</f>
        <v>442.97490100035287</v>
      </c>
      <c r="DU60" s="59">
        <f t="shared" si="44"/>
        <v>334.36243356457049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9.375</v>
      </c>
      <c r="EJ60" s="12">
        <f>IF('Données projet'!$A$192&gt;35,EJ59+EI60-ER59,IF(A60&lt;'Données projet'!$A$192,$EG$205^A60,IF(A60='Données projet'!$A$192,'Données projet'!$B$192,EJ59+EI60-ER59)))</f>
        <v>268.87499999999989</v>
      </c>
      <c r="EK60" s="17">
        <f>EJ60*VLOOKUP('Données projet'!$B$15,Paramètres!$A$1:$I$89,3,0)*VLOOKUP('Données projet'!$B$15,Paramètres!$A$1:$I$89,5,0)</f>
        <v>209.72249999999991</v>
      </c>
      <c r="EL60" s="13">
        <f t="shared" si="45"/>
        <v>51.874940300502246</v>
      </c>
      <c r="EM60" s="20">
        <f t="shared" si="19"/>
        <v>455.61554185670792</v>
      </c>
      <c r="EN60" s="59">
        <f t="shared" si="20"/>
        <v>748.94887519004124</v>
      </c>
      <c r="EO60" s="59">
        <f ca="1">AVERAGE(OFFSET($EN$3,0,0,'Données projet'!$E$15+1,1))-AVERAGE(OFFSET($H$3,0,0,'Données projet'!$E$15+1,1))</f>
        <v>288.82868507674738</v>
      </c>
      <c r="EP60" s="59">
        <f t="shared" si="46"/>
        <v>283.48738729114024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18.418393357001989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18.418393357001989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201.92327999999995</v>
      </c>
      <c r="FG60" s="13">
        <f t="shared" si="47"/>
        <v>50.166610737265309</v>
      </c>
      <c r="FH60" s="20">
        <f t="shared" si="22"/>
        <v>439.05655970073695</v>
      </c>
      <c r="FI60" s="59">
        <f t="shared" si="23"/>
        <v>732.38989303407027</v>
      </c>
      <c r="FJ60" s="59">
        <f ca="1">AVERAGE(OFFSET($FI$3,0,0,'Données projet'!$E$16+1,1))-AVERAGE(OFFSET($H$3,0,0,'Données projet'!$E$16+1,1))</f>
        <v>328.55201074501201</v>
      </c>
      <c r="FK60" s="59">
        <f t="shared" si="48"/>
        <v>321.81422611044985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12.049239472527381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12.049239472527381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6.2</v>
      </c>
      <c r="FZ60" s="12">
        <f>IF('Données projet'!$A$244&gt;35,FZ59+FY60-GH59,IF(A60&lt;'Données projet'!$A$244,$FW$205^A60,IF(A60='Données projet'!$A$244,'Données projet'!$B$244,FZ59+FY60-GH59)))</f>
        <v>275.39999999999992</v>
      </c>
      <c r="GA60" s="17">
        <f>FZ60*VLOOKUP('Données projet'!$B$17,Paramètres!$A$1:$I$89,3,0)*VLOOKUP('Données projet'!$B$17,Paramètres!$A$1:$I$89,5,0)</f>
        <v>219.10823999999994</v>
      </c>
      <c r="GB60" s="13">
        <f t="shared" si="49"/>
        <v>53.921020297295854</v>
      </c>
      <c r="GC60" s="20">
        <f t="shared" si="25"/>
        <v>475.52596168445672</v>
      </c>
      <c r="GD60" s="59">
        <f t="shared" si="26"/>
        <v>768.85929501779003</v>
      </c>
      <c r="GE60" s="59">
        <f ca="1">AVERAGE(OFFSET($GD$3,0,0,'Données projet'!$E$17+1,1))-AVERAGE(OFFSET($H$3,0,0,'Données projet'!$E$17+1,1))</f>
        <v>353.37024194969638</v>
      </c>
      <c r="GF60" s="59">
        <f t="shared" si="50"/>
        <v>345.4750813433123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16.115336117882983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16.115336117882983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1.2710188457276673E-13</v>
      </c>
      <c r="P61" s="13">
        <f t="shared" si="33"/>
        <v>1.856866851063998E-12</v>
      </c>
      <c r="Q61" s="20">
        <f t="shared" si="53"/>
        <v>3.4554122145673649E-12</v>
      </c>
      <c r="R61" s="59">
        <f t="shared" si="0"/>
        <v>293.33333333333678</v>
      </c>
      <c r="S61" s="59">
        <f ca="1">AVERAGE(OFFSET($R$3,0,0,'Données projet'!$E$9+1,1))-AVERAGE(OFFSET($H$3,0,0,'Données projet'!$E$9+1,1))</f>
        <v>404.65492118472037</v>
      </c>
      <c r="T61" s="59">
        <f t="shared" si="34"/>
        <v>534.22295841722166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259.51943746091359</v>
      </c>
      <c r="AA61" s="21">
        <f>EXP(-LN(2)/25)*AA60+(1-EXP(-LN(2)/25))/(LN(2)/25)*Calculateur!V61*Calculateur!X61*VLOOKUP('Données projet'!$B$9,Paramètres!$A$1:$I$89,3,0)*0.475*44/12</f>
        <v>65.790118021125707</v>
      </c>
      <c r="AB61" s="21">
        <f>EXP(-LN(2)/2)*AB60+(1-EXP(-LN(2)/2))/(LN(2)/2)*V61*Y61*VLOOKUP('Données projet'!$B$9,Paramètres!$A$1:$I$89,3,0)*0.475*44/12</f>
        <v>10.506366345041734</v>
      </c>
      <c r="AC61" s="22">
        <f t="shared" si="3"/>
        <v>335.81592182708101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394.28</v>
      </c>
      <c r="AG61" s="12">
        <f>VLOOKUP(A61,'Données projet'!$A$61:$I$81,9,0)</f>
        <v>16.351249999999993</v>
      </c>
      <c r="AH61" s="12">
        <f t="array" ref="AH61">INDEX(AG:AG,MIN(IF(ISNUMBER(AG61:AG257),ROW(AG61:AG257),"")))</f>
        <v>16.351249999999993</v>
      </c>
      <c r="AI61" s="13">
        <f>IF('Données projet'!$A$62&gt;35,AI60+AH61-AQ60,IF(A61&lt;'Données projet'!$A$62,$AF$205^A61,IF(A61='Données projet'!$A$62,'Données projet'!$B$62,AI60+AH61-AQ60)))</f>
        <v>394.2799999999998</v>
      </c>
      <c r="AJ61" s="13">
        <f>AI61*VLOOKUP('Données projet'!$B$10,Paramètres!$A$1:$I$89,3,0)*VLOOKUP('Données projet'!$B$10,Paramètres!$A$1:$I$89,5,0)</f>
        <v>184.5230399999999</v>
      </c>
      <c r="AK61" s="13">
        <f t="shared" si="35"/>
        <v>46.327021162835059</v>
      </c>
      <c r="AL61" s="20">
        <f t="shared" si="4"/>
        <v>402.06385652527086</v>
      </c>
      <c r="AM61" s="59">
        <f t="shared" si="5"/>
        <v>695.39718985860418</v>
      </c>
      <c r="AN61" s="59">
        <f ca="1">AVERAGE(OFFSET($AM$3,0,0,'Données projet'!$E$10+1,1))-AVERAGE(OFFSET($H$3,0,0,'Données projet'!$E$10+1,1))</f>
        <v>331.17634116262298</v>
      </c>
      <c r="AO61" s="59">
        <f t="shared" si="36"/>
        <v>286.28916368940605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87.34</v>
      </c>
      <c r="AR61" s="16">
        <f>IF(ISNA(VLOOKUP(A61,'Données projet'!$A$61:$I$81,5,0)),0%,VLOOKUP(A61,'Données projet'!$A$61:$I$81,5,0)*VLOOKUP('Données projet'!$B$10,Paramètres!$A$1:$I$89,7,0))</f>
        <v>0.11000000000000001</v>
      </c>
      <c r="AS61" s="16">
        <f>IF(ISNA(VLOOKUP(A61,'Données projet'!$A$61:$I$81,6,0)),0%,VLOOKUP(A61,'Données projet'!$A$61:$I$81,6,0)*VLOOKUP('Données projet'!$B$10,Paramètres!$A$1:$I$89,7,0))</f>
        <v>0.24750000000000003</v>
      </c>
      <c r="AT61" s="16">
        <f>IF(ISNA(VLOOKUP(A61,'Données projet'!$A$61:$I$81,7,0)),0%,VLOOKUP(A61,'Données projet'!$A$61:$I$81,7,0))</f>
        <v>0.35</v>
      </c>
      <c r="AU61" s="21">
        <f>EXP(-LN(2)/35)*AU60+(1-EXP(-LN(2)/35))/(LN(2)/35)*AQ61*AR61*VLOOKUP('Données projet'!$B$10,Paramètres!$A$1:$I$89,3,0)*0.475*44/12</f>
        <v>5.9645829434208446</v>
      </c>
      <c r="AV61" s="21">
        <f>EXP(-LN(2)/25)*AV60+(1-EXP(-LN(2)/25))/(LN(2)/25)*Calculateur!AQ61*Calculateur!AS61*VLOOKUP('Données projet'!$B$10,Paramètres!$A$1:$I$89,3,0)*0.475*44/12</f>
        <v>42.501690812934768</v>
      </c>
      <c r="AW61" s="21">
        <f>EXP(-LN(2)/2)*AW60+(1-EXP(-LN(2)/2))/(LN(2)/2)*AQ61*AT61*VLOOKUP('Données projet'!$B$10,Paramètres!$A$1:$I$89,3,0)*0.475*44/12</f>
        <v>17.8460924736465</v>
      </c>
      <c r="AX61" s="21">
        <f t="shared" si="6"/>
        <v>66.312366230002112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1.4210854715202004E-13</v>
      </c>
      <c r="BE61" s="13">
        <f>BD61*VLOOKUP('Données projet'!$B$11,Paramètres!$A$1:$I$89,3,0)*VLOOKUP('Données projet'!$B$11,Paramètres!$A$1:$I$89,5,0)</f>
        <v>7.7591266745002952E-14</v>
      </c>
      <c r="BF61" s="13">
        <f t="shared" si="37"/>
        <v>1.2005788606873384E-12</v>
      </c>
      <c r="BG61" s="20">
        <f t="shared" si="7"/>
        <v>2.226146305277994E-12</v>
      </c>
      <c r="BH61" s="59">
        <f t="shared" si="8"/>
        <v>293.33333333333553</v>
      </c>
      <c r="BI61" s="59">
        <f ca="1">AVERAGE(OFFSET($BH$3,0,0,'Données projet'!$E$11+1,1))-AVERAGE(OFFSET($H$3,0,0,'Données projet'!$E$11+1,1))</f>
        <v>165.87377022031535</v>
      </c>
      <c r="BJ61" s="59">
        <f t="shared" si="38"/>
        <v>272.91122662088929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78.716079521265641</v>
      </c>
      <c r="BQ61" s="21">
        <f>EXP(-LN(2)/25)*BQ60+(1-EXP(-LN(2)/25))/(LN(2)/25)*Calculateur!BL61*Calculateur!BN61*VLOOKUP('Données projet'!$B$11,Paramètres!$A$1:$I$89,3,0)*0.475*44/12</f>
        <v>23.426662726583096</v>
      </c>
      <c r="BR61" s="21">
        <f>EXP(-LN(2)/2)*BR60+(1-EXP(-LN(2)/2))/(LN(2)/2)*BL61*BO61*VLOOKUP('Données projet'!$B$11,Paramètres!$A$1:$I$89,3,0)*0.475*44/12</f>
        <v>5.0322716571199272E-2</v>
      </c>
      <c r="BS61" s="22">
        <f t="shared" si="9"/>
        <v>102.19306496441993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322.87</v>
      </c>
      <c r="BW61" s="12">
        <f>VLOOKUP(A61,'Données projet'!$A$113:$I$133,9,0)</f>
        <v>13.04</v>
      </c>
      <c r="BX61" s="12">
        <f t="array" ref="BX61">INDEX(BW:BW,MIN(IF(ISNUMBER(BW61:BW257),ROW(BW61:BW257),"")))</f>
        <v>13.04</v>
      </c>
      <c r="BY61" s="12">
        <f>IF('Données projet'!$A$114&gt;35,BY60+BX61-CG60,IF(A61&lt;'Données projet'!$A$114,$BV$205^A61,IF(A61='Données projet'!$A$114,'Données projet'!$B$114,BY60+BX61-CG60)))</f>
        <v>322.87000000000012</v>
      </c>
      <c r="BZ61" s="13">
        <f>BY61*VLOOKUP('Données projet'!$B$12,Paramètres!$A$1:$I$89,3,0)*VLOOKUP('Données projet'!$B$12,Paramètres!$A$1:$I$89,5,0)</f>
        <v>292.13277600000009</v>
      </c>
      <c r="CA61" s="13">
        <f t="shared" si="39"/>
        <v>69.524649042689006</v>
      </c>
      <c r="CB61" s="20">
        <f t="shared" si="10"/>
        <v>629.88668194935019</v>
      </c>
      <c r="CC61" s="59">
        <f t="shared" si="11"/>
        <v>923.22001528268356</v>
      </c>
      <c r="CD61" s="59">
        <f ca="1">AVERAGE(OFFSET($CC$3,0,0,'Données projet'!$E$12+1,1))-AVERAGE(OFFSET($H$3,0,0,'Données projet'!$E$12+1,1))</f>
        <v>639.86968831634636</v>
      </c>
      <c r="CE61" s="59">
        <f t="shared" si="40"/>
        <v>218.1556771431184</v>
      </c>
      <c r="CF61" s="15">
        <f>IF(ISNA(VLOOKUP(A61,'Données projet'!$A$113:$I$133,3,0)),0,VLOOKUP(A61,'Données projet'!$A$113:$I$133,3,0))</f>
        <v>4</v>
      </c>
      <c r="CG61" s="15">
        <f>IF(ISNA(VLOOKUP(A61,'Données projet'!$A$113:$I$133,4,0)),0,VLOOKUP(A61,'Données projet'!$A$113:$I$133,4,0))</f>
        <v>62.16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4.3600000000000021</v>
      </c>
      <c r="CT61" s="12">
        <f>IF('Données projet'!$A$140&gt;35,CT60+CS61-DB60,IF(A61&lt;'Données projet'!$A$140,$CQ$205^A61,IF(A61='Données projet'!$A$140,'Données projet'!$B$140,CT60+CS61-DB60)))</f>
        <v>146.41000000000005</v>
      </c>
      <c r="CU61" s="17">
        <f>CT61*VLOOKUP('Données projet'!$B$13,Paramètres!$A$1:$I$89,3,0)*VLOOKUP('Données projet'!$B$13,Paramètres!$A$1:$I$89,5,0)</f>
        <v>127.90377600000006</v>
      </c>
      <c r="CV61" s="13">
        <f t="shared" si="41"/>
        <v>33.511526192458383</v>
      </c>
      <c r="CW61" s="20">
        <f t="shared" si="13"/>
        <v>281.13165131853179</v>
      </c>
      <c r="CX61" s="59">
        <f t="shared" si="14"/>
        <v>574.46498465186505</v>
      </c>
      <c r="CY61" s="59">
        <f ca="1">AVERAGE(OFFSET($CX$3,0,0,'Données projet'!$E$13+1,1))-AVERAGE(OFFSET($H$3,0,0,'Données projet'!$E$13+1,1))</f>
        <v>218.76600554860482</v>
      </c>
      <c r="CZ61" s="59">
        <f t="shared" si="42"/>
        <v>264.34840059907702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10.252811006450862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10.252811006450862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12.903333333333332</v>
      </c>
      <c r="DO61" s="12">
        <f>IF('Données projet'!$A$166&gt;35,DO60+DN61-DW60,IF(A61&lt;'Données projet'!$A$166,$DL$205^A61,IF(A61='Données projet'!$A$166,'Données projet'!$B$166,DO60+DN61-DW60)))</f>
        <v>246.433333333333</v>
      </c>
      <c r="DP61" s="17">
        <f>DO61*VLOOKUP('Données projet'!$B$14,Paramètres!$A$1:$I$89,3,0)*VLOOKUP('Données projet'!$B$14,Paramètres!$A$1:$I$89,5,0)</f>
        <v>211.43979999999974</v>
      </c>
      <c r="DQ61" s="13">
        <f t="shared" si="43"/>
        <v>52.250092994402834</v>
      </c>
      <c r="DR61" s="20">
        <f t="shared" si="16"/>
        <v>459.25989696525107</v>
      </c>
      <c r="DS61" s="59">
        <f t="shared" si="17"/>
        <v>752.59323029858433</v>
      </c>
      <c r="DT61" s="59">
        <f ca="1">AVERAGE(OFFSET($DS$3,0,0,'Données projet'!$E$14+1,1))-AVERAGE(OFFSET($H$3,0,0,'Données projet'!$E$14+1,1))</f>
        <v>442.97490100035287</v>
      </c>
      <c r="DU61" s="59">
        <f t="shared" si="44"/>
        <v>334.36243356457049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9.375</v>
      </c>
      <c r="EJ61" s="12">
        <f>IF('Données projet'!$A$192&gt;35,EJ60+EI61-ER60,IF(A61&lt;'Données projet'!$A$192,$EG$205^A61,IF(A61='Données projet'!$A$192,'Données projet'!$B$192,EJ60+EI61-ER60)))</f>
        <v>278.24999999999989</v>
      </c>
      <c r="EK61" s="17">
        <f>EJ61*VLOOKUP('Données projet'!$B$15,Paramètres!$A$1:$I$89,3,0)*VLOOKUP('Données projet'!$B$15,Paramètres!$A$1:$I$89,5,0)</f>
        <v>217.03499999999991</v>
      </c>
      <c r="EL61" s="13">
        <f t="shared" si="45"/>
        <v>53.469949591969474</v>
      </c>
      <c r="EM61" s="20">
        <f t="shared" si="19"/>
        <v>471.12945387267996</v>
      </c>
      <c r="EN61" s="59">
        <f t="shared" si="20"/>
        <v>764.46278720601322</v>
      </c>
      <c r="EO61" s="59">
        <f ca="1">AVERAGE(OFFSET($EN$3,0,0,'Données projet'!$E$15+1,1))-AVERAGE(OFFSET($H$3,0,0,'Données projet'!$E$15+1,1))</f>
        <v>288.82868507674738</v>
      </c>
      <c r="EP61" s="59">
        <f t="shared" si="46"/>
        <v>283.48738729114024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18.057219897381852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18.057219897381852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206.46911999999992</v>
      </c>
      <c r="FG61" s="13">
        <f t="shared" si="47"/>
        <v>51.163239774028327</v>
      </c>
      <c r="FH61" s="20">
        <f t="shared" si="22"/>
        <v>448.70969327309916</v>
      </c>
      <c r="FI61" s="59">
        <f t="shared" si="23"/>
        <v>742.04302660643248</v>
      </c>
      <c r="FJ61" s="59">
        <f ca="1">AVERAGE(OFFSET($FI$3,0,0,'Données projet'!$E$16+1,1))-AVERAGE(OFFSET($H$3,0,0,'Données projet'!$E$16+1,1))</f>
        <v>328.55201074501201</v>
      </c>
      <c r="FK61" s="59">
        <f t="shared" si="48"/>
        <v>321.81422611044985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11.812961235781513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11.812961235781513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6.2</v>
      </c>
      <c r="FZ61" s="12">
        <f>IF('Données projet'!$A$244&gt;35,FZ60+FY61-GH60,IF(A61&lt;'Données projet'!$A$244,$FW$205^A61,IF(A61='Données projet'!$A$244,'Données projet'!$B$244,FZ60+FY61-GH60)))</f>
        <v>281.59999999999991</v>
      </c>
      <c r="GA61" s="17">
        <f>FZ61*VLOOKUP('Données projet'!$B$17,Paramètres!$A$1:$I$89,3,0)*VLOOKUP('Données projet'!$B$17,Paramètres!$A$1:$I$89,5,0)</f>
        <v>224.04095999999993</v>
      </c>
      <c r="GB61" s="13">
        <f t="shared" si="49"/>
        <v>54.992235867381233</v>
      </c>
      <c r="GC61" s="20">
        <f t="shared" si="25"/>
        <v>485.98281613568884</v>
      </c>
      <c r="GD61" s="59">
        <f t="shared" si="26"/>
        <v>779.31614946902209</v>
      </c>
      <c r="GE61" s="59">
        <f ca="1">AVERAGE(OFFSET($GD$3,0,0,'Données projet'!$E$17+1,1))-AVERAGE(OFFSET($H$3,0,0,'Données projet'!$E$17+1,1))</f>
        <v>353.37024194969638</v>
      </c>
      <c r="GF61" s="59">
        <f t="shared" si="50"/>
        <v>345.4750813433123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15.799324205995758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15.799324205995758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1.2710188457276673E-13</v>
      </c>
      <c r="P62" s="13">
        <f t="shared" si="33"/>
        <v>1.856866851063998E-12</v>
      </c>
      <c r="Q62" s="20">
        <f t="shared" si="53"/>
        <v>3.4554122145673649E-12</v>
      </c>
      <c r="R62" s="59">
        <f t="shared" si="0"/>
        <v>293.33333333333678</v>
      </c>
      <c r="S62" s="59">
        <f ca="1">AVERAGE(OFFSET($R$3,0,0,'Données projet'!$E$9+1,1))-AVERAGE(OFFSET($H$3,0,0,'Données projet'!$E$9+1,1))</f>
        <v>404.65492118472037</v>
      </c>
      <c r="T62" s="59">
        <f t="shared" si="34"/>
        <v>534.22295841722166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254.43041958353197</v>
      </c>
      <c r="AA62" s="21">
        <f>EXP(-LN(2)/25)*AA61+(1-EXP(-LN(2)/25))/(LN(2)/25)*Calculateur!V62*Calculateur!X62*VLOOKUP('Données projet'!$B$9,Paramètres!$A$1:$I$89,3,0)*0.475*44/12</f>
        <v>63.991083784086086</v>
      </c>
      <c r="AB62" s="21">
        <f>EXP(-LN(2)/2)*AB61+(1-EXP(-LN(2)/2))/(LN(2)/2)*V62*Y62*VLOOKUP('Données projet'!$B$9,Paramètres!$A$1:$I$89,3,0)*0.475*44/12</f>
        <v>7.4291228882091325</v>
      </c>
      <c r="AC62" s="22">
        <f t="shared" si="3"/>
        <v>325.85062625582719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15.871250000000011</v>
      </c>
      <c r="AI62" s="13">
        <f>IF('Données projet'!$A$62&gt;35,AI61+AH62-AQ61,IF(A62&lt;'Données projet'!$A$62,$AF$205^A62,IF(A62='Données projet'!$A$62,'Données projet'!$B$62,AI61+AH62-AQ61)))</f>
        <v>322.81124999999986</v>
      </c>
      <c r="AJ62" s="13">
        <f>AI62*VLOOKUP('Données projet'!$B$10,Paramètres!$A$1:$I$89,3,0)*VLOOKUP('Données projet'!$B$10,Paramètres!$A$1:$I$89,5,0)</f>
        <v>151.07566499999993</v>
      </c>
      <c r="AK62" s="13">
        <f t="shared" si="35"/>
        <v>38.822932600572472</v>
      </c>
      <c r="AL62" s="20">
        <f t="shared" si="4"/>
        <v>330.74005748766359</v>
      </c>
      <c r="AM62" s="59">
        <f t="shared" si="5"/>
        <v>624.07339082099691</v>
      </c>
      <c r="AN62" s="59">
        <f ca="1">AVERAGE(OFFSET($AM$3,0,0,'Données projet'!$E$10+1,1))-AVERAGE(OFFSET($H$3,0,0,'Données projet'!$E$10+1,1))</f>
        <v>331.17634116262298</v>
      </c>
      <c r="AO62" s="59">
        <f t="shared" si="36"/>
        <v>286.28916368940605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5.847621109936731</v>
      </c>
      <c r="AV62" s="21">
        <f>EXP(-LN(2)/25)*AV61+(1-EXP(-LN(2)/25))/(LN(2)/25)*Calculateur!AQ62*Calculateur!AS62*VLOOKUP('Données projet'!$B$10,Paramètres!$A$1:$I$89,3,0)*0.475*44/12</f>
        <v>41.33947984258829</v>
      </c>
      <c r="AW62" s="21">
        <f>EXP(-LN(2)/2)*AW61+(1-EXP(-LN(2)/2))/(LN(2)/2)*AQ62*AT62*VLOOKUP('Données projet'!$B$10,Paramètres!$A$1:$I$89,3,0)*0.475*44/12</f>
        <v>12.61909300579765</v>
      </c>
      <c r="AX62" s="21">
        <f t="shared" si="6"/>
        <v>59.806193958322673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1.4210854715202004E-13</v>
      </c>
      <c r="BE62" s="13">
        <f>BD62*VLOOKUP('Données projet'!$B$11,Paramètres!$A$1:$I$89,3,0)*VLOOKUP('Données projet'!$B$11,Paramètres!$A$1:$I$89,5,0)</f>
        <v>7.7591266745002952E-14</v>
      </c>
      <c r="BF62" s="13">
        <f t="shared" si="37"/>
        <v>1.2005788606873384E-12</v>
      </c>
      <c r="BG62" s="20">
        <f t="shared" si="7"/>
        <v>2.226146305277994E-12</v>
      </c>
      <c r="BH62" s="59">
        <f t="shared" si="8"/>
        <v>293.33333333333553</v>
      </c>
      <c r="BI62" s="59">
        <f ca="1">AVERAGE(OFFSET($BH$3,0,0,'Données projet'!$E$11+1,1))-AVERAGE(OFFSET($H$3,0,0,'Données projet'!$E$11+1,1))</f>
        <v>165.87377022031535</v>
      </c>
      <c r="BJ62" s="59">
        <f t="shared" si="38"/>
        <v>272.91122662088929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77.172505213921326</v>
      </c>
      <c r="BQ62" s="21">
        <f>EXP(-LN(2)/25)*BQ61+(1-EXP(-LN(2)/25))/(LN(2)/25)*Calculateur!BL62*Calculateur!BN62*VLOOKUP('Données projet'!$B$11,Paramètres!$A$1:$I$89,3,0)*0.475*44/12</f>
        <v>22.786059402370032</v>
      </c>
      <c r="BR62" s="21">
        <f>EXP(-LN(2)/2)*BR61+(1-EXP(-LN(2)/2))/(LN(2)/2)*BL62*BO62*VLOOKUP('Données projet'!$B$11,Paramètres!$A$1:$I$89,3,0)*0.475*44/12</f>
        <v>3.5583534135223652E-2</v>
      </c>
      <c r="BS62" s="22">
        <f t="shared" si="9"/>
        <v>99.994148150426582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12.448749999999997</v>
      </c>
      <c r="BY62" s="12">
        <f>IF('Données projet'!$A$114&gt;35,BY61+BX62-CG61,IF(A62&lt;'Données projet'!$A$114,$BV$205^A62,IF(A62='Données projet'!$A$114,'Données projet'!$B$114,BY61+BX62-CG61)))</f>
        <v>273.15875000000017</v>
      </c>
      <c r="BZ62" s="13">
        <f>BY62*VLOOKUP('Données projet'!$B$12,Paramètres!$A$1:$I$89,3,0)*VLOOKUP('Données projet'!$B$12,Paramètres!$A$1:$I$89,5,0)</f>
        <v>247.15403700000013</v>
      </c>
      <c r="CA62" s="13">
        <f t="shared" si="39"/>
        <v>59.976115223305314</v>
      </c>
      <c r="CB62" s="20">
        <f t="shared" si="10"/>
        <v>534.91834845559026</v>
      </c>
      <c r="CC62" s="59">
        <f t="shared" si="11"/>
        <v>828.25168178892363</v>
      </c>
      <c r="CD62" s="59">
        <f ca="1">AVERAGE(OFFSET($CC$3,0,0,'Données projet'!$E$12+1,1))-AVERAGE(OFFSET($H$3,0,0,'Données projet'!$E$12+1,1))</f>
        <v>639.86968831634636</v>
      </c>
      <c r="CE62" s="59">
        <f t="shared" si="40"/>
        <v>218.1556771431184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4.3600000000000021</v>
      </c>
      <c r="CT62" s="12">
        <f>IF('Données projet'!$A$140&gt;35,CT61+CS62-DB61,IF(A62&lt;'Données projet'!$A$140,$CQ$205^A62,IF(A62='Données projet'!$A$140,'Données projet'!$B$140,CT61+CS62-DB61)))</f>
        <v>150.77000000000007</v>
      </c>
      <c r="CU62" s="17">
        <f>CT62*VLOOKUP('Données projet'!$B$13,Paramètres!$A$1:$I$89,3,0)*VLOOKUP('Données projet'!$B$13,Paramètres!$A$1:$I$89,5,0)</f>
        <v>131.71267200000008</v>
      </c>
      <c r="CV62" s="13">
        <f t="shared" si="41"/>
        <v>34.391805583657188</v>
      </c>
      <c r="CW62" s="20">
        <f t="shared" si="13"/>
        <v>289.29863179153642</v>
      </c>
      <c r="CX62" s="59">
        <f t="shared" si="14"/>
        <v>582.63196512486979</v>
      </c>
      <c r="CY62" s="59">
        <f ca="1">AVERAGE(OFFSET($CX$3,0,0,'Données projet'!$E$13+1,1))-AVERAGE(OFFSET($H$3,0,0,'Données projet'!$E$13+1,1))</f>
        <v>218.76600554860482</v>
      </c>
      <c r="CZ62" s="59">
        <f t="shared" si="42"/>
        <v>264.34840059907702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10.051759636211584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10.051759636211584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12.903333333333332</v>
      </c>
      <c r="DO62" s="12">
        <f>IF('Données projet'!$A$166&gt;35,DO61+DN62-DW61,IF(A62&lt;'Données projet'!$A$166,$DL$205^A62,IF(A62='Données projet'!$A$166,'Données projet'!$B$166,DO61+DN62-DW61)))</f>
        <v>259.3366666666663</v>
      </c>
      <c r="DP62" s="17">
        <f>DO62*VLOOKUP('Données projet'!$B$14,Paramètres!$A$1:$I$89,3,0)*VLOOKUP('Données projet'!$B$14,Paramètres!$A$1:$I$89,5,0)</f>
        <v>222.51085999999972</v>
      </c>
      <c r="DQ62" s="13">
        <f t="shared" si="43"/>
        <v>54.660247777041633</v>
      </c>
      <c r="DR62" s="20">
        <f t="shared" si="16"/>
        <v>482.73967937834703</v>
      </c>
      <c r="DS62" s="59">
        <f t="shared" si="17"/>
        <v>776.07301271168035</v>
      </c>
      <c r="DT62" s="59">
        <f ca="1">AVERAGE(OFFSET($DS$3,0,0,'Données projet'!$E$14+1,1))-AVERAGE(OFFSET($H$3,0,0,'Données projet'!$E$14+1,1))</f>
        <v>442.97490100035287</v>
      </c>
      <c r="DU62" s="59">
        <f t="shared" si="44"/>
        <v>334.36243356457049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9.375</v>
      </c>
      <c r="EJ62" s="12">
        <f>IF('Données projet'!$A$192&gt;35,EJ61+EI62-ER61,IF(A62&lt;'Données projet'!$A$192,$EG$205^A62,IF(A62='Données projet'!$A$192,'Données projet'!$B$192,EJ61+EI62-ER61)))</f>
        <v>287.62499999999989</v>
      </c>
      <c r="EK62" s="17">
        <f>EJ62*VLOOKUP('Données projet'!$B$15,Paramètres!$A$1:$I$89,3,0)*VLOOKUP('Données projet'!$B$15,Paramètres!$A$1:$I$89,5,0)</f>
        <v>224.34749999999991</v>
      </c>
      <c r="EL62" s="13">
        <f t="shared" si="45"/>
        <v>55.058714525680429</v>
      </c>
      <c r="EM62" s="20">
        <f t="shared" si="19"/>
        <v>486.63249029889329</v>
      </c>
      <c r="EN62" s="59">
        <f t="shared" si="20"/>
        <v>779.9658236322266</v>
      </c>
      <c r="EO62" s="59">
        <f ca="1">AVERAGE(OFFSET($EN$3,0,0,'Données projet'!$E$15+1,1))-AVERAGE(OFFSET($H$3,0,0,'Données projet'!$E$15+1,1))</f>
        <v>288.82868507674738</v>
      </c>
      <c r="EP62" s="59">
        <f t="shared" si="46"/>
        <v>283.48738729114024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17.703128829010808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17.703128829010808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211.01495999999992</v>
      </c>
      <c r="FG62" s="13">
        <f t="shared" si="47"/>
        <v>52.15731771796959</v>
      </c>
      <c r="FH62" s="20">
        <f t="shared" si="22"/>
        <v>458.35838369213019</v>
      </c>
      <c r="FI62" s="59">
        <f t="shared" si="23"/>
        <v>751.6917170254635</v>
      </c>
      <c r="FJ62" s="59">
        <f ca="1">AVERAGE(OFFSET($FI$3,0,0,'Données projet'!$E$16+1,1))-AVERAGE(OFFSET($H$3,0,0,'Données projet'!$E$16+1,1))</f>
        <v>328.55201074501201</v>
      </c>
      <c r="FK62" s="59">
        <f t="shared" si="48"/>
        <v>321.81422611044985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11.581316271142738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11.581316271142738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6.2</v>
      </c>
      <c r="FZ62" s="12">
        <f>IF('Données projet'!$A$244&gt;35,FZ61+FY62-GH61,IF(A62&lt;'Données projet'!$A$244,$FW$205^A62,IF(A62='Données projet'!$A$244,'Données projet'!$B$244,FZ61+FY62-GH61)))</f>
        <v>287.7999999999999</v>
      </c>
      <c r="GA62" s="17">
        <f>FZ62*VLOOKUP('Données projet'!$B$17,Paramètres!$A$1:$I$89,3,0)*VLOOKUP('Données projet'!$B$17,Paramètres!$A$1:$I$89,5,0)</f>
        <v>228.97367999999994</v>
      </c>
      <c r="GB62" s="13">
        <f t="shared" si="49"/>
        <v>56.060709423888284</v>
      </c>
      <c r="GC62" s="20">
        <f t="shared" si="25"/>
        <v>496.43489491327199</v>
      </c>
      <c r="GD62" s="59">
        <f t="shared" si="26"/>
        <v>789.7682282466053</v>
      </c>
      <c r="GE62" s="59">
        <f ca="1">AVERAGE(OFFSET($GD$3,0,0,'Données projet'!$E$17+1,1))-AVERAGE(OFFSET($H$3,0,0,'Données projet'!$E$17+1,1))</f>
        <v>353.37024194969638</v>
      </c>
      <c r="GF62" s="59">
        <f t="shared" si="50"/>
        <v>345.4750813433123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15.489509094952409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15.489509094952409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1.2710188457276673E-13</v>
      </c>
      <c r="P63" s="13">
        <f t="shared" si="33"/>
        <v>1.856866851063998E-12</v>
      </c>
      <c r="Q63" s="20">
        <f t="shared" si="53"/>
        <v>3.4554122145673649E-12</v>
      </c>
      <c r="R63" s="59">
        <f t="shared" si="0"/>
        <v>293.33333333333678</v>
      </c>
      <c r="S63" s="59">
        <f ca="1">AVERAGE(OFFSET($R$3,0,0,'Données projet'!$E$9+1,1))-AVERAGE(OFFSET($H$3,0,0,'Données projet'!$E$9+1,1))</f>
        <v>404.65492118472037</v>
      </c>
      <c r="T63" s="59">
        <f t="shared" si="34"/>
        <v>534.22295841722166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249.4411942427314</v>
      </c>
      <c r="AA63" s="21">
        <f>EXP(-LN(2)/25)*AA62+(1-EXP(-LN(2)/25))/(LN(2)/25)*Calculateur!V63*Calculateur!X63*VLOOKUP('Données projet'!$B$9,Paramètres!$A$1:$I$89,3,0)*0.475*44/12</f>
        <v>62.241244232865412</v>
      </c>
      <c r="AB63" s="21">
        <f>EXP(-LN(2)/2)*AB62+(1-EXP(-LN(2)/2))/(LN(2)/2)*V63*Y63*VLOOKUP('Données projet'!$B$9,Paramètres!$A$1:$I$89,3,0)*0.475*44/12</f>
        <v>5.2531831725208677</v>
      </c>
      <c r="AC63" s="22">
        <f t="shared" si="3"/>
        <v>316.93562164811772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15.871250000000011</v>
      </c>
      <c r="AI63" s="13">
        <f>IF('Données projet'!$A$62&gt;35,AI62+AH63-AQ62,IF(A63&lt;'Données projet'!$A$62,$AF$205^A63,IF(A63='Données projet'!$A$62,'Données projet'!$B$62,AI62+AH63-AQ62)))</f>
        <v>338.68249999999989</v>
      </c>
      <c r="AJ63" s="13">
        <f>AI63*VLOOKUP('Données projet'!$B$10,Paramètres!$A$1:$I$89,3,0)*VLOOKUP('Données projet'!$B$10,Paramètres!$A$1:$I$89,5,0)</f>
        <v>158.50340999999995</v>
      </c>
      <c r="AK63" s="13">
        <f t="shared" si="35"/>
        <v>40.504770949387769</v>
      </c>
      <c r="AL63" s="20">
        <f t="shared" si="4"/>
        <v>346.60591515351689</v>
      </c>
      <c r="AM63" s="59">
        <f t="shared" si="5"/>
        <v>639.93924848685015</v>
      </c>
      <c r="AN63" s="59">
        <f ca="1">AVERAGE(OFFSET($AM$3,0,0,'Données projet'!$E$10+1,1))-AVERAGE(OFFSET($H$3,0,0,'Données projet'!$E$10+1,1))</f>
        <v>331.17634116262298</v>
      </c>
      <c r="AO63" s="59">
        <f t="shared" si="36"/>
        <v>286.28916368940605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5.7329528266675664</v>
      </c>
      <c r="AV63" s="21">
        <f>EXP(-LN(2)/25)*AV62+(1-EXP(-LN(2)/25))/(LN(2)/25)*Calculateur!AQ63*Calculateur!AS63*VLOOKUP('Données projet'!$B$10,Paramètres!$A$1:$I$89,3,0)*0.475*44/12</f>
        <v>40.209049592343952</v>
      </c>
      <c r="AW63" s="21">
        <f>EXP(-LN(2)/2)*AW62+(1-EXP(-LN(2)/2))/(LN(2)/2)*AQ63*AT63*VLOOKUP('Données projet'!$B$10,Paramètres!$A$1:$I$89,3,0)*0.475*44/12</f>
        <v>8.9230462368232519</v>
      </c>
      <c r="AX63" s="21">
        <f t="shared" si="6"/>
        <v>54.865048655834769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1.4210854715202004E-13</v>
      </c>
      <c r="BE63" s="13">
        <f>BD63*VLOOKUP('Données projet'!$B$11,Paramètres!$A$1:$I$89,3,0)*VLOOKUP('Données projet'!$B$11,Paramètres!$A$1:$I$89,5,0)</f>
        <v>7.7591266745002952E-14</v>
      </c>
      <c r="BF63" s="13">
        <f t="shared" si="37"/>
        <v>1.2005788606873384E-12</v>
      </c>
      <c r="BG63" s="20">
        <f t="shared" si="7"/>
        <v>2.226146305277994E-12</v>
      </c>
      <c r="BH63" s="59">
        <f t="shared" si="8"/>
        <v>293.33333333333553</v>
      </c>
      <c r="BI63" s="59">
        <f ca="1">AVERAGE(OFFSET($BH$3,0,0,'Données projet'!$E$11+1,1))-AVERAGE(OFFSET($H$3,0,0,'Données projet'!$E$11+1,1))</f>
        <v>165.87377022031535</v>
      </c>
      <c r="BJ63" s="59">
        <f t="shared" si="38"/>
        <v>272.91122662088929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75.659199457256676</v>
      </c>
      <c r="BQ63" s="21">
        <f>EXP(-LN(2)/25)*BQ62+(1-EXP(-LN(2)/25))/(LN(2)/25)*Calculateur!BL63*Calculateur!BN63*VLOOKUP('Données projet'!$B$11,Paramètres!$A$1:$I$89,3,0)*0.475*44/12</f>
        <v>22.162973409745437</v>
      </c>
      <c r="BR63" s="21">
        <f>EXP(-LN(2)/2)*BR62+(1-EXP(-LN(2)/2))/(LN(2)/2)*BL63*BO63*VLOOKUP('Données projet'!$B$11,Paramètres!$A$1:$I$89,3,0)*0.475*44/12</f>
        <v>2.5161358285599636E-2</v>
      </c>
      <c r="BS63" s="22">
        <f t="shared" si="9"/>
        <v>97.84733422528771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12.448749999999997</v>
      </c>
      <c r="BY63" s="12">
        <f>IF('Données projet'!$A$114&gt;35,BY62+BX63-CG62,IF(A63&lt;'Données projet'!$A$114,$BV$205^A63,IF(A63='Données projet'!$A$114,'Données projet'!$B$114,BY62+BX63-CG62)))</f>
        <v>285.60750000000019</v>
      </c>
      <c r="BZ63" s="13">
        <f>BY63*VLOOKUP('Données projet'!$B$12,Paramètres!$A$1:$I$89,3,0)*VLOOKUP('Données projet'!$B$12,Paramètres!$A$1:$I$89,5,0)</f>
        <v>258.41766600000017</v>
      </c>
      <c r="CA63" s="13">
        <f t="shared" si="39"/>
        <v>62.384968551696232</v>
      </c>
      <c r="CB63" s="20">
        <f t="shared" si="10"/>
        <v>558.73125517753795</v>
      </c>
      <c r="CC63" s="59">
        <f t="shared" si="11"/>
        <v>852.06458851087132</v>
      </c>
      <c r="CD63" s="59">
        <f ca="1">AVERAGE(OFFSET($CC$3,0,0,'Données projet'!$E$12+1,1))-AVERAGE(OFFSET($H$3,0,0,'Données projet'!$E$12+1,1))</f>
        <v>639.86968831634636</v>
      </c>
      <c r="CE63" s="59">
        <f t="shared" si="40"/>
        <v>218.1556771431184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155.13</v>
      </c>
      <c r="CR63" s="12">
        <f>VLOOKUP(A63,'Données projet'!$A$139:$I$159,9,0)</f>
        <v>4.3600000000000021</v>
      </c>
      <c r="CS63" s="12">
        <f t="array" ref="CS63">INDEX(CR:CR,MIN(IF(ISNUMBER(CR63:CR259),ROW(CR63:CR259),"")))</f>
        <v>4.3600000000000021</v>
      </c>
      <c r="CT63" s="12">
        <f>IF('Données projet'!$A$140&gt;35,CT62+CS63-DB62,IF(A63&lt;'Données projet'!$A$140,$CQ$205^A63,IF(A63='Données projet'!$A$140,'Données projet'!$B$140,CT62+CS63-DB62)))</f>
        <v>155.13000000000008</v>
      </c>
      <c r="CU63" s="17">
        <f>CT63*VLOOKUP('Données projet'!$B$13,Paramètres!$A$1:$I$89,3,0)*VLOOKUP('Données projet'!$B$13,Paramètres!$A$1:$I$89,5,0)</f>
        <v>135.52156800000009</v>
      </c>
      <c r="CV63" s="13">
        <f t="shared" si="41"/>
        <v>35.269126429016119</v>
      </c>
      <c r="CW63" s="20">
        <f t="shared" si="13"/>
        <v>297.46045946386988</v>
      </c>
      <c r="CX63" s="59">
        <f t="shared" si="14"/>
        <v>590.7937927972032</v>
      </c>
      <c r="CY63" s="59">
        <f ca="1">AVERAGE(OFFSET($CX$3,0,0,'Données projet'!$E$13+1,1))-AVERAGE(OFFSET($H$3,0,0,'Données projet'!$E$13+1,1))</f>
        <v>218.76600554860482</v>
      </c>
      <c r="CZ63" s="59">
        <f t="shared" si="42"/>
        <v>264.34840059907702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16.670000000000002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12.623656031901604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12.623656031901604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12.903333333333332</v>
      </c>
      <c r="DO63" s="12">
        <f>IF('Données projet'!$A$166&gt;35,DO62+DN63-DW62,IF(A63&lt;'Données projet'!$A$166,$DL$205^A63,IF(A63='Données projet'!$A$166,'Données projet'!$B$166,DO62+DN63-DW62)))</f>
        <v>272.23999999999961</v>
      </c>
      <c r="DP63" s="17">
        <f>DO63*VLOOKUP('Données projet'!$B$14,Paramètres!$A$1:$I$89,3,0)*VLOOKUP('Données projet'!$B$14,Paramètres!$A$1:$I$89,5,0)</f>
        <v>233.58191999999968</v>
      </c>
      <c r="DQ63" s="13">
        <f t="shared" si="43"/>
        <v>57.056478427774074</v>
      </c>
      <c r="DR63" s="20">
        <f t="shared" si="16"/>
        <v>506.19521059503933</v>
      </c>
      <c r="DS63" s="59">
        <f t="shared" si="17"/>
        <v>799.52854392837264</v>
      </c>
      <c r="DT63" s="59">
        <f ca="1">AVERAGE(OFFSET($DS$3,0,0,'Données projet'!$E$14+1,1))-AVERAGE(OFFSET($H$3,0,0,'Données projet'!$E$14+1,1))</f>
        <v>442.97490100035287</v>
      </c>
      <c r="DU63" s="59">
        <f t="shared" si="44"/>
        <v>334.36243356457049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297</v>
      </c>
      <c r="EH63" s="12">
        <f>VLOOKUP(A63,'Données projet'!$A$191:$I$211,9,0)</f>
        <v>9.375</v>
      </c>
      <c r="EI63" s="12">
        <f t="array" ref="EI63">INDEX(EH:EH,MIN(IF(ISNUMBER(EH63:EH259),ROW(EH63:EH259),"")))</f>
        <v>9.375</v>
      </c>
      <c r="EJ63" s="12">
        <f>IF('Données projet'!$A$192&gt;35,EJ62+EI63-ER62,IF(A63&lt;'Données projet'!$A$192,$EG$205^A63,IF(A63='Données projet'!$A$192,'Données projet'!$B$192,EJ62+EI63-ER62)))</f>
        <v>296.99999999999989</v>
      </c>
      <c r="EK63" s="17">
        <f>EJ63*VLOOKUP('Données projet'!$B$15,Paramètres!$A$1:$I$89,3,0)*VLOOKUP('Données projet'!$B$15,Paramètres!$A$1:$I$89,5,0)</f>
        <v>231.65999999999991</v>
      </c>
      <c r="EL63" s="13">
        <f t="shared" si="45"/>
        <v>56.641461975682766</v>
      </c>
      <c r="EM63" s="20">
        <f t="shared" si="19"/>
        <v>502.125046274314</v>
      </c>
      <c r="EN63" s="59">
        <f t="shared" si="20"/>
        <v>795.45837960764732</v>
      </c>
      <c r="EO63" s="59">
        <f ca="1">AVERAGE(OFFSET($EN$3,0,0,'Données projet'!$E$15+1,1))-AVERAGE(OFFSET($H$3,0,0,'Données projet'!$E$15+1,1))</f>
        <v>288.82868507674738</v>
      </c>
      <c r="EP63" s="59">
        <f t="shared" si="46"/>
        <v>283.48738729114024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26.069188254957048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26.069188254957048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215.56079999999992</v>
      </c>
      <c r="FG63" s="13">
        <f t="shared" si="47"/>
        <v>53.14890585638225</v>
      </c>
      <c r="FH63" s="20">
        <f t="shared" si="22"/>
        <v>468.00273769986558</v>
      </c>
      <c r="FI63" s="59">
        <f t="shared" si="23"/>
        <v>761.33607103319889</v>
      </c>
      <c r="FJ63" s="59">
        <f ca="1">AVERAGE(OFFSET($FI$3,0,0,'Données projet'!$E$16+1,1))-AVERAGE(OFFSET($H$3,0,0,'Données projet'!$E$16+1,1))</f>
        <v>328.55201074501201</v>
      </c>
      <c r="FK63" s="59">
        <f t="shared" si="48"/>
        <v>321.81422611044985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0.215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13.793911678614464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13.793911678614464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294</v>
      </c>
      <c r="FX63" s="12">
        <f>VLOOKUP(A63,'Données projet'!$A$243:$I$263,9,0)</f>
        <v>6.2</v>
      </c>
      <c r="FY63" s="12">
        <f t="array" ref="FY63">INDEX(FX:FX,MIN(IF(ISNUMBER(FX63:FX259),ROW(FX63:FX259),"")))</f>
        <v>6.2</v>
      </c>
      <c r="FZ63" s="12">
        <f>IF('Données projet'!$A$244&gt;35,FZ62+FY63-GH62,IF(A63&lt;'Données projet'!$A$244,$FW$205^A63,IF(A63='Données projet'!$A$244,'Données projet'!$B$244,FZ62+FY63-GH62)))</f>
        <v>293.99999999999989</v>
      </c>
      <c r="GA63" s="17">
        <f>FZ63*VLOOKUP('Données projet'!$B$17,Paramètres!$A$1:$I$89,3,0)*VLOOKUP('Données projet'!$B$17,Paramètres!$A$1:$I$89,5,0)</f>
        <v>233.90639999999991</v>
      </c>
      <c r="GB63" s="13">
        <f t="shared" si="49"/>
        <v>57.126506840778347</v>
      </c>
      <c r="GC63" s="20">
        <f t="shared" si="25"/>
        <v>506.88231274768879</v>
      </c>
      <c r="GD63" s="59">
        <f t="shared" si="26"/>
        <v>800.2156460810221</v>
      </c>
      <c r="GE63" s="59">
        <f ca="1">AVERAGE(OFFSET($GD$3,0,0,'Données projet'!$E$17+1,1))-AVERAGE(OFFSET($H$3,0,0,'Données projet'!$E$17+1,1))</f>
        <v>353.37024194969638</v>
      </c>
      <c r="GF63" s="59">
        <f t="shared" si="50"/>
        <v>345.4750813433123</v>
      </c>
      <c r="GG63" s="15">
        <f>IF(ISNA(VLOOKUP(A63,'Données projet'!$A$243:$I$263,3,0)),0,VLOOKUP(A63,'Données projet'!$A$243:$I$263,3,0))</f>
        <v>11</v>
      </c>
      <c r="GH63" s="15">
        <f>IF(ISNA(VLOOKUP(A63,'Données projet'!$A$243:$I$263,4,0)),0,VLOOKUP(A63,'Données projet'!$A$243:$I$263,4,0))</f>
        <v>14</v>
      </c>
      <c r="GI63" s="16">
        <f>IF(ISNA(VLOOKUP(A63,'Données projet'!$A$243:$I$263,5,0)),0%,VLOOKUP(A63,'Données projet'!$A$243:$I$263,5,0)*VLOOKUP('Données projet'!$B$17,Paramètres!$A$1:$I$89,7,0))</f>
        <v>0.26500000000000001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18.448759657246363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18.448759657246363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1.2710188457276673E-13</v>
      </c>
      <c r="P64" s="13">
        <f t="shared" si="33"/>
        <v>1.856866851063998E-12</v>
      </c>
      <c r="Q64" s="20">
        <f t="shared" si="53"/>
        <v>3.4554122145673649E-12</v>
      </c>
      <c r="R64" s="59">
        <f t="shared" si="0"/>
        <v>293.33333333333678</v>
      </c>
      <c r="S64" s="59">
        <f ca="1">AVERAGE(OFFSET($R$3,0,0,'Données projet'!$E$9+1,1))-AVERAGE(OFFSET($H$3,0,0,'Données projet'!$E$9+1,1))</f>
        <v>404.65492118472037</v>
      </c>
      <c r="T64" s="59">
        <f t="shared" si="34"/>
        <v>534.22295841722166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244.54980456773694</v>
      </c>
      <c r="AA64" s="21">
        <f>EXP(-LN(2)/25)*AA63+(1-EXP(-LN(2)/25))/(LN(2)/25)*Calculateur!V64*Calculateur!X64*VLOOKUP('Données projet'!$B$9,Paramètres!$A$1:$I$89,3,0)*0.475*44/12</f>
        <v>60.53925413619293</v>
      </c>
      <c r="AB64" s="21">
        <f>EXP(-LN(2)/2)*AB63+(1-EXP(-LN(2)/2))/(LN(2)/2)*V64*Y64*VLOOKUP('Données projet'!$B$9,Paramètres!$A$1:$I$89,3,0)*0.475*44/12</f>
        <v>3.7145614441045671</v>
      </c>
      <c r="AC64" s="22">
        <f t="shared" si="3"/>
        <v>308.80362014803444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15.871250000000011</v>
      </c>
      <c r="AI64" s="13">
        <f>IF('Données projet'!$A$62&gt;35,AI63+AH64-AQ63,IF(A64&lt;'Données projet'!$A$62,$AF$205^A64,IF(A64='Données projet'!$A$62,'Données projet'!$B$62,AI63+AH64-AQ63)))</f>
        <v>354.55374999999992</v>
      </c>
      <c r="AJ64" s="13">
        <f>AI64*VLOOKUP('Données projet'!$B$10,Paramètres!$A$1:$I$89,3,0)*VLOOKUP('Données projet'!$B$10,Paramètres!$A$1:$I$89,5,0)</f>
        <v>165.93115499999996</v>
      </c>
      <c r="AK64" s="13">
        <f t="shared" si="35"/>
        <v>42.177456802388448</v>
      </c>
      <c r="AL64" s="20">
        <f t="shared" si="4"/>
        <v>362.45583222249314</v>
      </c>
      <c r="AM64" s="59">
        <f t="shared" si="5"/>
        <v>655.78916555582646</v>
      </c>
      <c r="AN64" s="59">
        <f ca="1">AVERAGE(OFFSET($AM$3,0,0,'Données projet'!$E$10+1,1))-AVERAGE(OFFSET($H$3,0,0,'Données projet'!$E$10+1,1))</f>
        <v>331.17634116262298</v>
      </c>
      <c r="AO64" s="59">
        <f t="shared" si="36"/>
        <v>286.28916368940605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5.6205331184925642</v>
      </c>
      <c r="AV64" s="21">
        <f>EXP(-LN(2)/25)*AV63+(1-EXP(-LN(2)/25))/(LN(2)/25)*Calculateur!AQ64*Calculateur!AS64*VLOOKUP('Données projet'!$B$10,Paramètres!$A$1:$I$89,3,0)*0.475*44/12</f>
        <v>39.10953101673929</v>
      </c>
      <c r="AW64" s="21">
        <f>EXP(-LN(2)/2)*AW63+(1-EXP(-LN(2)/2))/(LN(2)/2)*AQ64*AT64*VLOOKUP('Données projet'!$B$10,Paramètres!$A$1:$I$89,3,0)*0.475*44/12</f>
        <v>6.3095465028988258</v>
      </c>
      <c r="AX64" s="21">
        <f t="shared" si="6"/>
        <v>51.039610638130682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1.4210854715202004E-13</v>
      </c>
      <c r="BE64" s="13">
        <f>BD64*VLOOKUP('Données projet'!$B$11,Paramètres!$A$1:$I$89,3,0)*VLOOKUP('Données projet'!$B$11,Paramètres!$A$1:$I$89,5,0)</f>
        <v>7.7591266745002952E-14</v>
      </c>
      <c r="BF64" s="13">
        <f t="shared" si="37"/>
        <v>1.2005788606873384E-12</v>
      </c>
      <c r="BG64" s="20">
        <f t="shared" si="7"/>
        <v>2.226146305277994E-12</v>
      </c>
      <c r="BH64" s="59">
        <f t="shared" si="8"/>
        <v>293.33333333333553</v>
      </c>
      <c r="BI64" s="59">
        <f ca="1">AVERAGE(OFFSET($BH$3,0,0,'Données projet'!$E$11+1,1))-AVERAGE(OFFSET($H$3,0,0,'Données projet'!$E$11+1,1))</f>
        <v>165.87377022031535</v>
      </c>
      <c r="BJ64" s="59">
        <f t="shared" si="38"/>
        <v>272.91122662088929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74.175568703454843</v>
      </c>
      <c r="BQ64" s="21">
        <f>EXP(-LN(2)/25)*BQ63+(1-EXP(-LN(2)/25))/(LN(2)/25)*Calculateur!BL64*Calculateur!BN64*VLOOKUP('Données projet'!$B$11,Paramètres!$A$1:$I$89,3,0)*0.475*44/12</f>
        <v>21.556925736355829</v>
      </c>
      <c r="BR64" s="21">
        <f>EXP(-LN(2)/2)*BR63+(1-EXP(-LN(2)/2))/(LN(2)/2)*BL64*BO64*VLOOKUP('Données projet'!$B$11,Paramètres!$A$1:$I$89,3,0)*0.475*44/12</f>
        <v>1.7791767067611826E-2</v>
      </c>
      <c r="BS64" s="22">
        <f t="shared" si="9"/>
        <v>95.750286206878272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12.448749999999997</v>
      </c>
      <c r="BY64" s="12">
        <f>IF('Données projet'!$A$114&gt;35,BY63+BX64-CG63,IF(A64&lt;'Données projet'!$A$114,$BV$205^A64,IF(A64='Données projet'!$A$114,'Données projet'!$B$114,BY63+BX64-CG63)))</f>
        <v>298.0562500000002</v>
      </c>
      <c r="BZ64" s="13">
        <f>BY64*VLOOKUP('Données projet'!$B$12,Paramètres!$A$1:$I$89,3,0)*VLOOKUP('Données projet'!$B$12,Paramètres!$A$1:$I$89,5,0)</f>
        <v>269.6812950000002</v>
      </c>
      <c r="CA64" s="13">
        <f t="shared" si="39"/>
        <v>64.781627394635692</v>
      </c>
      <c r="CB64" s="20">
        <f t="shared" si="10"/>
        <v>582.52292317065746</v>
      </c>
      <c r="CC64" s="59">
        <f t="shared" si="11"/>
        <v>875.85625650399083</v>
      </c>
      <c r="CD64" s="59">
        <f ca="1">AVERAGE(OFFSET($CC$3,0,0,'Données projet'!$E$12+1,1))-AVERAGE(OFFSET($H$3,0,0,'Données projet'!$E$12+1,1))</f>
        <v>639.86968831634636</v>
      </c>
      <c r="CE64" s="59">
        <f t="shared" si="40"/>
        <v>218.1556771431184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3.8460000000000036</v>
      </c>
      <c r="CT64" s="12">
        <f>IF('Données projet'!$A$140&gt;35,CT63+CS64-DB63,IF(A64&lt;'Données projet'!$A$140,$CQ$205^A64,IF(A64='Données projet'!$A$140,'Données projet'!$B$140,CT63+CS64-DB63)))</f>
        <v>142.3060000000001</v>
      </c>
      <c r="CU64" s="17">
        <f>CT64*VLOOKUP('Données projet'!$B$13,Paramètres!$A$1:$I$89,3,0)*VLOOKUP('Données projet'!$B$13,Paramètres!$A$1:$I$89,5,0)</f>
        <v>124.3185216000001</v>
      </c>
      <c r="CV64" s="13">
        <f t="shared" si="41"/>
        <v>32.680141651338566</v>
      </c>
      <c r="CW64" s="20">
        <f t="shared" si="13"/>
        <v>273.43933849608146</v>
      </c>
      <c r="CX64" s="59">
        <f t="shared" si="14"/>
        <v>566.77267182941478</v>
      </c>
      <c r="CY64" s="59">
        <f ca="1">AVERAGE(OFFSET($CX$3,0,0,'Données projet'!$E$13+1,1))-AVERAGE(OFFSET($H$3,0,0,'Données projet'!$E$13+1,1))</f>
        <v>218.76600554860482</v>
      </c>
      <c r="CZ64" s="59">
        <f t="shared" si="42"/>
        <v>264.34840059907702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12.376113836785914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12.376113836785914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12.903333333333332</v>
      </c>
      <c r="DO64" s="12">
        <f>IF('Données projet'!$A$166&gt;35,DO63+DN64-DW63,IF(A64&lt;'Données projet'!$A$166,$DL$205^A64,IF(A64='Données projet'!$A$166,'Données projet'!$B$166,DO63+DN64-DW63)))</f>
        <v>285.14333333333292</v>
      </c>
      <c r="DP64" s="17">
        <f>DO64*VLOOKUP('Données projet'!$B$14,Paramètres!$A$1:$I$89,3,0)*VLOOKUP('Données projet'!$B$14,Paramètres!$A$1:$I$89,5,0)</f>
        <v>244.65297999999964</v>
      </c>
      <c r="DQ64" s="13">
        <f t="shared" si="43"/>
        <v>59.439520261245136</v>
      </c>
      <c r="DR64" s="20">
        <f t="shared" si="16"/>
        <v>529.62777128833466</v>
      </c>
      <c r="DS64" s="59">
        <f t="shared" si="17"/>
        <v>822.96110462166803</v>
      </c>
      <c r="DT64" s="59">
        <f ca="1">AVERAGE(OFFSET($DS$3,0,0,'Données projet'!$E$14+1,1))-AVERAGE(OFFSET($H$3,0,0,'Données projet'!$E$14+1,1))</f>
        <v>442.97490100035287</v>
      </c>
      <c r="DU64" s="59">
        <f t="shared" si="44"/>
        <v>334.36243356457049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8.6666666666666661</v>
      </c>
      <c r="EJ64" s="12">
        <f>IF('Données projet'!$A$192&gt;35,EJ63+EI64-ER63,IF(A64&lt;'Données projet'!$A$192,$EG$205^A64,IF(A64='Données projet'!$A$192,'Données projet'!$B$192,EJ63+EI64-ER63)))</f>
        <v>258.66666666666657</v>
      </c>
      <c r="EK64" s="17">
        <f>EJ64*VLOOKUP('Données projet'!$B$15,Paramètres!$A$1:$I$89,3,0)*VLOOKUP('Données projet'!$B$15,Paramètres!$A$1:$I$89,5,0)</f>
        <v>201.75999999999993</v>
      </c>
      <c r="EL64" s="13">
        <f t="shared" si="45"/>
        <v>50.130765000424169</v>
      </c>
      <c r="EM64" s="20">
        <f t="shared" si="19"/>
        <v>438.70974904240529</v>
      </c>
      <c r="EN64" s="59">
        <f t="shared" si="20"/>
        <v>732.04308237573855</v>
      </c>
      <c r="EO64" s="59">
        <f ca="1">AVERAGE(OFFSET($EN$3,0,0,'Données projet'!$E$15+1,1))-AVERAGE(OFFSET($H$3,0,0,'Données projet'!$E$15+1,1))</f>
        <v>288.82868507674738</v>
      </c>
      <c r="EP64" s="59">
        <f t="shared" si="46"/>
        <v>283.48738729114024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25.55798737391212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25.55798737391212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209.10863999999989</v>
      </c>
      <c r="FG64" s="13">
        <f t="shared" si="47"/>
        <v>51.740752917407036</v>
      </c>
      <c r="FH64" s="20">
        <f t="shared" si="22"/>
        <v>454.31269266448368</v>
      </c>
      <c r="FI64" s="59">
        <f t="shared" si="23"/>
        <v>747.64602599781699</v>
      </c>
      <c r="FJ64" s="59">
        <f ca="1">AVERAGE(OFFSET($FI$3,0,0,'Données projet'!$E$16+1,1))-AVERAGE(OFFSET($H$3,0,0,'Données projet'!$E$16+1,1))</f>
        <v>328.55201074501201</v>
      </c>
      <c r="FK64" s="59">
        <f t="shared" si="48"/>
        <v>321.81422611044985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13.523421484052198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13.523421484052198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5.2</v>
      </c>
      <c r="FZ64" s="12">
        <f>IF('Données projet'!$A$244&gt;35,FZ63+FY64-GH63,IF(A64&lt;'Données projet'!$A$244,$FW$205^A64,IF(A64='Données projet'!$A$244,'Données projet'!$B$244,FZ63+FY64-GH63)))</f>
        <v>285.19999999999987</v>
      </c>
      <c r="GA64" s="17">
        <f>FZ64*VLOOKUP('Données projet'!$B$17,Paramètres!$A$1:$I$89,3,0)*VLOOKUP('Données projet'!$B$17,Paramètres!$A$1:$I$89,5,0)</f>
        <v>226.90511999999993</v>
      </c>
      <c r="GB64" s="13">
        <f t="shared" si="49"/>
        <v>55.612969408444364</v>
      </c>
      <c r="GC64" s="20">
        <f t="shared" si="25"/>
        <v>492.05233905304044</v>
      </c>
      <c r="GD64" s="59">
        <f t="shared" si="26"/>
        <v>785.3856723863737</v>
      </c>
      <c r="GE64" s="59">
        <f ca="1">AVERAGE(OFFSET($GD$3,0,0,'Données projet'!$E$17+1,1))-AVERAGE(OFFSET($H$3,0,0,'Données projet'!$E$17+1,1))</f>
        <v>353.37024194969638</v>
      </c>
      <c r="GF64" s="59">
        <f t="shared" si="50"/>
        <v>345.4750813433123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18.086990733000047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18.086990733000047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1.2710188457276673E-13</v>
      </c>
      <c r="P65" s="13">
        <f t="shared" si="33"/>
        <v>1.856866851063998E-12</v>
      </c>
      <c r="Q65" s="20">
        <f t="shared" si="53"/>
        <v>3.4554122145673649E-12</v>
      </c>
      <c r="R65" s="59">
        <f t="shared" si="0"/>
        <v>293.33333333333678</v>
      </c>
      <c r="S65" s="59">
        <f ca="1">AVERAGE(OFFSET($R$3,0,0,'Données projet'!$E$9+1,1))-AVERAGE(OFFSET($H$3,0,0,'Données projet'!$E$9+1,1))</f>
        <v>404.65492118472037</v>
      </c>
      <c r="T65" s="59">
        <f t="shared" si="34"/>
        <v>534.22295841722166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239.75433206081601</v>
      </c>
      <c r="AA65" s="21">
        <f>EXP(-LN(2)/25)*AA64+(1-EXP(-LN(2)/25))/(LN(2)/25)*Calculateur!V65*Calculateur!X65*VLOOKUP('Données projet'!$B$9,Paramètres!$A$1:$I$89,3,0)*0.475*44/12</f>
        <v>58.883805048217724</v>
      </c>
      <c r="AB65" s="21">
        <f>EXP(-LN(2)/2)*AB64+(1-EXP(-LN(2)/2))/(LN(2)/2)*V65*Y65*VLOOKUP('Données projet'!$B$9,Paramètres!$A$1:$I$89,3,0)*0.475*44/12</f>
        <v>2.6265915862604343</v>
      </c>
      <c r="AC65" s="22">
        <f t="shared" si="3"/>
        <v>301.26472869529414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15.871250000000011</v>
      </c>
      <c r="AI65" s="13">
        <f>IF('Données projet'!$A$62&gt;35,AI64+AH65-AQ64,IF(A65&lt;'Données projet'!$A$62,$AF$205^A65,IF(A65='Données projet'!$A$62,'Données projet'!$B$62,AI64+AH65-AQ64)))</f>
        <v>370.42499999999995</v>
      </c>
      <c r="AJ65" s="13">
        <f>AI65*VLOOKUP('Données projet'!$B$10,Paramètres!$A$1:$I$89,3,0)*VLOOKUP('Données projet'!$B$10,Paramètres!$A$1:$I$89,5,0)</f>
        <v>173.35889999999998</v>
      </c>
      <c r="AK65" s="13">
        <f t="shared" si="35"/>
        <v>43.841446673296076</v>
      </c>
      <c r="AL65" s="20">
        <f t="shared" si="4"/>
        <v>378.29060378932394</v>
      </c>
      <c r="AM65" s="59">
        <f t="shared" si="5"/>
        <v>671.62393712265725</v>
      </c>
      <c r="AN65" s="59">
        <f ca="1">AVERAGE(OFFSET($AM$3,0,0,'Données projet'!$E$10+1,1))-AVERAGE(OFFSET($H$3,0,0,'Données projet'!$E$10+1,1))</f>
        <v>331.17634116262298</v>
      </c>
      <c r="AO65" s="59">
        <f t="shared" si="36"/>
        <v>286.28916368940605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5.510317892225622</v>
      </c>
      <c r="AV65" s="21">
        <f>EXP(-LN(2)/25)*AV64+(1-EXP(-LN(2)/25))/(LN(2)/25)*Calculateur!AQ65*Calculateur!AS65*VLOOKUP('Données projet'!$B$10,Paramètres!$A$1:$I$89,3,0)*0.475*44/12</f>
        <v>38.040078834405705</v>
      </c>
      <c r="AW65" s="21">
        <f>EXP(-LN(2)/2)*AW64+(1-EXP(-LN(2)/2))/(LN(2)/2)*AQ65*AT65*VLOOKUP('Données projet'!$B$10,Paramètres!$A$1:$I$89,3,0)*0.475*44/12</f>
        <v>4.4615231184116269</v>
      </c>
      <c r="AX65" s="21">
        <f t="shared" si="6"/>
        <v>48.011919845042954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1.4210854715202004E-13</v>
      </c>
      <c r="BE65" s="13">
        <f>BD65*VLOOKUP('Données projet'!$B$11,Paramètres!$A$1:$I$89,3,0)*VLOOKUP('Données projet'!$B$11,Paramètres!$A$1:$I$89,5,0)</f>
        <v>7.7591266745002952E-14</v>
      </c>
      <c r="BF65" s="13">
        <f t="shared" si="37"/>
        <v>1.2005788606873384E-12</v>
      </c>
      <c r="BG65" s="20">
        <f t="shared" si="7"/>
        <v>2.226146305277994E-12</v>
      </c>
      <c r="BH65" s="59">
        <f t="shared" si="8"/>
        <v>293.33333333333553</v>
      </c>
      <c r="BI65" s="59">
        <f ca="1">AVERAGE(OFFSET($BH$3,0,0,'Données projet'!$E$11+1,1))-AVERAGE(OFFSET($H$3,0,0,'Données projet'!$E$11+1,1))</f>
        <v>165.87377022031535</v>
      </c>
      <c r="BJ65" s="59">
        <f t="shared" si="38"/>
        <v>272.91122662088929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72.72103104380966</v>
      </c>
      <c r="BQ65" s="21">
        <f>EXP(-LN(2)/25)*BQ64+(1-EXP(-LN(2)/25))/(LN(2)/25)*Calculateur!BL65*Calculateur!BN65*VLOOKUP('Données projet'!$B$11,Paramètres!$A$1:$I$89,3,0)*0.475*44/12</f>
        <v>20.967450468465724</v>
      </c>
      <c r="BR65" s="21">
        <f>EXP(-LN(2)/2)*BR64+(1-EXP(-LN(2)/2))/(LN(2)/2)*BL65*BO65*VLOOKUP('Données projet'!$B$11,Paramètres!$A$1:$I$89,3,0)*0.475*44/12</f>
        <v>1.2580679142799818E-2</v>
      </c>
      <c r="BS65" s="22">
        <f t="shared" si="9"/>
        <v>93.701062191418188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12.448749999999997</v>
      </c>
      <c r="BY65" s="12">
        <f>IF('Données projet'!$A$114&gt;35,BY64+BX65-CG64,IF(A65&lt;'Données projet'!$A$114,$BV$205^A65,IF(A65='Données projet'!$A$114,'Données projet'!$B$114,BY64+BX65-CG64)))</f>
        <v>310.50500000000022</v>
      </c>
      <c r="BZ65" s="13">
        <f>BY65*VLOOKUP('Données projet'!$B$12,Paramètres!$A$1:$I$89,3,0)*VLOOKUP('Données projet'!$B$12,Paramètres!$A$1:$I$89,5,0)</f>
        <v>280.94492400000019</v>
      </c>
      <c r="CA65" s="13">
        <f t="shared" si="39"/>
        <v>67.166659313949779</v>
      </c>
      <c r="CB65" s="20">
        <f t="shared" si="10"/>
        <v>606.29434093846282</v>
      </c>
      <c r="CC65" s="59">
        <f t="shared" si="11"/>
        <v>899.6276742717962</v>
      </c>
      <c r="CD65" s="59">
        <f ca="1">AVERAGE(OFFSET($CC$3,0,0,'Données projet'!$E$12+1,1))-AVERAGE(OFFSET($H$3,0,0,'Données projet'!$E$12+1,1))</f>
        <v>639.86968831634636</v>
      </c>
      <c r="CE65" s="59">
        <f t="shared" si="40"/>
        <v>218.1556771431184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3.8460000000000036</v>
      </c>
      <c r="CT65" s="12">
        <f>IF('Données projet'!$A$140&gt;35,CT64+CS65-DB64,IF(A65&lt;'Données projet'!$A$140,$CQ$205^A65,IF(A65='Données projet'!$A$140,'Données projet'!$B$140,CT64+CS65-DB64)))</f>
        <v>146.1520000000001</v>
      </c>
      <c r="CU65" s="17">
        <f>CT65*VLOOKUP('Données projet'!$B$13,Paramètres!$A$1:$I$89,3,0)*VLOOKUP('Données projet'!$B$13,Paramètres!$A$1:$I$89,5,0)</f>
        <v>127.6783872000001</v>
      </c>
      <c r="CV65" s="13">
        <f t="shared" si="41"/>
        <v>33.459341461694301</v>
      </c>
      <c r="CW65" s="20">
        <f t="shared" si="13"/>
        <v>280.64821075245106</v>
      </c>
      <c r="CX65" s="59">
        <f t="shared" si="14"/>
        <v>573.98154408578444</v>
      </c>
      <c r="CY65" s="59">
        <f ca="1">AVERAGE(OFFSET($CX$3,0,0,'Données projet'!$E$13+1,1))-AVERAGE(OFFSET($H$3,0,0,'Données projet'!$E$13+1,1))</f>
        <v>218.76600554860482</v>
      </c>
      <c r="CZ65" s="59">
        <f t="shared" si="42"/>
        <v>264.34840059907702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12.133425793130611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12.133425793130611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12.903333333333332</v>
      </c>
      <c r="DO65" s="12">
        <f>IF('Données projet'!$A$166&gt;35,DO64+DN65-DW64,IF(A65&lt;'Données projet'!$A$166,$DL$205^A65,IF(A65='Données projet'!$A$166,'Données projet'!$B$166,DO64+DN65-DW64)))</f>
        <v>298.04666666666623</v>
      </c>
      <c r="DP65" s="17">
        <f>DO65*VLOOKUP('Données projet'!$B$14,Paramètres!$A$1:$I$89,3,0)*VLOOKUP('Données projet'!$B$14,Paramètres!$A$1:$I$89,5,0)</f>
        <v>255.72403999999966</v>
      </c>
      <c r="DQ65" s="13">
        <f t="shared" si="43"/>
        <v>61.810038281125308</v>
      </c>
      <c r="DR65" s="20">
        <f t="shared" si="16"/>
        <v>553.0385196729593</v>
      </c>
      <c r="DS65" s="59">
        <f t="shared" si="17"/>
        <v>846.37185300629267</v>
      </c>
      <c r="DT65" s="59">
        <f ca="1">AVERAGE(OFFSET($DS$3,0,0,'Données projet'!$E$14+1,1))-AVERAGE(OFFSET($H$3,0,0,'Données projet'!$E$14+1,1))</f>
        <v>442.97490100035287</v>
      </c>
      <c r="DU65" s="59">
        <f t="shared" si="44"/>
        <v>334.36243356457049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8.6666666666666661</v>
      </c>
      <c r="EJ65" s="12">
        <f>IF('Données projet'!$A$192&gt;35,EJ64+EI65-ER64,IF(A65&lt;'Données projet'!$A$192,$EG$205^A65,IF(A65='Données projet'!$A$192,'Données projet'!$B$192,EJ64+EI65-ER64)))</f>
        <v>267.33333333333326</v>
      </c>
      <c r="EK65" s="17">
        <f>EJ65*VLOOKUP('Données projet'!$B$15,Paramètres!$A$1:$I$89,3,0)*VLOOKUP('Données projet'!$B$15,Paramètres!$A$1:$I$89,5,0)</f>
        <v>208.51999999999995</v>
      </c>
      <c r="EL65" s="13">
        <f t="shared" si="45"/>
        <v>51.612035456318459</v>
      </c>
      <c r="EM65" s="20">
        <f t="shared" si="19"/>
        <v>453.06329508642119</v>
      </c>
      <c r="EN65" s="59">
        <f t="shared" si="20"/>
        <v>746.39662841975451</v>
      </c>
      <c r="EO65" s="59">
        <f ca="1">AVERAGE(OFFSET($EN$3,0,0,'Données projet'!$E$15+1,1))-AVERAGE(OFFSET($H$3,0,0,'Données projet'!$E$15+1,1))</f>
        <v>288.82868507674738</v>
      </c>
      <c r="EP65" s="59">
        <f t="shared" si="46"/>
        <v>283.48738729114024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25.05681083034273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25.05681083034273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212.92127999999988</v>
      </c>
      <c r="FG65" s="13">
        <f t="shared" si="47"/>
        <v>52.57344469809297</v>
      </c>
      <c r="FH65" s="20">
        <f t="shared" si="22"/>
        <v>462.40331218251168</v>
      </c>
      <c r="FI65" s="59">
        <f t="shared" si="23"/>
        <v>755.736645515845</v>
      </c>
      <c r="FJ65" s="59">
        <f ca="1">AVERAGE(OFFSET($FI$3,0,0,'Données projet'!$E$16+1,1))-AVERAGE(OFFSET($H$3,0,0,'Données projet'!$E$16+1,1))</f>
        <v>328.55201074501201</v>
      </c>
      <c r="FK65" s="59">
        <f t="shared" si="48"/>
        <v>321.81422611044985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13.25823543722257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13.25823543722257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5.2</v>
      </c>
      <c r="FZ65" s="12">
        <f>IF('Données projet'!$A$244&gt;35,FZ64+FY65-GH64,IF(A65&lt;'Données projet'!$A$244,$FW$205^A65,IF(A65='Données projet'!$A$244,'Données projet'!$B$244,FZ64+FY65-GH64)))</f>
        <v>290.39999999999986</v>
      </c>
      <c r="GA65" s="17">
        <f>FZ65*VLOOKUP('Données projet'!$B$17,Paramètres!$A$1:$I$89,3,0)*VLOOKUP('Données projet'!$B$17,Paramètres!$A$1:$I$89,5,0)</f>
        <v>231.04223999999991</v>
      </c>
      <c r="GB65" s="13">
        <f t="shared" si="49"/>
        <v>56.507978852931409</v>
      </c>
      <c r="GC65" s="20">
        <f t="shared" si="25"/>
        <v>500.81663116885539</v>
      </c>
      <c r="GD65" s="59">
        <f t="shared" si="26"/>
        <v>794.14996450218871</v>
      </c>
      <c r="GE65" s="59">
        <f ca="1">AVERAGE(OFFSET($GD$3,0,0,'Données projet'!$E$17+1,1))-AVERAGE(OFFSET($H$3,0,0,'Données projet'!$E$17+1,1))</f>
        <v>353.37024194969638</v>
      </c>
      <c r="GF65" s="59">
        <f t="shared" si="50"/>
        <v>345.4750813433123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17.732315876700945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17.732315876700945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1.2710188457276673E-13</v>
      </c>
      <c r="P66" s="13">
        <f t="shared" si="33"/>
        <v>1.856866851063998E-12</v>
      </c>
      <c r="Q66" s="20">
        <f t="shared" si="53"/>
        <v>3.4554122145673649E-12</v>
      </c>
      <c r="R66" s="59">
        <f t="shared" si="0"/>
        <v>293.33333333333678</v>
      </c>
      <c r="S66" s="59">
        <f ca="1">AVERAGE(OFFSET($R$3,0,0,'Données projet'!$E$9+1,1))-AVERAGE(OFFSET($H$3,0,0,'Données projet'!$E$9+1,1))</f>
        <v>404.65492118472037</v>
      </c>
      <c r="T66" s="59">
        <f t="shared" si="34"/>
        <v>534.22295841722166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235.05289584480639</v>
      </c>
      <c r="AA66" s="21">
        <f>EXP(-LN(2)/25)*AA65+(1-EXP(-LN(2)/25))/(LN(2)/25)*Calculateur!V66*Calculateur!X66*VLOOKUP('Données projet'!$B$9,Paramètres!$A$1:$I$89,3,0)*0.475*44/12</f>
        <v>57.273624302609484</v>
      </c>
      <c r="AB66" s="21">
        <f>EXP(-LN(2)/2)*AB65+(1-EXP(-LN(2)/2))/(LN(2)/2)*V66*Y66*VLOOKUP('Données projet'!$B$9,Paramètres!$A$1:$I$89,3,0)*0.475*44/12</f>
        <v>1.8572807220522838</v>
      </c>
      <c r="AC66" s="22">
        <f t="shared" si="3"/>
        <v>294.18380086946814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15.871250000000011</v>
      </c>
      <c r="AI66" s="13">
        <f>IF('Données projet'!$A$62&gt;35,AI65+AH66-AQ65,IF(A66&lt;'Données projet'!$A$62,$AF$205^A66,IF(A66='Données projet'!$A$62,'Données projet'!$B$62,AI65+AH66-AQ65)))</f>
        <v>386.29624999999999</v>
      </c>
      <c r="AJ66" s="13">
        <f>AI66*VLOOKUP('Données projet'!$B$10,Paramètres!$A$1:$I$89,3,0)*VLOOKUP('Données projet'!$B$10,Paramètres!$A$1:$I$89,5,0)</f>
        <v>180.78664499999999</v>
      </c>
      <c r="AK66" s="13">
        <f t="shared" si="35"/>
        <v>45.497155743655568</v>
      </c>
      <c r="AL66" s="20">
        <f t="shared" si="4"/>
        <v>394.11095296186676</v>
      </c>
      <c r="AM66" s="59">
        <f t="shared" si="5"/>
        <v>687.44428629520007</v>
      </c>
      <c r="AN66" s="59">
        <f ca="1">AVERAGE(OFFSET($AM$3,0,0,'Données projet'!$E$10+1,1))-AVERAGE(OFFSET($H$3,0,0,'Données projet'!$E$10+1,1))</f>
        <v>331.17634116262298</v>
      </c>
      <c r="AO66" s="59">
        <f t="shared" si="36"/>
        <v>286.28916368940605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5.4022639193211246</v>
      </c>
      <c r="AV66" s="21">
        <f>EXP(-LN(2)/25)*AV65+(1-EXP(-LN(2)/25))/(LN(2)/25)*Calculateur!AQ66*Calculateur!AS66*VLOOKUP('Données projet'!$B$10,Paramètres!$A$1:$I$89,3,0)*0.475*44/12</f>
        <v>36.999870878238077</v>
      </c>
      <c r="AW66" s="21">
        <f>EXP(-LN(2)/2)*AW65+(1-EXP(-LN(2)/2))/(LN(2)/2)*AQ66*AT66*VLOOKUP('Données projet'!$B$10,Paramètres!$A$1:$I$89,3,0)*0.475*44/12</f>
        <v>3.1547732514494138</v>
      </c>
      <c r="AX66" s="21">
        <f t="shared" si="6"/>
        <v>45.556908049008612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1.4210854715202004E-13</v>
      </c>
      <c r="BE66" s="13">
        <f>BD66*VLOOKUP('Données projet'!$B$11,Paramètres!$A$1:$I$89,3,0)*VLOOKUP('Données projet'!$B$11,Paramètres!$A$1:$I$89,5,0)</f>
        <v>7.7591266745002952E-14</v>
      </c>
      <c r="BF66" s="13">
        <f t="shared" si="37"/>
        <v>1.2005788606873384E-12</v>
      </c>
      <c r="BG66" s="20">
        <f t="shared" si="7"/>
        <v>2.226146305277994E-12</v>
      </c>
      <c r="BH66" s="59">
        <f t="shared" si="8"/>
        <v>293.33333333333553</v>
      </c>
      <c r="BI66" s="59">
        <f ca="1">AVERAGE(OFFSET($BH$3,0,0,'Données projet'!$E$11+1,1))-AVERAGE(OFFSET($H$3,0,0,'Données projet'!$E$11+1,1))</f>
        <v>165.87377022031535</v>
      </c>
      <c r="BJ66" s="59">
        <f t="shared" si="38"/>
        <v>272.91122662088929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71.295015980489751</v>
      </c>
      <c r="BQ66" s="21">
        <f>EXP(-LN(2)/25)*BQ65+(1-EXP(-LN(2)/25))/(LN(2)/25)*Calculateur!BL66*Calculateur!BN66*VLOOKUP('Données projet'!$B$11,Paramètres!$A$1:$I$89,3,0)*0.475*44/12</f>
        <v>20.39409443277523</v>
      </c>
      <c r="BR66" s="21">
        <f>EXP(-LN(2)/2)*BR65+(1-EXP(-LN(2)/2))/(LN(2)/2)*BL66*BO66*VLOOKUP('Données projet'!$B$11,Paramètres!$A$1:$I$89,3,0)*0.475*44/12</f>
        <v>8.8958835338059129E-3</v>
      </c>
      <c r="BS66" s="22">
        <f t="shared" si="9"/>
        <v>91.698006296798795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12.448749999999997</v>
      </c>
      <c r="BY66" s="12">
        <f>IF('Données projet'!$A$114&gt;35,BY65+BX66-CG65,IF(A66&lt;'Données projet'!$A$114,$BV$205^A66,IF(A66='Données projet'!$A$114,'Données projet'!$B$114,BY65+BX66-CG65)))</f>
        <v>322.95375000000024</v>
      </c>
      <c r="BZ66" s="13">
        <f>BY66*VLOOKUP('Données projet'!$B$12,Paramètres!$A$1:$I$89,3,0)*VLOOKUP('Données projet'!$B$12,Paramètres!$A$1:$I$89,5,0)</f>
        <v>292.20855300000017</v>
      </c>
      <c r="CA66" s="13">
        <f t="shared" si="39"/>
        <v>69.540583786246899</v>
      </c>
      <c r="CB66" s="20">
        <f t="shared" si="10"/>
        <v>630.04641323604687</v>
      </c>
      <c r="CC66" s="59">
        <f t="shared" si="11"/>
        <v>923.37974656938013</v>
      </c>
      <c r="CD66" s="59">
        <f ca="1">AVERAGE(OFFSET($CC$3,0,0,'Données projet'!$E$12+1,1))-AVERAGE(OFFSET($H$3,0,0,'Données projet'!$E$12+1,1))</f>
        <v>639.86968831634636</v>
      </c>
      <c r="CE66" s="59">
        <f t="shared" si="40"/>
        <v>218.1556771431184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3.8460000000000036</v>
      </c>
      <c r="CT66" s="12">
        <f>IF('Données projet'!$A$140&gt;35,CT65+CS66-DB65,IF(A66&lt;'Données projet'!$A$140,$CQ$205^A66,IF(A66='Données projet'!$A$140,'Données projet'!$B$140,CT65+CS66-DB65)))</f>
        <v>149.9980000000001</v>
      </c>
      <c r="CU66" s="17">
        <f>CT66*VLOOKUP('Données projet'!$B$13,Paramètres!$A$1:$I$89,3,0)*VLOOKUP('Données projet'!$B$13,Paramètres!$A$1:$I$89,5,0)</f>
        <v>131.03825280000012</v>
      </c>
      <c r="CV66" s="13">
        <f t="shared" si="41"/>
        <v>34.236157886296802</v>
      </c>
      <c r="CW66" s="20">
        <f t="shared" si="13"/>
        <v>287.8529319453005</v>
      </c>
      <c r="CX66" s="59">
        <f t="shared" si="14"/>
        <v>581.18626527863375</v>
      </c>
      <c r="CY66" s="59">
        <f ca="1">AVERAGE(OFFSET($CX$3,0,0,'Données projet'!$E$13+1,1))-AVERAGE(OFFSET($H$3,0,0,'Données projet'!$E$13+1,1))</f>
        <v>218.76600554860482</v>
      </c>
      <c r="CZ66" s="59">
        <f t="shared" si="42"/>
        <v>264.34840059907702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11.895496713986299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11.895496713986299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310.95</v>
      </c>
      <c r="DM66" s="12">
        <f>VLOOKUP(A66,'Données projet'!$A$165:$I$185,9,0)</f>
        <v>12.903333333333332</v>
      </c>
      <c r="DN66" s="12">
        <f t="array" ref="DN66">INDEX(DM:DM,MIN(IF(ISNUMBER(DM66:DM262),ROW(DM66:DM262),"")))</f>
        <v>12.903333333333332</v>
      </c>
      <c r="DO66" s="12">
        <f>IF('Données projet'!$A$166&gt;35,DO65+DN66-DW65,IF(A66&lt;'Données projet'!$A$166,$DL$205^A66,IF(A66='Données projet'!$A$166,'Données projet'!$B$166,DO65+DN66-DW65)))</f>
        <v>310.94999999999953</v>
      </c>
      <c r="DP66" s="17">
        <f>DO66*VLOOKUP('Données projet'!$B$14,Paramètres!$A$1:$I$89,3,0)*VLOOKUP('Données projet'!$B$14,Paramètres!$A$1:$I$89,5,0)</f>
        <v>266.79509999999965</v>
      </c>
      <c r="DQ66" s="13">
        <f t="shared" si="43"/>
        <v>64.168636654787804</v>
      </c>
      <c r="DR66" s="20">
        <f t="shared" si="16"/>
        <v>576.42850800708823</v>
      </c>
      <c r="DS66" s="59">
        <f t="shared" si="17"/>
        <v>869.7618413404216</v>
      </c>
      <c r="DT66" s="59">
        <f ca="1">AVERAGE(OFFSET($DS$3,0,0,'Données projet'!$E$14+1,1))-AVERAGE(OFFSET($H$3,0,0,'Données projet'!$E$14+1,1))</f>
        <v>442.97490100035287</v>
      </c>
      <c r="DU66" s="59">
        <f t="shared" si="44"/>
        <v>334.36243356457049</v>
      </c>
      <c r="DV66" s="15">
        <f>IF(ISNA(VLOOKUP(A66,'Données projet'!$A$165:$I$185,3,0)),0,VLOOKUP(A66,'Données projet'!$A$165:$I$185,3,0))</f>
        <v>4</v>
      </c>
      <c r="DW66" s="15">
        <f>IF(ISNA(VLOOKUP(A66,'Données projet'!$A$165:$I$185,4,0)),0,VLOOKUP(A66,'Données projet'!$A$165:$I$185,4,0))</f>
        <v>81.72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8.6666666666666661</v>
      </c>
      <c r="EJ66" s="12">
        <f>IF('Données projet'!$A$192&gt;35,EJ65+EI66-ER65,IF(A66&lt;'Données projet'!$A$192,$EG$205^A66,IF(A66='Données projet'!$A$192,'Données projet'!$B$192,EJ65+EI66-ER65)))</f>
        <v>275.99999999999994</v>
      </c>
      <c r="EK66" s="17">
        <f>EJ66*VLOOKUP('Données projet'!$B$15,Paramètres!$A$1:$I$89,3,0)*VLOOKUP('Données projet'!$B$15,Paramètres!$A$1:$I$89,5,0)</f>
        <v>215.27999999999997</v>
      </c>
      <c r="EL66" s="13">
        <f t="shared" si="45"/>
        <v>53.087725740853138</v>
      </c>
      <c r="EM66" s="20">
        <f t="shared" si="19"/>
        <v>467.40712233198587</v>
      </c>
      <c r="EN66" s="59">
        <f t="shared" si="20"/>
        <v>760.74045566531913</v>
      </c>
      <c r="EO66" s="59">
        <f ca="1">AVERAGE(OFFSET($EN$3,0,0,'Données projet'!$E$15+1,1))-AVERAGE(OFFSET($H$3,0,0,'Données projet'!$E$15+1,1))</f>
        <v>288.82868507674738</v>
      </c>
      <c r="EP66" s="59">
        <f t="shared" si="46"/>
        <v>283.48738729114024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24.565462053105229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24.565462053105229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216.7339199999999</v>
      </c>
      <c r="FG66" s="13">
        <f t="shared" si="47"/>
        <v>53.404402610883679</v>
      </c>
      <c r="FH66" s="20">
        <f t="shared" si="22"/>
        <v>470.49091188062221</v>
      </c>
      <c r="FI66" s="59">
        <f t="shared" si="23"/>
        <v>763.82424521395546</v>
      </c>
      <c r="FJ66" s="59">
        <f ca="1">AVERAGE(OFFSET($FI$3,0,0,'Données projet'!$E$16+1,1))-AVERAGE(OFFSET($H$3,0,0,'Données projet'!$E$16+1,1))</f>
        <v>328.55201074501201</v>
      </c>
      <c r="FK66" s="59">
        <f t="shared" si="48"/>
        <v>321.81422611044985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12.998249527023754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12.998249527023754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5.2</v>
      </c>
      <c r="FZ66" s="12">
        <f>IF('Données projet'!$A$244&gt;35,FZ65+FY66-GH65,IF(A66&lt;'Données projet'!$A$244,$FW$205^A66,IF(A66='Données projet'!$A$244,'Données projet'!$B$244,FZ65+FY66-GH65)))</f>
        <v>295.59999999999985</v>
      </c>
      <c r="GA66" s="17">
        <f>FZ66*VLOOKUP('Données projet'!$B$17,Paramètres!$A$1:$I$89,3,0)*VLOOKUP('Données projet'!$B$17,Paramètres!$A$1:$I$89,5,0)</f>
        <v>235.17935999999989</v>
      </c>
      <c r="GB66" s="13">
        <f t="shared" si="49"/>
        <v>57.401124668909425</v>
      </c>
      <c r="GC66" s="20">
        <f t="shared" si="25"/>
        <v>509.57767746501708</v>
      </c>
      <c r="GD66" s="59">
        <f t="shared" si="26"/>
        <v>802.91101079835039</v>
      </c>
      <c r="GE66" s="59">
        <f ca="1">AVERAGE(OFFSET($GD$3,0,0,'Données projet'!$E$17+1,1))-AVERAGE(OFFSET($H$3,0,0,'Données projet'!$E$17+1,1))</f>
        <v>353.37024194969638</v>
      </c>
      <c r="GF66" s="59">
        <f t="shared" si="50"/>
        <v>345.4750813433123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17.384595978003567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17.384595978003567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1.2710188457276673E-13</v>
      </c>
      <c r="P67" s="13">
        <f t="shared" si="33"/>
        <v>1.856866851063998E-12</v>
      </c>
      <c r="Q67" s="20">
        <f t="shared" ref="Q67:Q98" si="54">(O67+P67)*0.475*44/12</f>
        <v>3.4554122145673649E-12</v>
      </c>
      <c r="R67" s="59">
        <f t="shared" ref="R67:R130" si="55">Q67+(I67+J67)*44/12</f>
        <v>293.33333333333678</v>
      </c>
      <c r="S67" s="59">
        <f ca="1">AVERAGE(OFFSET($R$3,0,0,'Données projet'!$E$9+1,1))-AVERAGE(OFFSET($H$3,0,0,'Données projet'!$E$9+1,1))</f>
        <v>404.65492118472037</v>
      </c>
      <c r="T67" s="59">
        <f t="shared" si="34"/>
        <v>534.22295841722166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230.44365192539976</v>
      </c>
      <c r="AA67" s="21">
        <f>EXP(-LN(2)/25)*AA66+(1-EXP(-LN(2)/25))/(LN(2)/25)*Calculateur!V67*Calculateur!X67*VLOOKUP('Données projet'!$B$9,Paramètres!$A$1:$I$89,3,0)*0.475*44/12</f>
        <v>55.707474034165628</v>
      </c>
      <c r="AB67" s="21">
        <f>EXP(-LN(2)/2)*AB66+(1-EXP(-LN(2)/2))/(LN(2)/2)*V67*Y67*VLOOKUP('Données projet'!$B$9,Paramètres!$A$1:$I$89,3,0)*0.475*44/12</f>
        <v>1.3132957931302174</v>
      </c>
      <c r="AC67" s="22">
        <f t="shared" si="3"/>
        <v>287.46442175269561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15.871250000000011</v>
      </c>
      <c r="AI67" s="13">
        <f>IF('Données projet'!$A$62&gt;35,AI66+AH67-AQ66,IF(A67&lt;'Données projet'!$A$62,$AF$205^A67,IF(A67='Données projet'!$A$62,'Données projet'!$B$62,AI66+AH67-AQ66)))</f>
        <v>402.16750000000002</v>
      </c>
      <c r="AJ67" s="13">
        <f>AI67*VLOOKUP('Données projet'!$B$10,Paramètres!$A$1:$I$89,3,0)*VLOOKUP('Données projet'!$B$10,Paramètres!$A$1:$I$89,5,0)</f>
        <v>188.21439000000001</v>
      </c>
      <c r="AK67" s="13">
        <f t="shared" si="35"/>
        <v>47.144963148508502</v>
      </c>
      <c r="AL67" s="20">
        <f t="shared" si="4"/>
        <v>409.91754006698562</v>
      </c>
      <c r="AM67" s="59">
        <f t="shared" si="5"/>
        <v>703.25087340031894</v>
      </c>
      <c r="AN67" s="59">
        <f ca="1">AVERAGE(OFFSET($AM$3,0,0,'Données projet'!$E$10+1,1))-AVERAGE(OFFSET($H$3,0,0,'Données projet'!$E$10+1,1))</f>
        <v>331.17634116262298</v>
      </c>
      <c r="AO67" s="59">
        <f t="shared" si="36"/>
        <v>286.28916368940605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5.2963288189188686</v>
      </c>
      <c r="AV67" s="21">
        <f>EXP(-LN(2)/25)*AV66+(1-EXP(-LN(2)/25))/(LN(2)/25)*Calculateur!AQ67*Calculateur!AS67*VLOOKUP('Données projet'!$B$10,Paramètres!$A$1:$I$89,3,0)*0.475*44/12</f>
        <v>35.988107463334011</v>
      </c>
      <c r="AW67" s="21">
        <f>EXP(-LN(2)/2)*AW66+(1-EXP(-LN(2)/2))/(LN(2)/2)*AQ67*AT67*VLOOKUP('Données projet'!$B$10,Paramètres!$A$1:$I$89,3,0)*0.475*44/12</f>
        <v>2.2307615592058139</v>
      </c>
      <c r="AX67" s="21">
        <f t="shared" si="6"/>
        <v>43.515197841458694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1.4210854715202004E-13</v>
      </c>
      <c r="BE67" s="13">
        <f>BD67*VLOOKUP('Données projet'!$B$11,Paramètres!$A$1:$I$89,3,0)*VLOOKUP('Données projet'!$B$11,Paramètres!$A$1:$I$89,5,0)</f>
        <v>7.7591266745002952E-14</v>
      </c>
      <c r="BF67" s="13">
        <f t="shared" si="37"/>
        <v>1.2005788606873384E-12</v>
      </c>
      <c r="BG67" s="20">
        <f t="shared" si="7"/>
        <v>2.226146305277994E-12</v>
      </c>
      <c r="BH67" s="59">
        <f t="shared" si="8"/>
        <v>293.33333333333553</v>
      </c>
      <c r="BI67" s="59">
        <f ca="1">AVERAGE(OFFSET($BH$3,0,0,'Données projet'!$E$11+1,1))-AVERAGE(OFFSET($H$3,0,0,'Données projet'!$E$11+1,1))</f>
        <v>165.87377022031535</v>
      </c>
      <c r="BJ67" s="59">
        <f t="shared" si="38"/>
        <v>272.91122662088929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69.896964202778236</v>
      </c>
      <c r="BQ67" s="21">
        <f>EXP(-LN(2)/25)*BQ66+(1-EXP(-LN(2)/25))/(LN(2)/25)*Calculateur!BL67*Calculateur!BN67*VLOOKUP('Données projet'!$B$11,Paramètres!$A$1:$I$89,3,0)*0.475*44/12</f>
        <v>19.836416848032176</v>
      </c>
      <c r="BR67" s="21">
        <f>EXP(-LN(2)/2)*BR66+(1-EXP(-LN(2)/2))/(LN(2)/2)*BL67*BO67*VLOOKUP('Données projet'!$B$11,Paramètres!$A$1:$I$89,3,0)*0.475*44/12</f>
        <v>6.290339571399909E-3</v>
      </c>
      <c r="BS67" s="22">
        <f t="shared" si="9"/>
        <v>89.739671390381801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12.448749999999997</v>
      </c>
      <c r="BY67" s="12">
        <f>IF('Données projet'!$A$114&gt;35,BY66+BX67-CG66,IF(A67&lt;'Données projet'!$A$114,$BV$205^A67,IF(A67='Données projet'!$A$114,'Données projet'!$B$114,BY66+BX67-CG66)))</f>
        <v>335.40250000000026</v>
      </c>
      <c r="BZ67" s="13">
        <f>BY67*VLOOKUP('Données projet'!$B$12,Paramètres!$A$1:$I$89,3,0)*VLOOKUP('Données projet'!$B$12,Paramètres!$A$1:$I$89,5,0)</f>
        <v>303.4721820000002</v>
      </c>
      <c r="CA67" s="13">
        <f t="shared" si="39"/>
        <v>71.903877972175806</v>
      </c>
      <c r="CB67" s="20">
        <f t="shared" si="10"/>
        <v>653.7799711182065</v>
      </c>
      <c r="CC67" s="59">
        <f t="shared" si="11"/>
        <v>947.11330445153976</v>
      </c>
      <c r="CD67" s="59">
        <f ca="1">AVERAGE(OFFSET($CC$3,0,0,'Données projet'!$E$12+1,1))-AVERAGE(OFFSET($H$3,0,0,'Données projet'!$E$12+1,1))</f>
        <v>639.86968831634636</v>
      </c>
      <c r="CE67" s="59">
        <f t="shared" si="40"/>
        <v>218.1556771431184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3.8460000000000036</v>
      </c>
      <c r="CT67" s="12">
        <f>IF('Données projet'!$A$140&gt;35,CT66+CS67-DB66,IF(A67&lt;'Données projet'!$A$140,$CQ$205^A67,IF(A67='Données projet'!$A$140,'Données projet'!$B$140,CT66+CS67-DB66)))</f>
        <v>153.84400000000011</v>
      </c>
      <c r="CU67" s="17">
        <f>CT67*VLOOKUP('Données projet'!$B$13,Paramètres!$A$1:$I$89,3,0)*VLOOKUP('Données projet'!$B$13,Paramètres!$A$1:$I$89,5,0)</f>
        <v>134.3981184000001</v>
      </c>
      <c r="CV67" s="13">
        <f t="shared" si="41"/>
        <v>35.010659062672502</v>
      </c>
      <c r="CW67" s="20">
        <f t="shared" si="13"/>
        <v>295.05362074748808</v>
      </c>
      <c r="CX67" s="59">
        <f t="shared" si="14"/>
        <v>588.3869540808214</v>
      </c>
      <c r="CY67" s="59">
        <f ca="1">AVERAGE(OFFSET($CX$3,0,0,'Données projet'!$E$13+1,1))-AVERAGE(OFFSET($H$3,0,0,'Données projet'!$E$13+1,1))</f>
        <v>218.76600554860482</v>
      </c>
      <c r="CZ67" s="59">
        <f t="shared" si="42"/>
        <v>264.34840059907702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11.662233278961599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11.662233278961599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11.934444444444445</v>
      </c>
      <c r="DO67" s="12">
        <f>IF('Données projet'!$A$166&gt;35,DO66+DN67-DW66,IF(A67&lt;'Données projet'!$A$166,$DL$205^A67,IF(A67='Données projet'!$A$166,'Données projet'!$B$166,DO66+DN67-DW66)))</f>
        <v>241.164444444444</v>
      </c>
      <c r="DP67" s="17">
        <f>DO67*VLOOKUP('Données projet'!$B$14,Paramètres!$A$1:$I$89,3,0)*VLOOKUP('Données projet'!$B$14,Paramètres!$A$1:$I$89,5,0)</f>
        <v>206.91909333333297</v>
      </c>
      <c r="DQ67" s="13">
        <f t="shared" si="43"/>
        <v>51.26175205390836</v>
      </c>
      <c r="DR67" s="20">
        <f t="shared" si="16"/>
        <v>449.66497238277861</v>
      </c>
      <c r="DS67" s="59">
        <f t="shared" si="17"/>
        <v>742.99830571611187</v>
      </c>
      <c r="DT67" s="59">
        <f ca="1">AVERAGE(OFFSET($DS$3,0,0,'Données projet'!$E$14+1,1))-AVERAGE(OFFSET($H$3,0,0,'Données projet'!$E$14+1,1))</f>
        <v>442.97490100035287</v>
      </c>
      <c r="DU67" s="59">
        <f t="shared" si="44"/>
        <v>334.36243356457049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8.6666666666666661</v>
      </c>
      <c r="EJ67" s="12">
        <f>IF('Données projet'!$A$192&gt;35,EJ66+EI67-ER66,IF(A67&lt;'Données projet'!$A$192,$EG$205^A67,IF(A67='Données projet'!$A$192,'Données projet'!$B$192,EJ66+EI67-ER66)))</f>
        <v>284.66666666666663</v>
      </c>
      <c r="EK67" s="17">
        <f>EJ67*VLOOKUP('Données projet'!$B$15,Paramètres!$A$1:$I$89,3,0)*VLOOKUP('Données projet'!$B$15,Paramètres!$A$1:$I$89,5,0)</f>
        <v>222.04</v>
      </c>
      <c r="EL67" s="13">
        <f t="shared" si="45"/>
        <v>54.558031180803546</v>
      </c>
      <c r="EM67" s="20">
        <f t="shared" si="19"/>
        <v>481.74157097323285</v>
      </c>
      <c r="EN67" s="59">
        <f t="shared" si="20"/>
        <v>775.07490430656617</v>
      </c>
      <c r="EO67" s="59">
        <f ca="1">AVERAGE(OFFSET($EN$3,0,0,'Données projet'!$E$15+1,1))-AVERAGE(OFFSET($H$3,0,0,'Données projet'!$E$15+1,1))</f>
        <v>288.82868507674738</v>
      </c>
      <c r="EP67" s="59">
        <f t="shared" si="46"/>
        <v>283.48738729114024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24.083748325696195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24.083748325696195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220.54655999999989</v>
      </c>
      <c r="FG67" s="13">
        <f t="shared" si="47"/>
        <v>54.233660675860236</v>
      </c>
      <c r="FH67" s="20">
        <f t="shared" si="22"/>
        <v>478.57555101045637</v>
      </c>
      <c r="FI67" s="59">
        <f t="shared" si="23"/>
        <v>771.90888434378962</v>
      </c>
      <c r="FJ67" s="59">
        <f ca="1">AVERAGE(OFFSET($FI$3,0,0,'Données projet'!$E$16+1,1))-AVERAGE(OFFSET($H$3,0,0,'Données projet'!$E$16+1,1))</f>
        <v>328.55201074501201</v>
      </c>
      <c r="FK67" s="59">
        <f t="shared" si="48"/>
        <v>321.81422611044985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12.74336178194819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12.74336178194819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5.2</v>
      </c>
      <c r="FZ67" s="12">
        <f>IF('Données projet'!$A$244&gt;35,FZ66+FY67-GH66,IF(A67&lt;'Données projet'!$A$244,$FW$205^A67,IF(A67='Données projet'!$A$244,'Données projet'!$B$244,FZ66+FY67-GH66)))</f>
        <v>300.79999999999984</v>
      </c>
      <c r="GA67" s="17">
        <f>FZ67*VLOOKUP('Données projet'!$B$17,Paramètres!$A$1:$I$89,3,0)*VLOOKUP('Données projet'!$B$17,Paramètres!$A$1:$I$89,5,0)</f>
        <v>239.3164799999999</v>
      </c>
      <c r="GB67" s="13">
        <f t="shared" si="49"/>
        <v>58.292443422481945</v>
      </c>
      <c r="GC67" s="20">
        <f t="shared" si="25"/>
        <v>518.33554162748919</v>
      </c>
      <c r="GD67" s="59">
        <f t="shared" si="26"/>
        <v>811.66887496082245</v>
      </c>
      <c r="GE67" s="59">
        <f ca="1">AVERAGE(OFFSET($GD$3,0,0,'Données projet'!$E$17+1,1))-AVERAGE(OFFSET($H$3,0,0,'Données projet'!$E$17+1,1))</f>
        <v>353.37024194969638</v>
      </c>
      <c r="GF67" s="59">
        <f t="shared" si="50"/>
        <v>345.4750813433123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17.043694654431448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17.043694654431448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1.2710188457276673E-13</v>
      </c>
      <c r="P68" s="13">
        <f t="shared" si="33"/>
        <v>1.856866851063998E-12</v>
      </c>
      <c r="Q68" s="20">
        <f t="shared" si="54"/>
        <v>3.4554122145673649E-12</v>
      </c>
      <c r="R68" s="59">
        <f t="shared" si="55"/>
        <v>293.33333333333678</v>
      </c>
      <c r="S68" s="59">
        <f ca="1">AVERAGE(OFFSET($R$3,0,0,'Données projet'!$E$9+1,1))-AVERAGE(OFFSET($H$3,0,0,'Données projet'!$E$9+1,1))</f>
        <v>404.65492118472037</v>
      </c>
      <c r="T68" s="59">
        <f t="shared" si="34"/>
        <v>534.22295841722166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225.92479246789154</v>
      </c>
      <c r="AA68" s="21">
        <f>EXP(-LN(2)/25)*AA67+(1-EXP(-LN(2)/25))/(LN(2)/25)*Calculateur!V68*Calculateur!X68*VLOOKUP('Données projet'!$B$9,Paramètres!$A$1:$I$89,3,0)*0.475*44/12</f>
        <v>54.18415022717263</v>
      </c>
      <c r="AB68" s="21">
        <f>EXP(-LN(2)/2)*AB67+(1-EXP(-LN(2)/2))/(LN(2)/2)*V68*Y68*VLOOKUP('Données projet'!$B$9,Paramètres!$A$1:$I$89,3,0)*0.475*44/12</f>
        <v>0.92864036102614211</v>
      </c>
      <c r="AC68" s="22">
        <f t="shared" ref="AC68:AC131" si="57">SUM(Z68:AB68)</f>
        <v>281.03758305609034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15.871250000000011</v>
      </c>
      <c r="AI68" s="13">
        <f>IF('Données projet'!$A$62&gt;35,AI67+AH68-AQ67,IF(A68&lt;'Données projet'!$A$62,$AF$205^A68,IF(A68='Données projet'!$A$62,'Données projet'!$B$62,AI67+AH68-AQ67)))</f>
        <v>418.03875000000005</v>
      </c>
      <c r="AJ68" s="13">
        <f>AI68*VLOOKUP('Données projet'!$B$10,Paramètres!$A$1:$I$89,3,0)*VLOOKUP('Données projet'!$B$10,Paramètres!$A$1:$I$89,5,0)</f>
        <v>195.64213500000002</v>
      </c>
      <c r="AK68" s="13">
        <f t="shared" si="35"/>
        <v>48.785216404205165</v>
      </c>
      <c r="AL68" s="20">
        <f t="shared" ref="AL68:AL131" si="58">(AJ68+AK68)*0.475*44/12</f>
        <v>425.71097036232396</v>
      </c>
      <c r="AM68" s="59">
        <f t="shared" ref="AM68:AM131" si="59">AL68+(AD68+AE68)*44/12</f>
        <v>719.04430369565728</v>
      </c>
      <c r="AN68" s="59">
        <f ca="1">AVERAGE(OFFSET($AM$3,0,0,'Données projet'!$E$10+1,1))-AVERAGE(OFFSET($H$3,0,0,'Données projet'!$E$10+1,1))</f>
        <v>331.17634116262298</v>
      </c>
      <c r="AO68" s="59">
        <f t="shared" si="36"/>
        <v>286.28916368940605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5.1924710412214692</v>
      </c>
      <c r="AV68" s="21">
        <f>EXP(-LN(2)/25)*AV67+(1-EXP(-LN(2)/25))/(LN(2)/25)*Calculateur!AQ68*Calculateur!AS68*VLOOKUP('Données projet'!$B$10,Paramètres!$A$1:$I$89,3,0)*0.475*44/12</f>
        <v>35.004010772216823</v>
      </c>
      <c r="AW68" s="21">
        <f>EXP(-LN(2)/2)*AW67+(1-EXP(-LN(2)/2))/(LN(2)/2)*AQ68*AT68*VLOOKUP('Données projet'!$B$10,Paramètres!$A$1:$I$89,3,0)*0.475*44/12</f>
        <v>1.5773866257247071</v>
      </c>
      <c r="AX68" s="21">
        <f t="shared" ref="AX68:AX131" si="60">SUM(AU68:AW68)</f>
        <v>41.773868439162996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1.4210854715202004E-13</v>
      </c>
      <c r="BE68" s="13">
        <f>BD68*VLOOKUP('Données projet'!$B$11,Paramètres!$A$1:$I$89,3,0)*VLOOKUP('Données projet'!$B$11,Paramètres!$A$1:$I$89,5,0)</f>
        <v>7.7591266745002952E-14</v>
      </c>
      <c r="BF68" s="13">
        <f t="shared" si="37"/>
        <v>1.2005788606873384E-12</v>
      </c>
      <c r="BG68" s="20">
        <f t="shared" ref="BG68:BG131" si="61">(BE68+BF68)*0.475*44/12</f>
        <v>2.226146305277994E-12</v>
      </c>
      <c r="BH68" s="59">
        <f t="shared" ref="BH68:BH131" si="62">BG68+(AY68+AZ68)*44/12</f>
        <v>293.33333333333553</v>
      </c>
      <c r="BI68" s="59">
        <f ca="1">AVERAGE(OFFSET($BH$3,0,0,'Données projet'!$E$11+1,1))-AVERAGE(OFFSET($H$3,0,0,'Données projet'!$E$11+1,1))</f>
        <v>165.87377022031535</v>
      </c>
      <c r="BJ68" s="59">
        <f t="shared" si="38"/>
        <v>272.91122662088929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68.526327367700262</v>
      </c>
      <c r="BQ68" s="21">
        <f>EXP(-LN(2)/25)*BQ67+(1-EXP(-LN(2)/25))/(LN(2)/25)*Calculateur!BL68*Calculateur!BN68*VLOOKUP('Données projet'!$B$11,Paramètres!$A$1:$I$89,3,0)*0.475*44/12</f>
        <v>19.293988986170909</v>
      </c>
      <c r="BR68" s="21">
        <f>EXP(-LN(2)/2)*BR67+(1-EXP(-LN(2)/2))/(LN(2)/2)*BL68*BO68*VLOOKUP('Données projet'!$B$11,Paramètres!$A$1:$I$89,3,0)*0.475*44/12</f>
        <v>4.4479417669029565E-3</v>
      </c>
      <c r="BS68" s="22">
        <f t="shared" ref="BS68:BS131" si="63">SUM(BP68:BR68)</f>
        <v>87.824764295638062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12.448749999999997</v>
      </c>
      <c r="BY68" s="12">
        <f>IF('Données projet'!$A$114&gt;35,BY67+BX68-CG67,IF(A68&lt;'Données projet'!$A$114,$BV$205^A68,IF(A68='Données projet'!$A$114,'Données projet'!$B$114,BY67+BX68-CG67)))</f>
        <v>347.85125000000028</v>
      </c>
      <c r="BZ68" s="13">
        <f>BY68*VLOOKUP('Données projet'!$B$12,Paramètres!$A$1:$I$89,3,0)*VLOOKUP('Données projet'!$B$12,Paramètres!$A$1:$I$89,5,0)</f>
        <v>314.73581100000024</v>
      </c>
      <c r="CA68" s="13">
        <f t="shared" si="39"/>
        <v>74.256981605080639</v>
      </c>
      <c r="CB68" s="20">
        <f t="shared" ref="CB68:CB131" si="64">(BZ68+CA68)*0.475*44/12</f>
        <v>677.49578045384908</v>
      </c>
      <c r="CC68" s="59">
        <f t="shared" ref="CC68:CC131" si="65">CB68+(BT68+BU68)*44/12</f>
        <v>970.82911378718245</v>
      </c>
      <c r="CD68" s="59">
        <f ca="1">AVERAGE(OFFSET($CC$3,0,0,'Données projet'!$E$12+1,1))-AVERAGE(OFFSET($H$3,0,0,'Données projet'!$E$12+1,1))</f>
        <v>639.86968831634636</v>
      </c>
      <c r="CE68" s="59">
        <f t="shared" si="40"/>
        <v>218.1556771431184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157.69</v>
      </c>
      <c r="CR68" s="12">
        <f>VLOOKUP(A68,'Données projet'!$A$139:$I$159,9,0)</f>
        <v>3.8460000000000036</v>
      </c>
      <c r="CS68" s="12">
        <f t="array" ref="CS68">INDEX(CR:CR,MIN(IF(ISNUMBER(CR68:CR264),ROW(CR68:CR264),"")))</f>
        <v>3.8460000000000036</v>
      </c>
      <c r="CT68" s="12">
        <f>IF('Données projet'!$A$140&gt;35,CT67+CS68-DB67,IF(A68&lt;'Données projet'!$A$140,$CQ$205^A68,IF(A68='Données projet'!$A$140,'Données projet'!$B$140,CT67+CS68-DB67)))</f>
        <v>157.69000000000011</v>
      </c>
      <c r="CU68" s="17">
        <f>CT68*VLOOKUP('Données projet'!$B$13,Paramètres!$A$1:$I$89,3,0)*VLOOKUP('Données projet'!$B$13,Paramètres!$A$1:$I$89,5,0)</f>
        <v>137.75798400000011</v>
      </c>
      <c r="CV68" s="13">
        <f t="shared" si="41"/>
        <v>35.782909527394438</v>
      </c>
      <c r="CW68" s="20">
        <f t="shared" ref="CW68:CW131" si="67">(CU68+CV68)*0.475*44/12</f>
        <v>302.25038956021211</v>
      </c>
      <c r="CX68" s="59">
        <f t="shared" ref="CX68:CX131" si="68">CW68+(CO68+CP68)*44/12</f>
        <v>595.58372289354543</v>
      </c>
      <c r="CY68" s="59">
        <f ca="1">AVERAGE(OFFSET($CX$3,0,0,'Données projet'!$E$13+1,1))-AVERAGE(OFFSET($H$3,0,0,'Données projet'!$E$13+1,1))</f>
        <v>218.76600554860482</v>
      </c>
      <c r="CZ68" s="59">
        <f t="shared" si="42"/>
        <v>264.34840059907702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14.74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14.494067220275037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14.494067220275037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11.934444444444445</v>
      </c>
      <c r="DO68" s="12">
        <f>IF('Données projet'!$A$166&gt;35,DO67+DN68-DW67,IF(A68&lt;'Données projet'!$A$166,$DL$205^A68,IF(A68='Données projet'!$A$166,'Données projet'!$B$166,DO67+DN68-DW67)))</f>
        <v>253.09888888888844</v>
      </c>
      <c r="DP68" s="17">
        <f>DO68*VLOOKUP('Données projet'!$B$14,Paramètres!$A$1:$I$89,3,0)*VLOOKUP('Données projet'!$B$14,Paramètres!$A$1:$I$89,5,0)</f>
        <v>217.15884666666631</v>
      </c>
      <c r="DQ68" s="13">
        <f t="shared" si="43"/>
        <v>53.496908705512752</v>
      </c>
      <c r="DR68" s="20">
        <f t="shared" ref="DR68:DR131" si="70">(DP68+DQ68)*0.475*44/12</f>
        <v>471.39210727321182</v>
      </c>
      <c r="DS68" s="59">
        <f t="shared" ref="DS68:DS131" si="71">DR68+(DJ68+DK68)*44/12</f>
        <v>764.72544060654513</v>
      </c>
      <c r="DT68" s="59">
        <f ca="1">AVERAGE(OFFSET($DS$3,0,0,'Données projet'!$E$14+1,1))-AVERAGE(OFFSET($H$3,0,0,'Données projet'!$E$14+1,1))</f>
        <v>442.97490100035287</v>
      </c>
      <c r="DU68" s="59">
        <f t="shared" si="44"/>
        <v>334.36243356457049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8.6666666666666661</v>
      </c>
      <c r="EJ68" s="12">
        <f>IF('Données projet'!$A$192&gt;35,EJ67+EI68-ER67,IF(A68&lt;'Données projet'!$A$192,$EG$205^A68,IF(A68='Données projet'!$A$192,'Données projet'!$B$192,EJ67+EI68-ER67)))</f>
        <v>293.33333333333331</v>
      </c>
      <c r="EK68" s="17">
        <f>EJ68*VLOOKUP('Données projet'!$B$15,Paramètres!$A$1:$I$89,3,0)*VLOOKUP('Données projet'!$B$15,Paramètres!$A$1:$I$89,5,0)</f>
        <v>228.79999999999998</v>
      </c>
      <c r="EL68" s="13">
        <f t="shared" si="45"/>
        <v>56.023134533701196</v>
      </c>
      <c r="EM68" s="20">
        <f t="shared" ref="EM68:EM131" si="73">(EK68+EL68)*0.475*44/12</f>
        <v>496.06695931286293</v>
      </c>
      <c r="EN68" s="59">
        <f t="shared" ref="EN68:EN131" si="74">EM68+(EE68+EF68)*44/12</f>
        <v>789.40029264619625</v>
      </c>
      <c r="EO68" s="59">
        <f ca="1">AVERAGE(OFFSET($EN$3,0,0,'Données projet'!$E$15+1,1))-AVERAGE(OFFSET($H$3,0,0,'Données projet'!$E$15+1,1))</f>
        <v>288.82868507674738</v>
      </c>
      <c r="EP68" s="59">
        <f t="shared" si="46"/>
        <v>283.48738729114024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23.61148071066529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23.61148071066529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224.35919999999987</v>
      </c>
      <c r="FG68" s="13">
        <f t="shared" si="47"/>
        <v>55.061251669487255</v>
      </c>
      <c r="FH68" s="20">
        <f t="shared" ref="FH68:FH131" si="76">(FF68+FG68)*0.475*44/12</f>
        <v>486.65728665769001</v>
      </c>
      <c r="FI68" s="59">
        <f t="shared" ref="FI68:FI131" si="77">FH68+(EZ68+FA68)*44/12</f>
        <v>779.99061999102332</v>
      </c>
      <c r="FJ68" s="59">
        <f ca="1">AVERAGE(OFFSET($FI$3,0,0,'Données projet'!$E$16+1,1))-AVERAGE(OFFSET($H$3,0,0,'Données projet'!$E$16+1,1))</f>
        <v>328.55201074501201</v>
      </c>
      <c r="FK68" s="59">
        <f t="shared" si="48"/>
        <v>321.81422611044985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0.215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14.758906046041982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14.758906046041982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306</v>
      </c>
      <c r="FX68" s="12">
        <f>VLOOKUP(A68,'Données projet'!$A$243:$I$263,9,0)</f>
        <v>5.2</v>
      </c>
      <c r="FY68" s="12">
        <f t="array" ref="FY68">INDEX(FX:FX,MIN(IF(ISNUMBER(FX68:FX264),ROW(FX68:FX264),"")))</f>
        <v>5.2</v>
      </c>
      <c r="FZ68" s="12">
        <f>IF('Données projet'!$A$244&gt;35,FZ67+FY68-GH67,IF(A68&lt;'Données projet'!$A$244,$FW$205^A68,IF(A68='Données projet'!$A$244,'Données projet'!$B$244,FZ67+FY68-GH67)))</f>
        <v>305.99999999999983</v>
      </c>
      <c r="GA68" s="17">
        <f>FZ68*VLOOKUP('Données projet'!$B$17,Paramètres!$A$1:$I$89,3,0)*VLOOKUP('Données projet'!$B$17,Paramètres!$A$1:$I$89,5,0)</f>
        <v>243.45359999999988</v>
      </c>
      <c r="GB68" s="13">
        <f t="shared" si="49"/>
        <v>59.181970343065267</v>
      </c>
      <c r="GC68" s="20">
        <f t="shared" ref="GC68:GC131" si="79">(GA68+GB68)*0.475*44/12</f>
        <v>527.09028501417163</v>
      </c>
      <c r="GD68" s="59">
        <f t="shared" ref="GD68:GD131" si="80">GC68+(FU68+FV68)*44/12</f>
        <v>820.423618347505</v>
      </c>
      <c r="GE68" s="59">
        <f ca="1">AVERAGE(OFFSET($GD$3,0,0,'Données projet'!$E$17+1,1))-AVERAGE(OFFSET($H$3,0,0,'Données projet'!$E$17+1,1))</f>
        <v>353.37024194969638</v>
      </c>
      <c r="GF68" s="59">
        <f t="shared" si="50"/>
        <v>345.4750813433123</v>
      </c>
      <c r="GG68" s="15">
        <f>IF(ISNA(VLOOKUP(A68,'Données projet'!$A$243:$I$263,3,0)),0,VLOOKUP(A68,'Données projet'!$A$243:$I$263,3,0))</f>
        <v>12</v>
      </c>
      <c r="GH68" s="15">
        <f>IF(ISNA(VLOOKUP(A68,'Données projet'!$A$243:$I$263,4,0)),0,VLOOKUP(A68,'Données projet'!$A$243:$I$263,4,0))</f>
        <v>13</v>
      </c>
      <c r="GI68" s="16">
        <f>IF(ISNA(VLOOKUP(A68,'Données projet'!$A$243:$I$263,5,0)),0%,VLOOKUP(A68,'Données projet'!$A$243:$I$263,5,0)*VLOOKUP('Données projet'!$B$17,Paramètres!$A$1:$I$89,7,0))</f>
        <v>0.26500000000000001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19.739397843865156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19.739397843865156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1.2710188457276673E-13</v>
      </c>
      <c r="P69" s="13">
        <f t="shared" ref="P69:P132" si="87">EXP(-1.0587+0.8836*LN(O69)+0.284)</f>
        <v>1.856866851063998E-12</v>
      </c>
      <c r="Q69" s="20">
        <f t="shared" si="54"/>
        <v>3.4554122145673649E-12</v>
      </c>
      <c r="R69" s="59">
        <f t="shared" si="55"/>
        <v>293.33333333333678</v>
      </c>
      <c r="S69" s="59">
        <f ca="1">AVERAGE(OFFSET($R$3,0,0,'Données projet'!$E$9+1,1))-AVERAGE(OFFSET($H$3,0,0,'Données projet'!$E$9+1,1))</f>
        <v>404.65492118472037</v>
      </c>
      <c r="T69" s="59">
        <f t="shared" ref="T69:T132" si="88">$T$3</f>
        <v>534.22295841722166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221.49454508811291</v>
      </c>
      <c r="AA69" s="21">
        <f>EXP(-LN(2)/25)*AA68+(1-EXP(-LN(2)/25))/(LN(2)/25)*Calculateur!V69*Calculateur!X69*VLOOKUP('Données projet'!$B$9,Paramètres!$A$1:$I$89,3,0)*0.475*44/12</f>
        <v>52.702481789789971</v>
      </c>
      <c r="AB69" s="21">
        <f>EXP(-LN(2)/2)*AB68+(1-EXP(-LN(2)/2))/(LN(2)/2)*V69*Y69*VLOOKUP('Données projet'!$B$9,Paramètres!$A$1:$I$89,3,0)*0.475*44/12</f>
        <v>0.6566478965651088</v>
      </c>
      <c r="AC69" s="22">
        <f t="shared" si="57"/>
        <v>274.853674774468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433.91</v>
      </c>
      <c r="AG69" s="12">
        <f>VLOOKUP(A69,'Données projet'!$A$61:$I$81,9,0)</f>
        <v>15.871250000000011</v>
      </c>
      <c r="AH69" s="12">
        <f t="array" ref="AH69">INDEX(AG:AG,MIN(IF(ISNUMBER(AG69:AG265),ROW(AG69:AG265),"")))</f>
        <v>15.871250000000011</v>
      </c>
      <c r="AI69" s="13">
        <f>IF('Données projet'!$A$62&gt;35,AI68+AH69-AQ68,IF(A69&lt;'Données projet'!$A$62,$AF$205^A69,IF(A69='Données projet'!$A$62,'Données projet'!$B$62,AI68+AH69-AQ68)))</f>
        <v>433.91000000000008</v>
      </c>
      <c r="AJ69" s="13">
        <f>AI69*VLOOKUP('Données projet'!$B$10,Paramètres!$A$1:$I$89,3,0)*VLOOKUP('Données projet'!$B$10,Paramètres!$A$1:$I$89,5,0)</f>
        <v>203.06988000000001</v>
      </c>
      <c r="AK69" s="13">
        <f t="shared" ref="AK69:AK132" si="89">EXP(-1.0587+0.8836*LN(AJ69)+0.284)</f>
        <v>50.418235144882424</v>
      </c>
      <c r="AL69" s="20">
        <f t="shared" si="58"/>
        <v>441.49180054400358</v>
      </c>
      <c r="AM69" s="59">
        <f t="shared" si="59"/>
        <v>734.82513387733684</v>
      </c>
      <c r="AN69" s="59">
        <f ca="1">AVERAGE(OFFSET($AM$3,0,0,'Données projet'!$E$10+1,1))-AVERAGE(OFFSET($H$3,0,0,'Données projet'!$E$10+1,1))</f>
        <v>331.17634116262298</v>
      </c>
      <c r="AO69" s="59">
        <f t="shared" ref="AO69:AO132" si="90">$AO$3</f>
        <v>286.28916368940605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87.73</v>
      </c>
      <c r="AR69" s="16">
        <f>IF(ISNA(VLOOKUP(A69,'Données projet'!$A$61:$I$81,5,0)),0%,VLOOKUP(A69,'Données projet'!$A$61:$I$81,5,0)*VLOOKUP('Données projet'!$B$10,Paramètres!$A$1:$I$89,7,0))</f>
        <v>0.11000000000000001</v>
      </c>
      <c r="AS69" s="16">
        <f>IF(ISNA(VLOOKUP(A69,'Données projet'!$A$61:$I$81,6,0)),0%,VLOOKUP(A69,'Données projet'!$A$61:$I$81,6,0)*VLOOKUP('Données projet'!$B$10,Paramètres!$A$1:$I$89,7,0))</f>
        <v>0.24750000000000003</v>
      </c>
      <c r="AT69" s="16">
        <f>IF(ISNA(VLOOKUP(A69,'Données projet'!$A$61:$I$81,7,0)),0%,VLOOKUP(A69,'Données projet'!$A$61:$I$81,7,0))</f>
        <v>0.35</v>
      </c>
      <c r="AU69" s="21">
        <f>EXP(-LN(2)/35)*AU68+(1-EXP(-LN(2)/35))/(LN(2)/35)*AQ69*AR69*VLOOKUP('Données projet'!$B$10,Paramètres!$A$1:$I$89,3,0)*0.475*44/12</f>
        <v>11.081866494503323</v>
      </c>
      <c r="AV69" s="21">
        <f>EXP(-LN(2)/25)*AV68+(1-EXP(-LN(2)/25))/(LN(2)/25)*Calculateur!AQ69*Calculateur!AS69*VLOOKUP('Données projet'!$B$10,Paramètres!$A$1:$I$89,3,0)*0.475*44/12</f>
        <v>47.473984873103504</v>
      </c>
      <c r="AW69" s="21">
        <f>EXP(-LN(2)/2)*AW68+(1-EXP(-LN(2)/2))/(LN(2)/2)*AQ69*AT69*VLOOKUP('Données projet'!$B$10,Paramètres!$A$1:$I$89,3,0)*0.475*44/12</f>
        <v>17.385755903477989</v>
      </c>
      <c r="AX69" s="21">
        <f t="shared" si="60"/>
        <v>75.94160727108482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1.4210854715202004E-13</v>
      </c>
      <c r="BE69" s="13">
        <f>BD69*VLOOKUP('Données projet'!$B$11,Paramètres!$A$1:$I$89,3,0)*VLOOKUP('Données projet'!$B$11,Paramètres!$A$1:$I$89,5,0)</f>
        <v>7.7591266745002952E-14</v>
      </c>
      <c r="BF69" s="13">
        <f t="shared" ref="BF69:BF132" si="91">EXP(-1.0587+0.8836*LN(BE69)+0.284)</f>
        <v>1.2005788606873384E-12</v>
      </c>
      <c r="BG69" s="20">
        <f t="shared" si="61"/>
        <v>2.226146305277994E-12</v>
      </c>
      <c r="BH69" s="59">
        <f t="shared" si="62"/>
        <v>293.33333333333553</v>
      </c>
      <c r="BI69" s="59">
        <f ca="1">AVERAGE(OFFSET($BH$3,0,0,'Données projet'!$E$11+1,1))-AVERAGE(OFFSET($H$3,0,0,'Données projet'!$E$11+1,1))</f>
        <v>165.87377022031535</v>
      </c>
      <c r="BJ69" s="59">
        <f t="shared" ref="BJ69:BJ132" si="92">$BJ$3</f>
        <v>272.91122662088929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67.182567884952249</v>
      </c>
      <c r="BQ69" s="21">
        <f>EXP(-LN(2)/25)*BQ68+(1-EXP(-LN(2)/25))/(LN(2)/25)*Calculateur!BL69*Calculateur!BN69*VLOOKUP('Données projet'!$B$11,Paramètres!$A$1:$I$89,3,0)*0.475*44/12</f>
        <v>18.766393842717282</v>
      </c>
      <c r="BR69" s="21">
        <f>EXP(-LN(2)/2)*BR68+(1-EXP(-LN(2)/2))/(LN(2)/2)*BL69*BO69*VLOOKUP('Données projet'!$B$11,Paramètres!$A$1:$I$89,3,0)*0.475*44/12</f>
        <v>3.1451697856999545E-3</v>
      </c>
      <c r="BS69" s="22">
        <f t="shared" si="63"/>
        <v>85.952106897455224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360.3</v>
      </c>
      <c r="BW69" s="12">
        <f>VLOOKUP(A69,'Données projet'!$A$113:$I$133,9,0)</f>
        <v>12.448749999999997</v>
      </c>
      <c r="BX69" s="12">
        <f t="array" ref="BX69">INDEX(BW:BW,MIN(IF(ISNUMBER(BW69:BW265),ROW(BW69:BW265),"")))</f>
        <v>12.448749999999997</v>
      </c>
      <c r="BY69" s="12">
        <f>IF('Données projet'!$A$114&gt;35,BY68+BX69-CG68,IF(A69&lt;'Données projet'!$A$114,$BV$205^A69,IF(A69='Données projet'!$A$114,'Données projet'!$B$114,BY68+BX69-CG68)))</f>
        <v>360.3000000000003</v>
      </c>
      <c r="BZ69" s="13">
        <f>BY69*VLOOKUP('Données projet'!$B$12,Paramètres!$A$1:$I$89,3,0)*VLOOKUP('Données projet'!$B$12,Paramètres!$A$1:$I$89,5,0)</f>
        <v>325.99944000000028</v>
      </c>
      <c r="CA69" s="13">
        <f t="shared" ref="CA69:CA132" si="93">EXP(-1.0587+0.8836*LN(BZ69)+0.284)</f>
        <v>76.600301160177949</v>
      </c>
      <c r="CB69" s="20">
        <f t="shared" si="64"/>
        <v>701.19454918731037</v>
      </c>
      <c r="CC69" s="59">
        <f t="shared" si="65"/>
        <v>994.52788252064374</v>
      </c>
      <c r="CD69" s="59">
        <f ca="1">AVERAGE(OFFSET($CC$3,0,0,'Données projet'!$E$12+1,1))-AVERAGE(OFFSET($H$3,0,0,'Données projet'!$E$12+1,1))</f>
        <v>639.86968831634636</v>
      </c>
      <c r="CE69" s="59">
        <f t="shared" ref="CE69:CE132" si="94">$CE$3</f>
        <v>218.1556771431184</v>
      </c>
      <c r="CF69" s="15">
        <f>IF(ISNA(VLOOKUP(A69,'Données projet'!$A$113:$I$133,3,0)),0,VLOOKUP(A69,'Données projet'!$A$113:$I$133,3,0))</f>
        <v>5</v>
      </c>
      <c r="CG69" s="15">
        <f>IF(ISNA(VLOOKUP(A69,'Données projet'!$A$113:$I$133,4,0)),0,VLOOKUP(A69,'Données projet'!$A$113:$I$133,4,0))</f>
        <v>71.34</v>
      </c>
      <c r="CH69" s="16">
        <f>IF(ISNA(VLOOKUP(A69,'Données projet'!$A$113:$I$133,5,0)),0%,VLOOKUP(A69,'Données projet'!$A$113:$I$133,5,0)*VLOOKUP('Données projet'!$B$12,Paramètres!$A$1:$I$89,7,0))</f>
        <v>8.6000000000000007E-2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6.136648647431528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6.136648647431528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3.3340000000000032</v>
      </c>
      <c r="CT69" s="12">
        <f>IF('Données projet'!$A$140&gt;35,CT68+CS69-DB68,IF(A69&lt;'Données projet'!$A$140,$CQ$205^A69,IF(A69='Données projet'!$A$140,'Données projet'!$B$140,CT68+CS69-DB68)))</f>
        <v>146.28400000000011</v>
      </c>
      <c r="CU69" s="17">
        <f>CT69*VLOOKUP('Données projet'!$B$13,Paramètres!$A$1:$I$89,3,0)*VLOOKUP('Données projet'!$B$13,Paramètres!$A$1:$I$89,5,0)</f>
        <v>127.79370240000011</v>
      </c>
      <c r="CV69" s="13">
        <f t="shared" ref="CV69:CV132" si="95">EXP(-1.0587+0.8836*LN(CU69)+0.284)</f>
        <v>33.486041964714737</v>
      </c>
      <c r="CW69" s="20">
        <f t="shared" si="67"/>
        <v>280.89555476854497</v>
      </c>
      <c r="CX69" s="59">
        <f t="shared" si="68"/>
        <v>574.22888810187828</v>
      </c>
      <c r="CY69" s="59">
        <f ca="1">AVERAGE(OFFSET($CX$3,0,0,'Données projet'!$E$13+1,1))-AVERAGE(OFFSET($H$3,0,0,'Données projet'!$E$13+1,1))</f>
        <v>218.76600554860482</v>
      </c>
      <c r="CZ69" s="59">
        <f t="shared" ref="CZ69:CZ132" si="96">$CZ$3</f>
        <v>264.34840059907702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14.209847402593519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14.209847402593519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11.934444444444445</v>
      </c>
      <c r="DO69" s="12">
        <f>IF('Données projet'!$A$166&gt;35,DO68+DN69-DW68,IF(A69&lt;'Données projet'!$A$166,$DL$205^A69,IF(A69='Données projet'!$A$166,'Données projet'!$B$166,DO68+DN69-DW68)))</f>
        <v>265.03333333333291</v>
      </c>
      <c r="DP69" s="17">
        <f>DO69*VLOOKUP('Données projet'!$B$14,Paramètres!$A$1:$I$89,3,0)*VLOOKUP('Données projet'!$B$14,Paramètres!$A$1:$I$89,5,0)</f>
        <v>227.39859999999967</v>
      </c>
      <c r="DQ69" s="13">
        <f t="shared" ref="DQ69:DQ132" si="97">EXP(-1.0587+0.8836*LN(DP69)+0.284)</f>
        <v>55.719826198068823</v>
      </c>
      <c r="DR69" s="20">
        <f t="shared" si="70"/>
        <v>493.09792562830262</v>
      </c>
      <c r="DS69" s="59">
        <f t="shared" si="71"/>
        <v>786.43125896163588</v>
      </c>
      <c r="DT69" s="59">
        <f ca="1">AVERAGE(OFFSET($DS$3,0,0,'Données projet'!$E$14+1,1))-AVERAGE(OFFSET($H$3,0,0,'Données projet'!$E$14+1,1))</f>
        <v>442.97490100035287</v>
      </c>
      <c r="DU69" s="59">
        <f t="shared" ref="DU69:DU132" si="98">$DU$3</f>
        <v>334.36243356457049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8.6666666666666661</v>
      </c>
      <c r="EJ69" s="12">
        <f>IF('Données projet'!$A$192&gt;35,EJ68+EI69-ER68,IF(A69&lt;'Données projet'!$A$192,$EG$205^A69,IF(A69='Données projet'!$A$192,'Données projet'!$B$192,EJ68+EI69-ER68)))</f>
        <v>302</v>
      </c>
      <c r="EK69" s="17">
        <f>EJ69*VLOOKUP('Données projet'!$B$15,Paramètres!$A$1:$I$89,3,0)*VLOOKUP('Données projet'!$B$15,Paramètres!$A$1:$I$89,5,0)</f>
        <v>235.56</v>
      </c>
      <c r="EL69" s="13">
        <f t="shared" ref="EL69:EL132" si="99">EXP(-1.0587+0.8836*LN(EK69)+0.284)</f>
        <v>57.483207143847721</v>
      </c>
      <c r="EM69" s="20">
        <f t="shared" si="73"/>
        <v>510.38358577553481</v>
      </c>
      <c r="EN69" s="59">
        <f t="shared" si="74"/>
        <v>803.71691910886807</v>
      </c>
      <c r="EO69" s="59">
        <f ca="1">AVERAGE(OFFSET($EN$3,0,0,'Données projet'!$E$15+1,1))-AVERAGE(OFFSET($H$3,0,0,'Données projet'!$E$15+1,1))</f>
        <v>288.82868507674738</v>
      </c>
      <c r="EP69" s="59">
        <f t="shared" ref="EP69:EP132" si="100">$EP$3</f>
        <v>283.48738729114024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23.148473975510338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23.148473975510338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218.20031999999989</v>
      </c>
      <c r="FG69" s="13">
        <f t="shared" ref="FG69:FG132" si="101">EXP(-1.0587+0.8836*LN(FF69)+0.284)</f>
        <v>53.723547368945667</v>
      </c>
      <c r="FH69" s="20">
        <f t="shared" si="76"/>
        <v>473.60073566758007</v>
      </c>
      <c r="FI69" s="59">
        <f t="shared" si="77"/>
        <v>766.93406900091338</v>
      </c>
      <c r="FJ69" s="59">
        <f ca="1">AVERAGE(OFFSET($FI$3,0,0,'Données projet'!$E$16+1,1))-AVERAGE(OFFSET($H$3,0,0,'Données projet'!$E$16+1,1))</f>
        <v>328.55201074501201</v>
      </c>
      <c r="FK69" s="59">
        <f t="shared" ref="FK69:FK132" si="102">$FK$3</f>
        <v>321.81422611044985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14.469492900522908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14.469492900522908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4.5999999999999996</v>
      </c>
      <c r="FZ69" s="12">
        <f>IF('Données projet'!$A$244&gt;35,FZ68+FY69-GH68,IF(A69&lt;'Données projet'!$A$244,$FW$205^A69,IF(A69='Données projet'!$A$244,'Données projet'!$B$244,FZ68+FY69-GH68)))</f>
        <v>297.59999999999985</v>
      </c>
      <c r="GA69" s="17">
        <f>FZ69*VLOOKUP('Données projet'!$B$17,Paramètres!$A$1:$I$89,3,0)*VLOOKUP('Données projet'!$B$17,Paramètres!$A$1:$I$89,5,0)</f>
        <v>236.7705599999999</v>
      </c>
      <c r="GB69" s="13">
        <f t="shared" ref="GB69:GB132" si="103">EXP(-1.0587+0.8836*LN(GA69)+0.284)</f>
        <v>57.744153841586879</v>
      </c>
      <c r="GC69" s="20">
        <f t="shared" si="79"/>
        <v>512.9464599407637</v>
      </c>
      <c r="GD69" s="59">
        <f t="shared" si="80"/>
        <v>806.27979327409707</v>
      </c>
      <c r="GE69" s="59">
        <f ca="1">AVERAGE(OFFSET($GD$3,0,0,'Données projet'!$E$17+1,1))-AVERAGE(OFFSET($H$3,0,0,'Données projet'!$E$17+1,1))</f>
        <v>353.37024194969638</v>
      </c>
      <c r="GF69" s="59">
        <f t="shared" ref="GF69:GF132" si="104">$GF$3</f>
        <v>345.4750813433123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19.352320291990807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19.352320291990807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1.2710188457276673E-13</v>
      </c>
      <c r="P70" s="13">
        <f t="shared" si="87"/>
        <v>1.856866851063998E-12</v>
      </c>
      <c r="Q70" s="20">
        <f t="shared" si="54"/>
        <v>3.4554122145673649E-12</v>
      </c>
      <c r="R70" s="59">
        <f t="shared" si="55"/>
        <v>293.33333333333678</v>
      </c>
      <c r="S70" s="59">
        <f ca="1">AVERAGE(OFFSET($R$3,0,0,'Données projet'!$E$9+1,1))-AVERAGE(OFFSET($H$3,0,0,'Données projet'!$E$9+1,1))</f>
        <v>404.65492118472037</v>
      </c>
      <c r="T70" s="59">
        <f t="shared" si="88"/>
        <v>534.22295841722166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217.15117215726767</v>
      </c>
      <c r="AA70" s="21">
        <f>EXP(-LN(2)/25)*AA69+(1-EXP(-LN(2)/25))/(LN(2)/25)*Calculateur!V70*Calculateur!X70*VLOOKUP('Données projet'!$B$9,Paramètres!$A$1:$I$89,3,0)*0.475*44/12</f>
        <v>51.261329653745101</v>
      </c>
      <c r="AB70" s="21">
        <f>EXP(-LN(2)/2)*AB69+(1-EXP(-LN(2)/2))/(LN(2)/2)*V70*Y70*VLOOKUP('Données projet'!$B$9,Paramètres!$A$1:$I$89,3,0)*0.475*44/12</f>
        <v>0.46432018051307111</v>
      </c>
      <c r="AC70" s="22">
        <f t="shared" si="57"/>
        <v>268.87682199152584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15.137777777777778</v>
      </c>
      <c r="AI70" s="13">
        <f>IF('Données projet'!$A$62&gt;35,AI69+AH70-AQ69,IF(A70&lt;'Données projet'!$A$62,$AF$205^A70,IF(A70='Données projet'!$A$62,'Données projet'!$B$62,AI69+AH70-AQ69)))</f>
        <v>361.31777777777785</v>
      </c>
      <c r="AJ70" s="13">
        <f>AI70*VLOOKUP('Données projet'!$B$10,Paramètres!$A$1:$I$89,3,0)*VLOOKUP('Données projet'!$B$10,Paramètres!$A$1:$I$89,5,0)</f>
        <v>169.09672000000003</v>
      </c>
      <c r="AK70" s="13">
        <f t="shared" si="89"/>
        <v>42.887656228644701</v>
      </c>
      <c r="AL70" s="20">
        <f t="shared" si="58"/>
        <v>369.20612193155625</v>
      </c>
      <c r="AM70" s="59">
        <f t="shared" si="59"/>
        <v>662.53945526488951</v>
      </c>
      <c r="AN70" s="59">
        <f ca="1">AVERAGE(OFFSET($AM$3,0,0,'Données projet'!$E$10+1,1))-AVERAGE(OFFSET($H$3,0,0,'Données projet'!$E$10+1,1))</f>
        <v>331.17634116262298</v>
      </c>
      <c r="AO70" s="59">
        <f t="shared" si="90"/>
        <v>286.28916368940605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10.864557851817253</v>
      </c>
      <c r="AV70" s="21">
        <f>EXP(-LN(2)/25)*AV69+(1-EXP(-LN(2)/25))/(LN(2)/25)*Calculateur!AQ70*Calculateur!AS70*VLOOKUP('Données projet'!$B$10,Paramètres!$A$1:$I$89,3,0)*0.475*44/12</f>
        <v>46.175806260200126</v>
      </c>
      <c r="AW70" s="21">
        <f>EXP(-LN(2)/2)*AW69+(1-EXP(-LN(2)/2))/(LN(2)/2)*AQ70*AT70*VLOOKUP('Données projet'!$B$10,Paramètres!$A$1:$I$89,3,0)*0.475*44/12</f>
        <v>12.293585895403337</v>
      </c>
      <c r="AX70" s="21">
        <f t="shared" si="60"/>
        <v>69.333950007420711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1.4210854715202004E-13</v>
      </c>
      <c r="BE70" s="13">
        <f>BD70*VLOOKUP('Données projet'!$B$11,Paramètres!$A$1:$I$89,3,0)*VLOOKUP('Données projet'!$B$11,Paramètres!$A$1:$I$89,5,0)</f>
        <v>7.7591266745002952E-14</v>
      </c>
      <c r="BF70" s="13">
        <f t="shared" si="91"/>
        <v>1.2005788606873384E-12</v>
      </c>
      <c r="BG70" s="20">
        <f t="shared" si="61"/>
        <v>2.226146305277994E-12</v>
      </c>
      <c r="BH70" s="59">
        <f t="shared" si="62"/>
        <v>293.33333333333553</v>
      </c>
      <c r="BI70" s="59">
        <f ca="1">AVERAGE(OFFSET($BH$3,0,0,'Données projet'!$E$11+1,1))-AVERAGE(OFFSET($H$3,0,0,'Données projet'!$E$11+1,1))</f>
        <v>165.87377022031535</v>
      </c>
      <c r="BJ70" s="59">
        <f t="shared" si="92"/>
        <v>272.91122662088929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65.865158706048575</v>
      </c>
      <c r="BQ70" s="21">
        <f>EXP(-LN(2)/25)*BQ69+(1-EXP(-LN(2)/25))/(LN(2)/25)*Calculateur!BL70*Calculateur!BN70*VLOOKUP('Données projet'!$B$11,Paramètres!$A$1:$I$89,3,0)*0.475*44/12</f>
        <v>18.253225816206417</v>
      </c>
      <c r="BR70" s="21">
        <f>EXP(-LN(2)/2)*BR69+(1-EXP(-LN(2)/2))/(LN(2)/2)*BL70*BO70*VLOOKUP('Données projet'!$B$11,Paramètres!$A$1:$I$89,3,0)*0.475*44/12</f>
        <v>2.2239708834514782E-3</v>
      </c>
      <c r="BS70" s="22">
        <f t="shared" si="63"/>
        <v>84.120608493138434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11.731249999999996</v>
      </c>
      <c r="BY70" s="12">
        <f>IF('Données projet'!$A$114&gt;35,BY69+BX70-CG69,IF(A70&lt;'Données projet'!$A$114,$BV$205^A70,IF(A70='Données projet'!$A$114,'Données projet'!$B$114,BY69+BX70-CG69)))</f>
        <v>300.69125000000031</v>
      </c>
      <c r="BZ70" s="13">
        <f>BY70*VLOOKUP('Données projet'!$B$12,Paramètres!$A$1:$I$89,3,0)*VLOOKUP('Données projet'!$B$12,Paramètres!$A$1:$I$89,5,0)</f>
        <v>272.0654430000003</v>
      </c>
      <c r="CA70" s="13">
        <f t="shared" si="93"/>
        <v>65.287413817697356</v>
      </c>
      <c r="CB70" s="20">
        <f t="shared" si="64"/>
        <v>587.5562256241567</v>
      </c>
      <c r="CC70" s="59">
        <f t="shared" si="65"/>
        <v>880.88955895748995</v>
      </c>
      <c r="CD70" s="59">
        <f ca="1">AVERAGE(OFFSET($CC$3,0,0,'Données projet'!$E$12+1,1))-AVERAGE(OFFSET($H$3,0,0,'Données projet'!$E$12+1,1))</f>
        <v>639.86968831634636</v>
      </c>
      <c r="CE70" s="59">
        <f t="shared" si="94"/>
        <v>218.1556771431184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6.0163127104414817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6.0163127104414817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3.3340000000000032</v>
      </c>
      <c r="CT70" s="12">
        <f>IF('Données projet'!$A$140&gt;35,CT69+CS70-DB69,IF(A70&lt;'Données projet'!$A$140,$CQ$205^A70,IF(A70='Données projet'!$A$140,'Données projet'!$B$140,CT69+CS70-DB69)))</f>
        <v>149.61800000000011</v>
      </c>
      <c r="CU70" s="17">
        <f>CT70*VLOOKUP('Données projet'!$B$13,Paramètres!$A$1:$I$89,3,0)*VLOOKUP('Données projet'!$B$13,Paramètres!$A$1:$I$89,5,0)</f>
        <v>130.70628480000011</v>
      </c>
      <c r="CV70" s="13">
        <f t="shared" si="95"/>
        <v>34.159509512541916</v>
      </c>
      <c r="CW70" s="20">
        <f t="shared" si="67"/>
        <v>287.14125842767737</v>
      </c>
      <c r="CX70" s="59">
        <f t="shared" si="68"/>
        <v>580.47459176101074</v>
      </c>
      <c r="CY70" s="59">
        <f ca="1">AVERAGE(OFFSET($CX$3,0,0,'Données projet'!$E$13+1,1))-AVERAGE(OFFSET($H$3,0,0,'Données projet'!$E$13+1,1))</f>
        <v>218.76600554860482</v>
      </c>
      <c r="CZ70" s="59">
        <f t="shared" si="96"/>
        <v>264.34840059907702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13.931200962179766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13.931200962179766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11.934444444444445</v>
      </c>
      <c r="DO70" s="12">
        <f>IF('Données projet'!$A$166&gt;35,DO69+DN70-DW69,IF(A70&lt;'Données projet'!$A$166,$DL$205^A70,IF(A70='Données projet'!$A$166,'Données projet'!$B$166,DO69+DN70-DW69)))</f>
        <v>276.96777777777737</v>
      </c>
      <c r="DP70" s="17">
        <f>DO70*VLOOKUP('Données projet'!$B$14,Paramètres!$A$1:$I$89,3,0)*VLOOKUP('Données projet'!$B$14,Paramètres!$A$1:$I$89,5,0)</f>
        <v>237.63835333333301</v>
      </c>
      <c r="DQ70" s="13">
        <f t="shared" si="97"/>
        <v>57.931118626336584</v>
      </c>
      <c r="DR70" s="20">
        <f t="shared" si="70"/>
        <v>514.78349699642456</v>
      </c>
      <c r="DS70" s="59">
        <f t="shared" si="71"/>
        <v>808.11683032975793</v>
      </c>
      <c r="DT70" s="59">
        <f ca="1">AVERAGE(OFFSET($DS$3,0,0,'Données projet'!$E$14+1,1))-AVERAGE(OFFSET($H$3,0,0,'Données projet'!$E$14+1,1))</f>
        <v>442.97490100035287</v>
      </c>
      <c r="DU70" s="59">
        <f t="shared" si="98"/>
        <v>334.36243356457049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8.6666666666666661</v>
      </c>
      <c r="EJ70" s="12">
        <f>IF('Données projet'!$A$192&gt;35,EJ69+EI70-ER69,IF(A70&lt;'Données projet'!$A$192,$EG$205^A70,IF(A70='Données projet'!$A$192,'Données projet'!$B$192,EJ69+EI70-ER69)))</f>
        <v>310.66666666666669</v>
      </c>
      <c r="EK70" s="17">
        <f>EJ70*VLOOKUP('Données projet'!$B$15,Paramètres!$A$1:$I$89,3,0)*VLOOKUP('Données projet'!$B$15,Paramètres!$A$1:$I$89,5,0)</f>
        <v>242.32000000000002</v>
      </c>
      <c r="EL70" s="13">
        <f t="shared" si="99"/>
        <v>58.938409961900859</v>
      </c>
      <c r="EM70" s="20">
        <f t="shared" si="73"/>
        <v>524.69173068364398</v>
      </c>
      <c r="EN70" s="59">
        <f t="shared" si="74"/>
        <v>818.02506401697724</v>
      </c>
      <c r="EO70" s="59">
        <f ca="1">AVERAGE(OFFSET($EN$3,0,0,'Données projet'!$E$15+1,1))-AVERAGE(OFFSET($H$3,0,0,'Données projet'!$E$15+1,1))</f>
        <v>288.82868507674738</v>
      </c>
      <c r="EP70" s="59">
        <f t="shared" si="100"/>
        <v>283.48738729114024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22.694546520025554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22.694546520025554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221.57303999999991</v>
      </c>
      <c r="FG70" s="13">
        <f t="shared" si="101"/>
        <v>54.456636294321989</v>
      </c>
      <c r="FH70" s="20">
        <f t="shared" si="76"/>
        <v>480.75168621261065</v>
      </c>
      <c r="FI70" s="59">
        <f t="shared" si="77"/>
        <v>774.08501954594396</v>
      </c>
      <c r="FJ70" s="59">
        <f ca="1">AVERAGE(OFFSET($FI$3,0,0,'Données projet'!$E$16+1,1))-AVERAGE(OFFSET($H$3,0,0,'Données projet'!$E$16+1,1))</f>
        <v>328.55201074501201</v>
      </c>
      <c r="FK70" s="59">
        <f t="shared" si="102"/>
        <v>321.81422611044985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14.185754970262876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14.185754970262876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4.5999999999999996</v>
      </c>
      <c r="FZ70" s="12">
        <f>IF('Données projet'!$A$244&gt;35,FZ69+FY70-GH69,IF(A70&lt;'Données projet'!$A$244,$FW$205^A70,IF(A70='Données projet'!$A$244,'Données projet'!$B$244,FZ69+FY70-GH69)))</f>
        <v>302.19999999999987</v>
      </c>
      <c r="GA70" s="17">
        <f>FZ70*VLOOKUP('Données projet'!$B$17,Paramètres!$A$1:$I$89,3,0)*VLOOKUP('Données projet'!$B$17,Paramètres!$A$1:$I$89,5,0)</f>
        <v>240.43031999999991</v>
      </c>
      <c r="GB70" s="13">
        <f t="shared" si="103"/>
        <v>58.532106271380506</v>
      </c>
      <c r="GC70" s="20">
        <f t="shared" si="79"/>
        <v>520.69289242265415</v>
      </c>
      <c r="GD70" s="59">
        <f t="shared" si="80"/>
        <v>814.02622575598753</v>
      </c>
      <c r="GE70" s="59">
        <f ca="1">AVERAGE(OFFSET($GD$3,0,0,'Données projet'!$E$17+1,1))-AVERAGE(OFFSET($H$3,0,0,'Données projet'!$E$17+1,1))</f>
        <v>353.37024194969638</v>
      </c>
      <c r="GF70" s="59">
        <f t="shared" si="104"/>
        <v>345.4750813433123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18.972833094814721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18.972833094814721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1.2710188457276673E-13</v>
      </c>
      <c r="P71" s="13">
        <f t="shared" si="87"/>
        <v>1.856866851063998E-12</v>
      </c>
      <c r="Q71" s="20">
        <f t="shared" si="54"/>
        <v>3.4554122145673649E-12</v>
      </c>
      <c r="R71" s="59">
        <f t="shared" si="55"/>
        <v>293.33333333333678</v>
      </c>
      <c r="S71" s="59">
        <f ca="1">AVERAGE(OFFSET($R$3,0,0,'Données projet'!$E$9+1,1))-AVERAGE(OFFSET($H$3,0,0,'Données projet'!$E$9+1,1))</f>
        <v>404.65492118472037</v>
      </c>
      <c r="T71" s="59">
        <f t="shared" si="88"/>
        <v>534.22295841722166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212.89297012040041</v>
      </c>
      <c r="AA71" s="21">
        <f>EXP(-LN(2)/25)*AA70+(1-EXP(-LN(2)/25))/(LN(2)/25)*Calculateur!V71*Calculateur!X71*VLOOKUP('Données projet'!$B$9,Paramètres!$A$1:$I$89,3,0)*0.475*44/12</f>
        <v>49.859585898647275</v>
      </c>
      <c r="AB71" s="21">
        <f>EXP(-LN(2)/2)*AB70+(1-EXP(-LN(2)/2))/(LN(2)/2)*V71*Y71*VLOOKUP('Données projet'!$B$9,Paramètres!$A$1:$I$89,3,0)*0.475*44/12</f>
        <v>0.32832394828255446</v>
      </c>
      <c r="AC71" s="22">
        <f t="shared" si="57"/>
        <v>263.08087996733025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15.137777777777778</v>
      </c>
      <c r="AI71" s="13">
        <f>IF('Données projet'!$A$62&gt;35,AI70+AH71-AQ70,IF(A71&lt;'Données projet'!$A$62,$AF$205^A71,IF(A71='Données projet'!$A$62,'Données projet'!$B$62,AI70+AH71-AQ70)))</f>
        <v>376.45555555555563</v>
      </c>
      <c r="AJ71" s="13">
        <f>AI71*VLOOKUP('Données projet'!$B$10,Paramètres!$A$1:$I$89,3,0)*VLOOKUP('Données projet'!$B$10,Paramètres!$A$1:$I$89,5,0)</f>
        <v>176.18120000000005</v>
      </c>
      <c r="AK71" s="13">
        <f t="shared" si="89"/>
        <v>44.471516092008478</v>
      </c>
      <c r="AL71" s="20">
        <f t="shared" si="58"/>
        <v>384.30348052691483</v>
      </c>
      <c r="AM71" s="59">
        <f t="shared" si="59"/>
        <v>677.63681386024814</v>
      </c>
      <c r="AN71" s="59">
        <f ca="1">AVERAGE(OFFSET($AM$3,0,0,'Données projet'!$E$10+1,1))-AVERAGE(OFFSET($H$3,0,0,'Données projet'!$E$10+1,1))</f>
        <v>331.17634116262298</v>
      </c>
      <c r="AO71" s="59">
        <f t="shared" si="90"/>
        <v>286.28916368940605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10.651510499069071</v>
      </c>
      <c r="AV71" s="21">
        <f>EXP(-LN(2)/25)*AV70+(1-EXP(-LN(2)/25))/(LN(2)/25)*Calculateur!AQ71*Calculateur!AS71*VLOOKUP('Données projet'!$B$10,Paramètres!$A$1:$I$89,3,0)*0.475*44/12</f>
        <v>44.913126409734836</v>
      </c>
      <c r="AW71" s="21">
        <f>EXP(-LN(2)/2)*AW70+(1-EXP(-LN(2)/2))/(LN(2)/2)*AQ71*AT71*VLOOKUP('Données projet'!$B$10,Paramètres!$A$1:$I$89,3,0)*0.475*44/12</f>
        <v>8.6928779517389945</v>
      </c>
      <c r="AX71" s="21">
        <f t="shared" si="60"/>
        <v>64.257514860542898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1.4210854715202004E-13</v>
      </c>
      <c r="BE71" s="13">
        <f>BD71*VLOOKUP('Données projet'!$B$11,Paramètres!$A$1:$I$89,3,0)*VLOOKUP('Données projet'!$B$11,Paramètres!$A$1:$I$89,5,0)</f>
        <v>7.7591266745002952E-14</v>
      </c>
      <c r="BF71" s="13">
        <f t="shared" si="91"/>
        <v>1.2005788606873384E-12</v>
      </c>
      <c r="BG71" s="20">
        <f t="shared" si="61"/>
        <v>2.226146305277994E-12</v>
      </c>
      <c r="BH71" s="59">
        <f t="shared" si="62"/>
        <v>293.33333333333553</v>
      </c>
      <c r="BI71" s="59">
        <f ca="1">AVERAGE(OFFSET($BH$3,0,0,'Données projet'!$E$11+1,1))-AVERAGE(OFFSET($H$3,0,0,'Données projet'!$E$11+1,1))</f>
        <v>165.87377022031535</v>
      </c>
      <c r="BJ71" s="59">
        <f t="shared" si="92"/>
        <v>272.91122662088929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64.573583117602936</v>
      </c>
      <c r="BQ71" s="21">
        <f>EXP(-LN(2)/25)*BQ70+(1-EXP(-LN(2)/25))/(LN(2)/25)*Calculateur!BL71*Calculateur!BN71*VLOOKUP('Données projet'!$B$11,Paramètres!$A$1:$I$89,3,0)*0.475*44/12</f>
        <v>17.754090396366824</v>
      </c>
      <c r="BR71" s="21">
        <f>EXP(-LN(2)/2)*BR70+(1-EXP(-LN(2)/2))/(LN(2)/2)*BL71*BO71*VLOOKUP('Données projet'!$B$11,Paramètres!$A$1:$I$89,3,0)*0.475*44/12</f>
        <v>1.5725848928499772E-3</v>
      </c>
      <c r="BS71" s="22">
        <f t="shared" si="63"/>
        <v>82.329246098862612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11.731249999999996</v>
      </c>
      <c r="BY71" s="12">
        <f>IF('Données projet'!$A$114&gt;35,BY70+BX71-CG70,IF(A71&lt;'Données projet'!$A$114,$BV$205^A71,IF(A71='Données projet'!$A$114,'Données projet'!$B$114,BY70+BX71-CG70)))</f>
        <v>312.4225000000003</v>
      </c>
      <c r="BZ71" s="13">
        <f>BY71*VLOOKUP('Données projet'!$B$12,Paramètres!$A$1:$I$89,3,0)*VLOOKUP('Données projet'!$B$12,Paramètres!$A$1:$I$89,5,0)</f>
        <v>282.67987800000026</v>
      </c>
      <c r="CA71" s="13">
        <f t="shared" si="93"/>
        <v>67.533029791080153</v>
      </c>
      <c r="CB71" s="20">
        <f t="shared" si="64"/>
        <v>609.95414773613163</v>
      </c>
      <c r="CC71" s="59">
        <f t="shared" si="65"/>
        <v>903.287481069465</v>
      </c>
      <c r="CD71" s="59">
        <f ca="1">AVERAGE(OFFSET($CC$3,0,0,'Données projet'!$E$12+1,1))-AVERAGE(OFFSET($H$3,0,0,'Données projet'!$E$12+1,1))</f>
        <v>639.86968831634636</v>
      </c>
      <c r="CE71" s="59">
        <f t="shared" si="94"/>
        <v>218.1556771431184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5.8983364877781357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5.8983364877781357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3.3340000000000032</v>
      </c>
      <c r="CT71" s="12">
        <f>IF('Données projet'!$A$140&gt;35,CT70+CS71-DB70,IF(A71&lt;'Données projet'!$A$140,$CQ$205^A71,IF(A71='Données projet'!$A$140,'Données projet'!$B$140,CT70+CS71-DB70)))</f>
        <v>152.95200000000011</v>
      </c>
      <c r="CU71" s="17">
        <f>CT71*VLOOKUP('Données projet'!$B$13,Paramètres!$A$1:$I$89,3,0)*VLOOKUP('Données projet'!$B$13,Paramètres!$A$1:$I$89,5,0)</f>
        <v>133.61886720000012</v>
      </c>
      <c r="CV71" s="13">
        <f t="shared" si="95"/>
        <v>34.831232338190254</v>
      </c>
      <c r="CW71" s="20">
        <f t="shared" si="67"/>
        <v>293.38392336234824</v>
      </c>
      <c r="CX71" s="59">
        <f t="shared" si="68"/>
        <v>586.7172566956815</v>
      </c>
      <c r="CY71" s="59">
        <f ca="1">AVERAGE(OFFSET($CX$3,0,0,'Données projet'!$E$13+1,1))-AVERAGE(OFFSET($H$3,0,0,'Données projet'!$E$13+1,1))</f>
        <v>218.76600554860482</v>
      </c>
      <c r="CZ71" s="59">
        <f t="shared" si="96"/>
        <v>264.34840059907702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13.65801860850498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13.65801860850498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11.934444444444445</v>
      </c>
      <c r="DO71" s="12">
        <f>IF('Données projet'!$A$166&gt;35,DO70+DN71-DW70,IF(A71&lt;'Données projet'!$A$166,$DL$205^A71,IF(A71='Données projet'!$A$166,'Données projet'!$B$166,DO70+DN71-DW70)))</f>
        <v>288.90222222222184</v>
      </c>
      <c r="DP71" s="17">
        <f>DO71*VLOOKUP('Données projet'!$B$14,Paramètres!$A$1:$I$89,3,0)*VLOOKUP('Données projet'!$B$14,Paramètres!$A$1:$I$89,5,0)</f>
        <v>247.87810666666638</v>
      </c>
      <c r="DQ71" s="13">
        <f t="shared" si="97"/>
        <v>60.131344169788107</v>
      </c>
      <c r="DR71" s="20">
        <f t="shared" si="70"/>
        <v>536.44979354015823</v>
      </c>
      <c r="DS71" s="59">
        <f t="shared" si="71"/>
        <v>829.78312687349148</v>
      </c>
      <c r="DT71" s="59">
        <f ca="1">AVERAGE(OFFSET($DS$3,0,0,'Données projet'!$E$14+1,1))-AVERAGE(OFFSET($H$3,0,0,'Données projet'!$E$14+1,1))</f>
        <v>442.97490100035287</v>
      </c>
      <c r="DU71" s="59">
        <f t="shared" si="98"/>
        <v>334.36243356457049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8.6666666666666661</v>
      </c>
      <c r="EJ71" s="12">
        <f>IF('Données projet'!$A$192&gt;35,EJ70+EI71-ER70,IF(A71&lt;'Données projet'!$A$192,$EG$205^A71,IF(A71='Données projet'!$A$192,'Données projet'!$B$192,EJ70+EI71-ER70)))</f>
        <v>319.33333333333337</v>
      </c>
      <c r="EK71" s="17">
        <f>EJ71*VLOOKUP('Données projet'!$B$15,Paramètres!$A$1:$I$89,3,0)*VLOOKUP('Données projet'!$B$15,Paramètres!$A$1:$I$89,5,0)</f>
        <v>249.08000000000004</v>
      </c>
      <c r="EL71" s="13">
        <f t="shared" si="99"/>
        <v>60.388894447487807</v>
      </c>
      <c r="EM71" s="20">
        <f t="shared" si="73"/>
        <v>538.99165782937473</v>
      </c>
      <c r="EN71" s="59">
        <f t="shared" si="74"/>
        <v>832.3249911627081</v>
      </c>
      <c r="EO71" s="59">
        <f ca="1">AVERAGE(OFFSET($EN$3,0,0,'Données projet'!$E$15+1,1))-AVERAGE(OFFSET($H$3,0,0,'Données projet'!$E$15+1,1))</f>
        <v>288.82868507674738</v>
      </c>
      <c r="EP71" s="59">
        <f t="shared" si="100"/>
        <v>283.48738729114024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22.249520305074416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22.249520305074416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224.94575999999992</v>
      </c>
      <c r="FG71" s="13">
        <f t="shared" si="101"/>
        <v>55.188427424815572</v>
      </c>
      <c r="FH71" s="20">
        <f t="shared" si="76"/>
        <v>487.90037643155364</v>
      </c>
      <c r="FI71" s="59">
        <f t="shared" si="77"/>
        <v>781.23370976488695</v>
      </c>
      <c r="FJ71" s="59">
        <f ca="1">AVERAGE(OFFSET($FI$3,0,0,'Données projet'!$E$16+1,1))-AVERAGE(OFFSET($H$3,0,0,'Données projet'!$E$16+1,1))</f>
        <v>328.55201074501201</v>
      </c>
      <c r="FK71" s="59">
        <f t="shared" si="102"/>
        <v>321.81422611044985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13.907580967752194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13.907580967752194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4.5999999999999996</v>
      </c>
      <c r="FZ71" s="12">
        <f>IF('Données projet'!$A$244&gt;35,FZ70+FY71-GH70,IF(A71&lt;'Données projet'!$A$244,$FW$205^A71,IF(A71='Données projet'!$A$244,'Données projet'!$B$244,FZ70+FY71-GH70)))</f>
        <v>306.7999999999999</v>
      </c>
      <c r="GA71" s="17">
        <f>FZ71*VLOOKUP('Données projet'!$B$17,Paramètres!$A$1:$I$89,3,0)*VLOOKUP('Données projet'!$B$17,Paramètres!$A$1:$I$89,5,0)</f>
        <v>244.09007999999994</v>
      </c>
      <c r="GB71" s="13">
        <f t="shared" si="103"/>
        <v>59.318663780863893</v>
      </c>
      <c r="GC71" s="20">
        <f t="shared" si="79"/>
        <v>528.43689541833794</v>
      </c>
      <c r="GD71" s="59">
        <f t="shared" si="80"/>
        <v>821.77022875167131</v>
      </c>
      <c r="GE71" s="59">
        <f ca="1">AVERAGE(OFFSET($GD$3,0,0,'Données projet'!$E$17+1,1))-AVERAGE(OFFSET($H$3,0,0,'Données projet'!$E$17+1,1))</f>
        <v>353.37024194969638</v>
      </c>
      <c r="GF71" s="59">
        <f t="shared" si="104"/>
        <v>345.4750813433123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18.600787410110925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18.600787410110925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1.2710188457276673E-13</v>
      </c>
      <c r="P72" s="13">
        <f t="shared" si="87"/>
        <v>1.856866851063998E-12</v>
      </c>
      <c r="Q72" s="20">
        <f t="shared" si="54"/>
        <v>3.4554122145673649E-12</v>
      </c>
      <c r="R72" s="59">
        <f t="shared" si="55"/>
        <v>293.33333333333678</v>
      </c>
      <c r="S72" s="59">
        <f ca="1">AVERAGE(OFFSET($R$3,0,0,'Données projet'!$E$9+1,1))-AVERAGE(OFFSET($H$3,0,0,'Données projet'!$E$9+1,1))</f>
        <v>404.65492118472037</v>
      </c>
      <c r="T72" s="59">
        <f t="shared" si="88"/>
        <v>534.22295841722166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208.71826882822933</v>
      </c>
      <c r="AA72" s="21">
        <f>EXP(-LN(2)/25)*AA71+(1-EXP(-LN(2)/25))/(LN(2)/25)*Calculateur!V72*Calculateur!X72*VLOOKUP('Données projet'!$B$9,Paramètres!$A$1:$I$89,3,0)*0.475*44/12</f>
        <v>48.496172900247096</v>
      </c>
      <c r="AB72" s="21">
        <f>EXP(-LN(2)/2)*AB71+(1-EXP(-LN(2)/2))/(LN(2)/2)*V72*Y72*VLOOKUP('Données projet'!$B$9,Paramètres!$A$1:$I$89,3,0)*0.475*44/12</f>
        <v>0.23216009025653558</v>
      </c>
      <c r="AC72" s="22">
        <f t="shared" si="57"/>
        <v>257.44660181873292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15.137777777777778</v>
      </c>
      <c r="AI72" s="13">
        <f>IF('Données projet'!$A$62&gt;35,AI71+AH72-AQ71,IF(A72&lt;'Données projet'!$A$62,$AF$205^A72,IF(A72='Données projet'!$A$62,'Données projet'!$B$62,AI71+AH72-AQ71)))</f>
        <v>391.59333333333342</v>
      </c>
      <c r="AJ72" s="13">
        <f>AI72*VLOOKUP('Données projet'!$B$10,Paramètres!$A$1:$I$89,3,0)*VLOOKUP('Données projet'!$B$10,Paramètres!$A$1:$I$89,5,0)</f>
        <v>183.26568000000006</v>
      </c>
      <c r="AK72" s="13">
        <f t="shared" si="89"/>
        <v>46.047977760052412</v>
      </c>
      <c r="AL72" s="20">
        <f t="shared" si="58"/>
        <v>399.38795393209131</v>
      </c>
      <c r="AM72" s="59">
        <f t="shared" si="59"/>
        <v>692.72128726542462</v>
      </c>
      <c r="AN72" s="59">
        <f ca="1">AVERAGE(OFFSET($AM$3,0,0,'Données projet'!$E$10+1,1))-AVERAGE(OFFSET($H$3,0,0,'Données projet'!$E$10+1,1))</f>
        <v>331.17634116262298</v>
      </c>
      <c r="AO72" s="59">
        <f t="shared" si="90"/>
        <v>286.28916368940605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10.442640874962226</v>
      </c>
      <c r="AV72" s="21">
        <f>EXP(-LN(2)/25)*AV71+(1-EXP(-LN(2)/25))/(LN(2)/25)*Calculateur!AQ72*Calculateur!AS72*VLOOKUP('Données projet'!$B$10,Paramètres!$A$1:$I$89,3,0)*0.475*44/12</f>
        <v>43.684974606181967</v>
      </c>
      <c r="AW72" s="21">
        <f>EXP(-LN(2)/2)*AW71+(1-EXP(-LN(2)/2))/(LN(2)/2)*AQ72*AT72*VLOOKUP('Données projet'!$B$10,Paramètres!$A$1:$I$89,3,0)*0.475*44/12</f>
        <v>6.1467929477016687</v>
      </c>
      <c r="AX72" s="21">
        <f t="shared" si="60"/>
        <v>60.274408428845859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1.4210854715202004E-13</v>
      </c>
      <c r="BE72" s="13">
        <f>BD72*VLOOKUP('Données projet'!$B$11,Paramètres!$A$1:$I$89,3,0)*VLOOKUP('Données projet'!$B$11,Paramètres!$A$1:$I$89,5,0)</f>
        <v>7.7591266745002952E-14</v>
      </c>
      <c r="BF72" s="13">
        <f t="shared" si="91"/>
        <v>1.2005788606873384E-12</v>
      </c>
      <c r="BG72" s="20">
        <f t="shared" si="61"/>
        <v>2.226146305277994E-12</v>
      </c>
      <c r="BH72" s="59">
        <f t="shared" si="62"/>
        <v>293.33333333333553</v>
      </c>
      <c r="BI72" s="59">
        <f ca="1">AVERAGE(OFFSET($BH$3,0,0,'Données projet'!$E$11+1,1))-AVERAGE(OFFSET($H$3,0,0,'Données projet'!$E$11+1,1))</f>
        <v>165.87377022031535</v>
      </c>
      <c r="BJ72" s="59">
        <f t="shared" si="92"/>
        <v>272.91122662088929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63.307334538663397</v>
      </c>
      <c r="BQ72" s="21">
        <f>EXP(-LN(2)/25)*BQ71+(1-EXP(-LN(2)/25))/(LN(2)/25)*Calculateur!BL72*Calculateur!BN72*VLOOKUP('Données projet'!$B$11,Paramètres!$A$1:$I$89,3,0)*0.475*44/12</f>
        <v>17.268603860831135</v>
      </c>
      <c r="BR72" s="21">
        <f>EXP(-LN(2)/2)*BR71+(1-EXP(-LN(2)/2))/(LN(2)/2)*BL72*BO72*VLOOKUP('Données projet'!$B$11,Paramètres!$A$1:$I$89,3,0)*0.475*44/12</f>
        <v>1.1119854417257391E-3</v>
      </c>
      <c r="BS72" s="22">
        <f t="shared" si="63"/>
        <v>80.577050384936257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11.731249999999996</v>
      </c>
      <c r="BY72" s="12">
        <f>IF('Données projet'!$A$114&gt;35,BY71+BX72-CG71,IF(A72&lt;'Données projet'!$A$114,$BV$205^A72,IF(A72='Données projet'!$A$114,'Données projet'!$B$114,BY71+BX72-CG71)))</f>
        <v>324.15375000000029</v>
      </c>
      <c r="BZ72" s="13">
        <f>BY72*VLOOKUP('Données projet'!$B$12,Paramètres!$A$1:$I$89,3,0)*VLOOKUP('Données projet'!$B$12,Paramètres!$A$1:$I$89,5,0)</f>
        <v>293.29431300000022</v>
      </c>
      <c r="CA72" s="13">
        <f t="shared" si="93"/>
        <v>69.768849747757415</v>
      </c>
      <c r="CB72" s="20">
        <f t="shared" si="64"/>
        <v>632.3350084523446</v>
      </c>
      <c r="CC72" s="59">
        <f t="shared" si="65"/>
        <v>925.66834178567797</v>
      </c>
      <c r="CD72" s="59">
        <f ca="1">AVERAGE(OFFSET($CC$3,0,0,'Données projet'!$E$12+1,1))-AVERAGE(OFFSET($H$3,0,0,'Données projet'!$E$12+1,1))</f>
        <v>639.86968831634636</v>
      </c>
      <c r="CE72" s="59">
        <f t="shared" si="94"/>
        <v>218.1556771431184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5.7826737068828278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5.7826737068828278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3.3340000000000032</v>
      </c>
      <c r="CT72" s="12">
        <f>IF('Données projet'!$A$140&gt;35,CT71+CS72-DB71,IF(A72&lt;'Données projet'!$A$140,$CQ$205^A72,IF(A72='Données projet'!$A$140,'Données projet'!$B$140,CT71+CS72-DB71)))</f>
        <v>156.28600000000012</v>
      </c>
      <c r="CU72" s="17">
        <f>CT72*VLOOKUP('Données projet'!$B$13,Paramètres!$A$1:$I$89,3,0)*VLOOKUP('Données projet'!$B$13,Paramètres!$A$1:$I$89,5,0)</f>
        <v>136.53144960000012</v>
      </c>
      <c r="CV72" s="13">
        <f t="shared" si="95"/>
        <v>35.501252852334197</v>
      </c>
      <c r="CW72" s="20">
        <f t="shared" si="67"/>
        <v>299.62362343781558</v>
      </c>
      <c r="CX72" s="59">
        <f t="shared" si="68"/>
        <v>592.95695677114895</v>
      </c>
      <c r="CY72" s="59">
        <f ca="1">AVERAGE(OFFSET($CX$3,0,0,'Données projet'!$E$13+1,1))-AVERAGE(OFFSET($H$3,0,0,'Données projet'!$E$13+1,1))</f>
        <v>218.76600554860482</v>
      </c>
      <c r="CZ72" s="59">
        <f t="shared" si="96"/>
        <v>264.34840059907702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13.390193194160974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13.390193194160974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11.934444444444445</v>
      </c>
      <c r="DO72" s="12">
        <f>IF('Données projet'!$A$166&gt;35,DO71+DN72-DW71,IF(A72&lt;'Données projet'!$A$166,$DL$205^A72,IF(A72='Données projet'!$A$166,'Données projet'!$B$166,DO71+DN72-DW71)))</f>
        <v>300.8366666666663</v>
      </c>
      <c r="DP72" s="17">
        <f>DO72*VLOOKUP('Données projet'!$B$14,Paramètres!$A$1:$I$89,3,0)*VLOOKUP('Données projet'!$B$14,Paramètres!$A$1:$I$89,5,0)</f>
        <v>258.11785999999972</v>
      </c>
      <c r="DQ72" s="13">
        <f t="shared" si="97"/>
        <v>62.321012282184647</v>
      </c>
      <c r="DR72" s="20">
        <f t="shared" si="70"/>
        <v>558.09770255813771</v>
      </c>
      <c r="DS72" s="59">
        <f t="shared" si="71"/>
        <v>851.43103589147108</v>
      </c>
      <c r="DT72" s="59">
        <f ca="1">AVERAGE(OFFSET($DS$3,0,0,'Données projet'!$E$14+1,1))-AVERAGE(OFFSET($H$3,0,0,'Données projet'!$E$14+1,1))</f>
        <v>442.97490100035287</v>
      </c>
      <c r="DU72" s="59">
        <f t="shared" si="98"/>
        <v>334.36243356457049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328</v>
      </c>
      <c r="EH72" s="12">
        <f>VLOOKUP(A72,'Données projet'!$A$191:$I$211,9,0)</f>
        <v>8.6666666666666661</v>
      </c>
      <c r="EI72" s="12">
        <f t="array" ref="EI72">INDEX(EH:EH,MIN(IF(ISNUMBER(EH72:EH268),ROW(EH72:EH268),"")))</f>
        <v>8.6666666666666661</v>
      </c>
      <c r="EJ72" s="12">
        <f>IF('Données projet'!$A$192&gt;35,EJ71+EI72-ER71,IF(A72&lt;'Données projet'!$A$192,$EG$205^A72,IF(A72='Données projet'!$A$192,'Données projet'!$B$192,EJ71+EI72-ER71)))</f>
        <v>328.00000000000006</v>
      </c>
      <c r="EK72" s="17">
        <f>EJ72*VLOOKUP('Données projet'!$B$15,Paramètres!$A$1:$I$89,3,0)*VLOOKUP('Données projet'!$B$15,Paramètres!$A$1:$I$89,5,0)</f>
        <v>255.84000000000006</v>
      </c>
      <c r="EL72" s="13">
        <f t="shared" si="99"/>
        <v>61.834803371075836</v>
      </c>
      <c r="EM72" s="20">
        <f t="shared" si="73"/>
        <v>553.28361587129041</v>
      </c>
      <c r="EN72" s="59">
        <f t="shared" si="74"/>
        <v>846.61694920462378</v>
      </c>
      <c r="EO72" s="59">
        <f ca="1">AVERAGE(OFFSET($EN$3,0,0,'Données projet'!$E$15+1,1))-AVERAGE(OFFSET($H$3,0,0,'Données projet'!$E$15+1,1))</f>
        <v>288.82868507674738</v>
      </c>
      <c r="EP72" s="59">
        <f t="shared" si="100"/>
        <v>283.48738729114024</v>
      </c>
      <c r="EQ72" s="15">
        <f>IF(ISNA(VLOOKUP(A72,'Données projet'!$A$191:$I$211,3,0)),0,VLOOKUP(A72,'Données projet'!$A$191:$I$211,3,0))</f>
        <v>9</v>
      </c>
      <c r="ER72" s="15">
        <f>IF(ISNA(VLOOKUP(A72,'Données projet'!$A$191:$I$211,4,0)),0,VLOOKUP(A72,'Données projet'!$A$191:$I$211,4,0))</f>
        <v>328</v>
      </c>
      <c r="ES72" s="16">
        <f>IF(ISNA(VLOOKUP(A72,'Données projet'!$A$191:$I$211,5,0)),0%,VLOOKUP(A72,'Données projet'!$A$191:$I$211,5,0)*VLOOKUP('Données projet'!$B$15,Paramètres!$A$1:$I$89,7,0))</f>
        <v>0.215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82.620282291196929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82.620282291196929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228.31847999999994</v>
      </c>
      <c r="FG72" s="13">
        <f t="shared" si="101"/>
        <v>55.918942466546987</v>
      </c>
      <c r="FH72" s="20">
        <f t="shared" si="76"/>
        <v>495.04684412923598</v>
      </c>
      <c r="FI72" s="59">
        <f t="shared" si="77"/>
        <v>788.38017746256924</v>
      </c>
      <c r="FJ72" s="59">
        <f ca="1">AVERAGE(OFFSET($FI$3,0,0,'Données projet'!$E$16+1,1))-AVERAGE(OFFSET($H$3,0,0,'Données projet'!$E$16+1,1))</f>
        <v>328.55201074501201</v>
      </c>
      <c r="FK72" s="59">
        <f t="shared" si="102"/>
        <v>321.81422611044985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13.634861787761359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13.634861787761359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4.5999999999999996</v>
      </c>
      <c r="FZ72" s="12">
        <f>IF('Données projet'!$A$244&gt;35,FZ71+FY72-GH71,IF(A72&lt;'Données projet'!$A$244,$FW$205^A72,IF(A72='Données projet'!$A$244,'Données projet'!$B$244,FZ71+FY72-GH71)))</f>
        <v>311.39999999999992</v>
      </c>
      <c r="GA72" s="17">
        <f>FZ72*VLOOKUP('Données projet'!$B$17,Paramètres!$A$1:$I$89,3,0)*VLOOKUP('Données projet'!$B$17,Paramètres!$A$1:$I$89,5,0)</f>
        <v>247.74983999999995</v>
      </c>
      <c r="GB72" s="13">
        <f t="shared" si="103"/>
        <v>60.103849700617872</v>
      </c>
      <c r="GC72" s="20">
        <f t="shared" si="79"/>
        <v>536.17850956190932</v>
      </c>
      <c r="GD72" s="59">
        <f t="shared" si="80"/>
        <v>829.51184289524258</v>
      </c>
      <c r="GE72" s="59">
        <f ca="1">AVERAGE(OFFSET($GD$3,0,0,'Données projet'!$E$17+1,1))-AVERAGE(OFFSET($H$3,0,0,'Données projet'!$E$17+1,1))</f>
        <v>353.37024194969638</v>
      </c>
      <c r="GF72" s="59">
        <f t="shared" si="104"/>
        <v>345.4750813433123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18.236037314358708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18.236037314358708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1.2710188457276673E-13</v>
      </c>
      <c r="P73" s="13">
        <f t="shared" si="87"/>
        <v>1.856866851063998E-12</v>
      </c>
      <c r="Q73" s="20">
        <f t="shared" si="54"/>
        <v>3.4554122145673649E-12</v>
      </c>
      <c r="R73" s="59">
        <f t="shared" si="55"/>
        <v>293.33333333333678</v>
      </c>
      <c r="S73" s="59">
        <f ca="1">AVERAGE(OFFSET($R$3,0,0,'Données projet'!$E$9+1,1))-AVERAGE(OFFSET($H$3,0,0,'Données projet'!$E$9+1,1))</f>
        <v>404.65492118472037</v>
      </c>
      <c r="T73" s="59">
        <f t="shared" si="88"/>
        <v>534.22295841722166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204.62543088208136</v>
      </c>
      <c r="AA73" s="21">
        <f>EXP(-LN(2)/25)*AA72+(1-EXP(-LN(2)/25))/(LN(2)/25)*Calculateur!V73*Calculateur!X73*VLOOKUP('Données projet'!$B$9,Paramètres!$A$1:$I$89,3,0)*0.475*44/12</f>
        <v>47.170042501986948</v>
      </c>
      <c r="AB73" s="21">
        <f>EXP(-LN(2)/2)*AB72+(1-EXP(-LN(2)/2))/(LN(2)/2)*V73*Y73*VLOOKUP('Données projet'!$B$9,Paramètres!$A$1:$I$89,3,0)*0.475*44/12</f>
        <v>0.16416197414127726</v>
      </c>
      <c r="AC73" s="22">
        <f t="shared" si="57"/>
        <v>251.9596353582096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15.137777777777778</v>
      </c>
      <c r="AI73" s="13">
        <f>IF('Données projet'!$A$62&gt;35,AI72+AH73-AQ72,IF(A73&lt;'Données projet'!$A$62,$AF$205^A73,IF(A73='Données projet'!$A$62,'Données projet'!$B$62,AI72+AH73-AQ72)))</f>
        <v>406.7311111111112</v>
      </c>
      <c r="AJ73" s="13">
        <f>AI73*VLOOKUP('Données projet'!$B$10,Paramètres!$A$1:$I$89,3,0)*VLOOKUP('Données projet'!$B$10,Paramètres!$A$1:$I$89,5,0)</f>
        <v>190.35016000000005</v>
      </c>
      <c r="AK73" s="13">
        <f t="shared" si="89"/>
        <v>47.617359957730208</v>
      </c>
      <c r="AL73" s="20">
        <f t="shared" si="58"/>
        <v>414.46009725971345</v>
      </c>
      <c r="AM73" s="59">
        <f t="shared" si="59"/>
        <v>707.79343059304676</v>
      </c>
      <c r="AN73" s="59">
        <f ca="1">AVERAGE(OFFSET($AM$3,0,0,'Données projet'!$E$10+1,1))-AVERAGE(OFFSET($H$3,0,0,'Données projet'!$E$10+1,1))</f>
        <v>331.17634116262298</v>
      </c>
      <c r="AO73" s="59">
        <f t="shared" si="90"/>
        <v>286.28916368940605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10.237867056786227</v>
      </c>
      <c r="AV73" s="21">
        <f>EXP(-LN(2)/25)*AV72+(1-EXP(-LN(2)/25))/(LN(2)/25)*Calculateur!AQ73*Calculateur!AS73*VLOOKUP('Données projet'!$B$10,Paramètres!$A$1:$I$89,3,0)*0.475*44/12</f>
        <v>42.490406678282952</v>
      </c>
      <c r="AW73" s="21">
        <f>EXP(-LN(2)/2)*AW72+(1-EXP(-LN(2)/2))/(LN(2)/2)*AQ73*AT73*VLOOKUP('Données projet'!$B$10,Paramètres!$A$1:$I$89,3,0)*0.475*44/12</f>
        <v>4.3464389758694972</v>
      </c>
      <c r="AX73" s="21">
        <f t="shared" si="60"/>
        <v>57.074712710938677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1.4210854715202004E-13</v>
      </c>
      <c r="BE73" s="13">
        <f>BD73*VLOOKUP('Données projet'!$B$11,Paramètres!$A$1:$I$89,3,0)*VLOOKUP('Données projet'!$B$11,Paramètres!$A$1:$I$89,5,0)</f>
        <v>7.7591266745002952E-14</v>
      </c>
      <c r="BF73" s="13">
        <f t="shared" si="91"/>
        <v>1.2005788606873384E-12</v>
      </c>
      <c r="BG73" s="20">
        <f t="shared" si="61"/>
        <v>2.226146305277994E-12</v>
      </c>
      <c r="BH73" s="59">
        <f t="shared" si="62"/>
        <v>293.33333333333553</v>
      </c>
      <c r="BI73" s="59">
        <f ca="1">AVERAGE(OFFSET($BH$3,0,0,'Données projet'!$E$11+1,1))-AVERAGE(OFFSET($H$3,0,0,'Données projet'!$E$11+1,1))</f>
        <v>165.87377022031535</v>
      </c>
      <c r="BJ73" s="59">
        <f t="shared" si="92"/>
        <v>272.91122662088929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62.065916322021494</v>
      </c>
      <c r="BQ73" s="21">
        <f>EXP(-LN(2)/25)*BQ72+(1-EXP(-LN(2)/25))/(LN(2)/25)*Calculateur!BL73*Calculateur!BN73*VLOOKUP('Données projet'!$B$11,Paramètres!$A$1:$I$89,3,0)*0.475*44/12</f>
        <v>16.796392980140297</v>
      </c>
      <c r="BR73" s="21">
        <f>EXP(-LN(2)/2)*BR72+(1-EXP(-LN(2)/2))/(LN(2)/2)*BL73*BO73*VLOOKUP('Données projet'!$B$11,Paramètres!$A$1:$I$89,3,0)*0.475*44/12</f>
        <v>7.8629244642498862E-4</v>
      </c>
      <c r="BS73" s="22">
        <f t="shared" si="63"/>
        <v>78.863095594608211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11.731249999999996</v>
      </c>
      <c r="BY73" s="12">
        <f>IF('Données projet'!$A$114&gt;35,BY72+BX73-CG72,IF(A73&lt;'Données projet'!$A$114,$BV$205^A73,IF(A73='Données projet'!$A$114,'Données projet'!$B$114,BY72+BX73-CG72)))</f>
        <v>335.88500000000028</v>
      </c>
      <c r="BZ73" s="13">
        <f>BY73*VLOOKUP('Données projet'!$B$12,Paramètres!$A$1:$I$89,3,0)*VLOOKUP('Données projet'!$B$12,Paramètres!$A$1:$I$89,5,0)</f>
        <v>303.90874800000023</v>
      </c>
      <c r="CA73" s="13">
        <f t="shared" si="93"/>
        <v>71.995268818663703</v>
      </c>
      <c r="CB73" s="20">
        <f t="shared" si="64"/>
        <v>654.69949595917296</v>
      </c>
      <c r="CC73" s="59">
        <f t="shared" si="65"/>
        <v>948.03282929250622</v>
      </c>
      <c r="CD73" s="59">
        <f ca="1">AVERAGE(OFFSET($CC$3,0,0,'Données projet'!$E$12+1,1))-AVERAGE(OFFSET($H$3,0,0,'Données projet'!$E$12+1,1))</f>
        <v>639.86968831634636</v>
      </c>
      <c r="CE73" s="59">
        <f t="shared" si="94"/>
        <v>218.1556771431184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5.6692790025735462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5.6692790025735462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159.62</v>
      </c>
      <c r="CR73" s="12">
        <f>VLOOKUP(A73,'Données projet'!$A$139:$I$159,9,0)</f>
        <v>3.3340000000000032</v>
      </c>
      <c r="CS73" s="12">
        <f t="array" ref="CS73">INDEX(CR:CR,MIN(IF(ISNUMBER(CR73:CR269),ROW(CR73:CR269),"")))</f>
        <v>3.3340000000000032</v>
      </c>
      <c r="CT73" s="12">
        <f>IF('Données projet'!$A$140&gt;35,CT72+CS73-DB72,IF(A73&lt;'Données projet'!$A$140,$CQ$205^A73,IF(A73='Données projet'!$A$140,'Données projet'!$B$140,CT72+CS73-DB72)))</f>
        <v>159.62000000000012</v>
      </c>
      <c r="CU73" s="17">
        <f>CT73*VLOOKUP('Données projet'!$B$13,Paramètres!$A$1:$I$89,3,0)*VLOOKUP('Données projet'!$B$13,Paramètres!$A$1:$I$89,5,0)</f>
        <v>139.44403200000013</v>
      </c>
      <c r="CV73" s="13">
        <f t="shared" si="95"/>
        <v>36.169611552809776</v>
      </c>
      <c r="CW73" s="20">
        <f t="shared" si="67"/>
        <v>305.86042918781061</v>
      </c>
      <c r="CX73" s="59">
        <f t="shared" si="68"/>
        <v>599.19376252114398</v>
      </c>
      <c r="CY73" s="59">
        <f ca="1">AVERAGE(OFFSET($CX$3,0,0,'Données projet'!$E$13+1,1))-AVERAGE(OFFSET($H$3,0,0,'Données projet'!$E$13+1,1))</f>
        <v>218.76600554860482</v>
      </c>
      <c r="CZ73" s="59">
        <f t="shared" si="96"/>
        <v>264.34840059907702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159.62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46.270137773243533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46.270137773243533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11.934444444444445</v>
      </c>
      <c r="DO73" s="12">
        <f>IF('Données projet'!$A$166&gt;35,DO72+DN73-DW72,IF(A73&lt;'Données projet'!$A$166,$DL$205^A73,IF(A73='Données projet'!$A$166,'Données projet'!$B$166,DO72+DN73-DW72)))</f>
        <v>312.77111111111077</v>
      </c>
      <c r="DP73" s="17">
        <f>DO73*VLOOKUP('Données projet'!$B$14,Paramètres!$A$1:$I$89,3,0)*VLOOKUP('Données projet'!$B$14,Paramètres!$A$1:$I$89,5,0)</f>
        <v>268.35761333333306</v>
      </c>
      <c r="DQ73" s="13">
        <f t="shared" si="97"/>
        <v>64.500589708179902</v>
      </c>
      <c r="DR73" s="20">
        <f t="shared" si="70"/>
        <v>579.72803696396841</v>
      </c>
      <c r="DS73" s="59">
        <f t="shared" si="71"/>
        <v>873.06137029730166</v>
      </c>
      <c r="DT73" s="59">
        <f ca="1">AVERAGE(OFFSET($DS$3,0,0,'Données projet'!$E$14+1,1))-AVERAGE(OFFSET($H$3,0,0,'Données projet'!$E$14+1,1))</f>
        <v>442.97490100035287</v>
      </c>
      <c r="DU73" s="59">
        <f t="shared" si="98"/>
        <v>334.36243356457049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5.6843418860808015E-14</v>
      </c>
      <c r="EK73" s="17">
        <f>EJ73*VLOOKUP('Données projet'!$B$15,Paramètres!$A$1:$I$89,3,0)*VLOOKUP('Données projet'!$B$15,Paramètres!$A$1:$I$89,5,0)</f>
        <v>4.4337866711430253E-14</v>
      </c>
      <c r="EL73" s="13">
        <f t="shared" si="99"/>
        <v>7.3222115536967035E-13</v>
      </c>
      <c r="EM73" s="20">
        <f t="shared" si="73"/>
        <v>1.3525069634579169E-12</v>
      </c>
      <c r="EN73" s="59">
        <f t="shared" si="74"/>
        <v>293.33333333333468</v>
      </c>
      <c r="EO73" s="59">
        <f ca="1">AVERAGE(OFFSET($EN$3,0,0,'Données projet'!$E$15+1,1))-AVERAGE(OFFSET($H$3,0,0,'Données projet'!$E$15+1,1))</f>
        <v>288.82868507674738</v>
      </c>
      <c r="EP73" s="59">
        <f t="shared" si="100"/>
        <v>283.48738729114024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81.000148948862815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81.000148948862815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231.69119999999992</v>
      </c>
      <c r="FG73" s="13">
        <f t="shared" si="101"/>
        <v>56.648202447537749</v>
      </c>
      <c r="FH73" s="20">
        <f t="shared" si="76"/>
        <v>502.19112592946141</v>
      </c>
      <c r="FI73" s="59">
        <f t="shared" si="77"/>
        <v>795.52445926279472</v>
      </c>
      <c r="FJ73" s="59">
        <f ca="1">AVERAGE(OFFSET($FI$3,0,0,'Données projet'!$E$16+1,1))-AVERAGE(OFFSET($H$3,0,0,'Données projet'!$E$16+1,1))</f>
        <v>328.55201074501201</v>
      </c>
      <c r="FK73" s="59">
        <f t="shared" si="102"/>
        <v>321.81422611044985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0.25800000000000001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16.086011043693386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16.086011043693386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316</v>
      </c>
      <c r="FX73" s="12">
        <f>VLOOKUP(A73,'Données projet'!$A$243:$I$263,9,0)</f>
        <v>4.5999999999999996</v>
      </c>
      <c r="FY73" s="12">
        <f t="array" ref="FY73">INDEX(FX:FX,MIN(IF(ISNUMBER(FX73:FX269),ROW(FX73:FX269),"")))</f>
        <v>4.5999999999999996</v>
      </c>
      <c r="FZ73" s="12">
        <f>IF('Données projet'!$A$244&gt;35,FZ72+FY73-GH72,IF(A73&lt;'Données projet'!$A$244,$FW$205^A73,IF(A73='Données projet'!$A$244,'Données projet'!$B$244,FZ72+FY73-GH72)))</f>
        <v>315.99999999999994</v>
      </c>
      <c r="GA73" s="17">
        <f>FZ73*VLOOKUP('Données projet'!$B$17,Paramètres!$A$1:$I$89,3,0)*VLOOKUP('Données projet'!$B$17,Paramètres!$A$1:$I$89,5,0)</f>
        <v>251.40959999999995</v>
      </c>
      <c r="GB73" s="13">
        <f t="shared" si="103"/>
        <v>60.887686632376123</v>
      </c>
      <c r="GC73" s="20">
        <f t="shared" si="79"/>
        <v>543.917774218055</v>
      </c>
      <c r="GD73" s="59">
        <f t="shared" si="80"/>
        <v>837.25110755138826</v>
      </c>
      <c r="GE73" s="59">
        <f ca="1">AVERAGE(OFFSET($GD$3,0,0,'Données projet'!$E$17+1,1))-AVERAGE(OFFSET($H$3,0,0,'Données projet'!$E$17+1,1))</f>
        <v>353.37024194969638</v>
      </c>
      <c r="GF73" s="59">
        <f t="shared" si="104"/>
        <v>345.4750813433123</v>
      </c>
      <c r="GG73" s="15">
        <f>IF(ISNA(VLOOKUP(A73,'Données projet'!$A$243:$I$263,3,0)),0,VLOOKUP(A73,'Données projet'!$A$243:$I$263,3,0))</f>
        <v>13</v>
      </c>
      <c r="GH73" s="15">
        <f>IF(ISNA(VLOOKUP(A73,'Données projet'!$A$243:$I$263,4,0)),0,VLOOKUP(A73,'Données projet'!$A$243:$I$263,4,0))</f>
        <v>13</v>
      </c>
      <c r="GI73" s="16">
        <f>IF(ISNA(VLOOKUP(A73,'Données projet'!$A$243:$I$263,5,0)),0%,VLOOKUP(A73,'Données projet'!$A$243:$I$263,5,0)*VLOOKUP('Données projet'!$B$17,Paramètres!$A$1:$I$89,7,0))</f>
        <v>0.318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21.514343320684421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21.514343320684421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1.2710188457276673E-13</v>
      </c>
      <c r="P74" s="13">
        <f t="shared" si="87"/>
        <v>1.856866851063998E-12</v>
      </c>
      <c r="Q74" s="20">
        <f t="shared" si="54"/>
        <v>3.4554122145673649E-12</v>
      </c>
      <c r="R74" s="59">
        <f t="shared" si="55"/>
        <v>293.33333333333678</v>
      </c>
      <c r="S74" s="59">
        <f ca="1">AVERAGE(OFFSET($R$3,0,0,'Données projet'!$E$9+1,1))-AVERAGE(OFFSET($H$3,0,0,'Données projet'!$E$9+1,1))</f>
        <v>404.65492118472037</v>
      </c>
      <c r="T74" s="59">
        <f t="shared" si="88"/>
        <v>534.22295841722166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200.6128509916727</v>
      </c>
      <c r="AA74" s="21">
        <f>EXP(-LN(2)/25)*AA73+(1-EXP(-LN(2)/25))/(LN(2)/25)*Calculateur!V74*Calculateur!X74*VLOOKUP('Données projet'!$B$9,Paramètres!$A$1:$I$89,3,0)*0.475*44/12</f>
        <v>45.88017520920539</v>
      </c>
      <c r="AB74" s="21">
        <f>EXP(-LN(2)/2)*AB73+(1-EXP(-LN(2)/2))/(LN(2)/2)*V74*Y74*VLOOKUP('Données projet'!$B$9,Paramètres!$A$1:$I$89,3,0)*0.475*44/12</f>
        <v>0.11608004512826782</v>
      </c>
      <c r="AC74" s="22">
        <f t="shared" si="57"/>
        <v>246.60910624600635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15.137777777777778</v>
      </c>
      <c r="AI74" s="13">
        <f>IF('Données projet'!$A$62&gt;35,AI73+AH74-AQ73,IF(A74&lt;'Données projet'!$A$62,$AF$205^A74,IF(A74='Données projet'!$A$62,'Données projet'!$B$62,AI73+AH74-AQ73)))</f>
        <v>421.86888888888899</v>
      </c>
      <c r="AJ74" s="13">
        <f>AI74*VLOOKUP('Données projet'!$B$10,Paramètres!$A$1:$I$89,3,0)*VLOOKUP('Données projet'!$B$10,Paramètres!$A$1:$I$89,5,0)</f>
        <v>197.43464000000006</v>
      </c>
      <c r="AK74" s="13">
        <f t="shared" si="89"/>
        <v>49.179956341145676</v>
      </c>
      <c r="AL74" s="20">
        <f t="shared" si="58"/>
        <v>429.5204219608288</v>
      </c>
      <c r="AM74" s="59">
        <f t="shared" si="59"/>
        <v>722.85375529416206</v>
      </c>
      <c r="AN74" s="59">
        <f ca="1">AVERAGE(OFFSET($AM$3,0,0,'Données projet'!$E$10+1,1))-AVERAGE(OFFSET($H$3,0,0,'Données projet'!$E$10+1,1))</f>
        <v>331.17634116262298</v>
      </c>
      <c r="AO74" s="59">
        <f t="shared" si="90"/>
        <v>286.28916368940605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10.037108728284963</v>
      </c>
      <c r="AV74" s="21">
        <f>EXP(-LN(2)/25)*AV73+(1-EXP(-LN(2)/25))/(LN(2)/25)*Calculateur!AQ74*Calculateur!AS74*VLOOKUP('Données projet'!$B$10,Paramètres!$A$1:$I$89,3,0)*0.475*44/12</f>
        <v>41.328504273191932</v>
      </c>
      <c r="AW74" s="21">
        <f>EXP(-LN(2)/2)*AW73+(1-EXP(-LN(2)/2))/(LN(2)/2)*AQ74*AT74*VLOOKUP('Données projet'!$B$10,Paramètres!$A$1:$I$89,3,0)*0.475*44/12</f>
        <v>3.0733964738508344</v>
      </c>
      <c r="AX74" s="21">
        <f t="shared" si="60"/>
        <v>54.43900947532773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1.4210854715202004E-13</v>
      </c>
      <c r="BE74" s="13">
        <f>BD74*VLOOKUP('Données projet'!$B$11,Paramètres!$A$1:$I$89,3,0)*VLOOKUP('Données projet'!$B$11,Paramètres!$A$1:$I$89,5,0)</f>
        <v>7.7591266745002952E-14</v>
      </c>
      <c r="BF74" s="13">
        <f t="shared" si="91"/>
        <v>1.2005788606873384E-12</v>
      </c>
      <c r="BG74" s="20">
        <f t="shared" si="61"/>
        <v>2.226146305277994E-12</v>
      </c>
      <c r="BH74" s="59">
        <f t="shared" si="62"/>
        <v>293.33333333333553</v>
      </c>
      <c r="BI74" s="59">
        <f ca="1">AVERAGE(OFFSET($BH$3,0,0,'Données projet'!$E$11+1,1))-AVERAGE(OFFSET($H$3,0,0,'Données projet'!$E$11+1,1))</f>
        <v>165.87377022031535</v>
      </c>
      <c r="BJ74" s="59">
        <f t="shared" si="92"/>
        <v>272.91122662088929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60.848841559417593</v>
      </c>
      <c r="BQ74" s="21">
        <f>EXP(-LN(2)/25)*BQ73+(1-EXP(-LN(2)/25))/(LN(2)/25)*Calculateur!BL74*Calculateur!BN74*VLOOKUP('Données projet'!$B$11,Paramètres!$A$1:$I$89,3,0)*0.475*44/12</f>
        <v>16.337094730814442</v>
      </c>
      <c r="BR74" s="21">
        <f>EXP(-LN(2)/2)*BR73+(1-EXP(-LN(2)/2))/(LN(2)/2)*BL74*BO74*VLOOKUP('Données projet'!$B$11,Paramètres!$A$1:$I$89,3,0)*0.475*44/12</f>
        <v>5.5599272086286956E-4</v>
      </c>
      <c r="BS74" s="22">
        <f t="shared" si="63"/>
        <v>77.186492282952898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11.731249999999996</v>
      </c>
      <c r="BY74" s="12">
        <f>IF('Données projet'!$A$114&gt;35,BY73+BX74-CG73,IF(A74&lt;'Données projet'!$A$114,$BV$205^A74,IF(A74='Données projet'!$A$114,'Données projet'!$B$114,BY73+BX74-CG73)))</f>
        <v>347.61625000000026</v>
      </c>
      <c r="BZ74" s="13">
        <f>BY74*VLOOKUP('Données projet'!$B$12,Paramètres!$A$1:$I$89,3,0)*VLOOKUP('Données projet'!$B$12,Paramètres!$A$1:$I$89,5,0)</f>
        <v>314.52318300000024</v>
      </c>
      <c r="CA74" s="13">
        <f t="shared" si="93"/>
        <v>74.212652968590817</v>
      </c>
      <c r="CB74" s="20">
        <f t="shared" si="64"/>
        <v>677.0482476452961</v>
      </c>
      <c r="CC74" s="59">
        <f t="shared" si="65"/>
        <v>970.38158097862947</v>
      </c>
      <c r="CD74" s="59">
        <f ca="1">AVERAGE(OFFSET($CC$3,0,0,'Données projet'!$E$12+1,1))-AVERAGE(OFFSET($H$3,0,0,'Données projet'!$E$12+1,1))</f>
        <v>639.86968831634636</v>
      </c>
      <c r="CE74" s="59">
        <f t="shared" si="94"/>
        <v>218.1556771431184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5.5581078992518291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5.5581078992518291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1.1368683772161603E-13</v>
      </c>
      <c r="CU74" s="17">
        <f>CT74*VLOOKUP('Données projet'!$B$13,Paramètres!$A$1:$I$89,3,0)*VLOOKUP('Données projet'!$B$13,Paramètres!$A$1:$I$89,5,0)</f>
        <v>9.9316821433603781E-14</v>
      </c>
      <c r="CV74" s="13">
        <f t="shared" si="95"/>
        <v>1.4932118279712753E-12</v>
      </c>
      <c r="CW74" s="20">
        <f t="shared" si="67"/>
        <v>2.7736540643801645E-12</v>
      </c>
      <c r="CX74" s="59">
        <f t="shared" si="68"/>
        <v>293.3333333333361</v>
      </c>
      <c r="CY74" s="59">
        <f ca="1">AVERAGE(OFFSET($CX$3,0,0,'Données projet'!$E$13+1,1))-AVERAGE(OFFSET($H$3,0,0,'Données projet'!$E$13+1,1))</f>
        <v>218.76600554860482</v>
      </c>
      <c r="CZ74" s="59">
        <f t="shared" si="96"/>
        <v>264.34840059907702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45.36280859350758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45.36280859350758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11.934444444444445</v>
      </c>
      <c r="DO74" s="12">
        <f>IF('Données projet'!$A$166&gt;35,DO73+DN74-DW73,IF(A74&lt;'Données projet'!$A$166,$DL$205^A74,IF(A74='Données projet'!$A$166,'Données projet'!$B$166,DO73+DN74-DW73)))</f>
        <v>324.70555555555524</v>
      </c>
      <c r="DP74" s="17">
        <f>DO74*VLOOKUP('Données projet'!$B$14,Paramètres!$A$1:$I$89,3,0)*VLOOKUP('Données projet'!$B$14,Paramètres!$A$1:$I$89,5,0)</f>
        <v>278.59736666666646</v>
      </c>
      <c r="DQ74" s="13">
        <f t="shared" si="97"/>
        <v>66.670505555791408</v>
      </c>
      <c r="DR74" s="20">
        <f t="shared" si="70"/>
        <v>601.34154412078067</v>
      </c>
      <c r="DS74" s="59">
        <f t="shared" si="71"/>
        <v>894.67487745411404</v>
      </c>
      <c r="DT74" s="59">
        <f ca="1">AVERAGE(OFFSET($DS$3,0,0,'Données projet'!$E$14+1,1))-AVERAGE(OFFSET($H$3,0,0,'Données projet'!$E$14+1,1))</f>
        <v>442.97490100035287</v>
      </c>
      <c r="DU74" s="59">
        <f t="shared" si="98"/>
        <v>334.36243356457049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5.6843418860808015E-14</v>
      </c>
      <c r="EK74" s="17">
        <f>EJ74*VLOOKUP('Données projet'!$B$15,Paramètres!$A$1:$I$89,3,0)*VLOOKUP('Données projet'!$B$15,Paramètres!$A$1:$I$89,5,0)</f>
        <v>4.4337866711430253E-14</v>
      </c>
      <c r="EL74" s="13">
        <f t="shared" si="99"/>
        <v>7.3222115536967035E-13</v>
      </c>
      <c r="EM74" s="20">
        <f t="shared" si="73"/>
        <v>1.3525069634579169E-12</v>
      </c>
      <c r="EN74" s="59">
        <f t="shared" si="74"/>
        <v>293.33333333333468</v>
      </c>
      <c r="EO74" s="59">
        <f ca="1">AVERAGE(OFFSET($EN$3,0,0,'Données projet'!$E$15+1,1))-AVERAGE(OFFSET($H$3,0,0,'Données projet'!$E$15+1,1))</f>
        <v>288.82868507674738</v>
      </c>
      <c r="EP74" s="59">
        <f t="shared" si="100"/>
        <v>283.48738729114024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79.411785433188115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79.411785433188115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225.23903999999993</v>
      </c>
      <c r="FG74" s="13">
        <f t="shared" si="101"/>
        <v>55.252000822487368</v>
      </c>
      <c r="FH74" s="20">
        <f t="shared" si="76"/>
        <v>488.52189609916542</v>
      </c>
      <c r="FI74" s="59">
        <f t="shared" si="77"/>
        <v>781.85522943249873</v>
      </c>
      <c r="FJ74" s="59">
        <f ca="1">AVERAGE(OFFSET($FI$3,0,0,'Données projet'!$E$16+1,1))-AVERAGE(OFFSET($H$3,0,0,'Données projet'!$E$16+1,1))</f>
        <v>328.55201074501201</v>
      </c>
      <c r="FK74" s="59">
        <f t="shared" si="102"/>
        <v>321.81422611044985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15.770574178624491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15.770574178624491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4.2</v>
      </c>
      <c r="FZ74" s="12">
        <f>IF('Données projet'!$A$244&gt;35,FZ73+FY74-GH73,IF(A74&lt;'Données projet'!$A$244,$FW$205^A74,IF(A74='Données projet'!$A$244,'Données projet'!$B$244,FZ73+FY74-GH73)))</f>
        <v>307.19999999999993</v>
      </c>
      <c r="GA74" s="17">
        <f>FZ74*VLOOKUP('Données projet'!$B$17,Paramètres!$A$1:$I$89,3,0)*VLOOKUP('Données projet'!$B$17,Paramètres!$A$1:$I$89,5,0)</f>
        <v>244.40831999999995</v>
      </c>
      <c r="GB74" s="13">
        <f t="shared" si="103"/>
        <v>59.38699493610541</v>
      </c>
      <c r="GC74" s="20">
        <f t="shared" si="79"/>
        <v>529.11017351371675</v>
      </c>
      <c r="GD74" s="59">
        <f t="shared" si="80"/>
        <v>822.44350684705</v>
      </c>
      <c r="GE74" s="59">
        <f ca="1">AVERAGE(OFFSET($GD$3,0,0,'Données projet'!$E$17+1,1))-AVERAGE(OFFSET($H$3,0,0,'Données projet'!$E$17+1,1))</f>
        <v>353.37024194969638</v>
      </c>
      <c r="GF74" s="59">
        <f t="shared" si="104"/>
        <v>345.4750813433123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21.092460170619489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21.092460170619489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1.2710188457276673E-13</v>
      </c>
      <c r="P75" s="13">
        <f t="shared" si="87"/>
        <v>1.856866851063998E-12</v>
      </c>
      <c r="Q75" s="20">
        <f t="shared" si="54"/>
        <v>3.4554122145673649E-12</v>
      </c>
      <c r="R75" s="59">
        <f t="shared" si="55"/>
        <v>293.33333333333678</v>
      </c>
      <c r="S75" s="59">
        <f ca="1">AVERAGE(OFFSET($R$3,0,0,'Données projet'!$E$9+1,1))-AVERAGE(OFFSET($H$3,0,0,'Données projet'!$E$9+1,1))</f>
        <v>404.65492118472037</v>
      </c>
      <c r="T75" s="59">
        <f t="shared" si="88"/>
        <v>534.22295841722166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196.67895534548288</v>
      </c>
      <c r="AA75" s="21">
        <f>EXP(-LN(2)/25)*AA74+(1-EXP(-LN(2)/25))/(LN(2)/25)*Calculateur!V75*Calculateur!X75*VLOOKUP('Données projet'!$B$9,Paramètres!$A$1:$I$89,3,0)*0.475*44/12</f>
        <v>44.625579405376115</v>
      </c>
      <c r="AB75" s="21">
        <f>EXP(-LN(2)/2)*AB74+(1-EXP(-LN(2)/2))/(LN(2)/2)*V75*Y75*VLOOKUP('Données projet'!$B$9,Paramètres!$A$1:$I$89,3,0)*0.475*44/12</f>
        <v>8.2080987070638642E-2</v>
      </c>
      <c r="AC75" s="22">
        <f t="shared" si="57"/>
        <v>241.38661573792962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15.137777777777778</v>
      </c>
      <c r="AI75" s="13">
        <f>IF('Données projet'!$A$62&gt;35,AI74+AH75-AQ74,IF(A75&lt;'Données projet'!$A$62,$AF$205^A75,IF(A75='Données projet'!$A$62,'Données projet'!$B$62,AI74+AH75-AQ74)))</f>
        <v>437.00666666666677</v>
      </c>
      <c r="AJ75" s="13">
        <f>AI75*VLOOKUP('Données projet'!$B$10,Paramètres!$A$1:$I$89,3,0)*VLOOKUP('Données projet'!$B$10,Paramètres!$A$1:$I$89,5,0)</f>
        <v>204.51912000000007</v>
      </c>
      <c r="AK75" s="13">
        <f t="shared" si="89"/>
        <v>50.736038297490012</v>
      </c>
      <c r="AL75" s="20">
        <f t="shared" si="58"/>
        <v>444.5694007014618</v>
      </c>
      <c r="AM75" s="59">
        <f t="shared" si="59"/>
        <v>737.90273403479512</v>
      </c>
      <c r="AN75" s="59">
        <f ca="1">AVERAGE(OFFSET($AM$3,0,0,'Données projet'!$E$10+1,1))-AVERAGE(OFFSET($H$3,0,0,'Données projet'!$E$10+1,1))</f>
        <v>331.17634116262298</v>
      </c>
      <c r="AO75" s="59">
        <f t="shared" si="90"/>
        <v>286.28916368940605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9.8402871481551184</v>
      </c>
      <c r="AV75" s="21">
        <f>EXP(-LN(2)/25)*AV74+(1-EXP(-LN(2)/25))/(LN(2)/25)*Calculateur!AQ75*Calculateur!AS75*VLOOKUP('Données projet'!$B$10,Paramètres!$A$1:$I$89,3,0)*0.475*44/12</f>
        <v>40.198374150469917</v>
      </c>
      <c r="AW75" s="21">
        <f>EXP(-LN(2)/2)*AW74+(1-EXP(-LN(2)/2))/(LN(2)/2)*AQ75*AT75*VLOOKUP('Données projet'!$B$10,Paramètres!$A$1:$I$89,3,0)*0.475*44/12</f>
        <v>2.1732194879347486</v>
      </c>
      <c r="AX75" s="21">
        <f t="shared" si="60"/>
        <v>52.211880786559789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1.4210854715202004E-13</v>
      </c>
      <c r="BE75" s="13">
        <f>BD75*VLOOKUP('Données projet'!$B$11,Paramètres!$A$1:$I$89,3,0)*VLOOKUP('Données projet'!$B$11,Paramètres!$A$1:$I$89,5,0)</f>
        <v>7.7591266745002952E-14</v>
      </c>
      <c r="BF75" s="13">
        <f t="shared" si="91"/>
        <v>1.2005788606873384E-12</v>
      </c>
      <c r="BG75" s="20">
        <f t="shared" si="61"/>
        <v>2.226146305277994E-12</v>
      </c>
      <c r="BH75" s="59">
        <f t="shared" si="62"/>
        <v>293.33333333333553</v>
      </c>
      <c r="BI75" s="59">
        <f ca="1">AVERAGE(OFFSET($BH$3,0,0,'Données projet'!$E$11+1,1))-AVERAGE(OFFSET($H$3,0,0,'Données projet'!$E$11+1,1))</f>
        <v>165.87377022031535</v>
      </c>
      <c r="BJ75" s="59">
        <f t="shared" si="92"/>
        <v>272.91122662088929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59.655632890566046</v>
      </c>
      <c r="BQ75" s="21">
        <f>EXP(-LN(2)/25)*BQ74+(1-EXP(-LN(2)/25))/(LN(2)/25)*Calculateur!BL75*Calculateur!BN75*VLOOKUP('Données projet'!$B$11,Paramètres!$A$1:$I$89,3,0)*0.475*44/12</f>
        <v>15.890356016269848</v>
      </c>
      <c r="BR75" s="21">
        <f>EXP(-LN(2)/2)*BR74+(1-EXP(-LN(2)/2))/(LN(2)/2)*BL75*BO75*VLOOKUP('Données projet'!$B$11,Paramètres!$A$1:$I$89,3,0)*0.475*44/12</f>
        <v>3.9314622321249431E-4</v>
      </c>
      <c r="BS75" s="22">
        <f t="shared" si="63"/>
        <v>75.546382053059119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11.731249999999996</v>
      </c>
      <c r="BY75" s="12">
        <f>IF('Données projet'!$A$114&gt;35,BY74+BX75-CG74,IF(A75&lt;'Données projet'!$A$114,$BV$205^A75,IF(A75='Données projet'!$A$114,'Données projet'!$B$114,BY74+BX75-CG74)))</f>
        <v>359.34750000000025</v>
      </c>
      <c r="BZ75" s="13">
        <f>BY75*VLOOKUP('Données projet'!$B$12,Paramètres!$A$1:$I$89,3,0)*VLOOKUP('Données projet'!$B$12,Paramètres!$A$1:$I$89,5,0)</f>
        <v>325.1376180000002</v>
      </c>
      <c r="CA75" s="13">
        <f t="shared" si="93"/>
        <v>76.42134205999298</v>
      </c>
      <c r="CB75" s="20">
        <f t="shared" si="64"/>
        <v>699.3818554378214</v>
      </c>
      <c r="CC75" s="59">
        <f t="shared" si="65"/>
        <v>992.71518877115477</v>
      </c>
      <c r="CD75" s="59">
        <f ca="1">AVERAGE(OFFSET($CC$3,0,0,'Données projet'!$E$12+1,1))-AVERAGE(OFFSET($H$3,0,0,'Données projet'!$E$12+1,1))</f>
        <v>639.86968831634636</v>
      </c>
      <c r="CE75" s="59">
        <f t="shared" si="94"/>
        <v>218.1556771431184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5.4491167934585736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5.4491167934585736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1.1368683772161603E-13</v>
      </c>
      <c r="CU75" s="17">
        <f>CT75*VLOOKUP('Données projet'!$B$13,Paramètres!$A$1:$I$89,3,0)*VLOOKUP('Données projet'!$B$13,Paramètres!$A$1:$I$89,5,0)</f>
        <v>9.9316821433603781E-14</v>
      </c>
      <c r="CV75" s="13">
        <f t="shared" si="95"/>
        <v>1.4932118279712753E-12</v>
      </c>
      <c r="CW75" s="20">
        <f t="shared" si="67"/>
        <v>2.7736540643801645E-12</v>
      </c>
      <c r="CX75" s="59">
        <f t="shared" si="68"/>
        <v>293.3333333333361</v>
      </c>
      <c r="CY75" s="59">
        <f ca="1">AVERAGE(OFFSET($CX$3,0,0,'Données projet'!$E$13+1,1))-AVERAGE(OFFSET($H$3,0,0,'Données projet'!$E$13+1,1))</f>
        <v>218.76600554860482</v>
      </c>
      <c r="CZ75" s="59">
        <f t="shared" si="96"/>
        <v>264.34840059907702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44.473271585570096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44.473271585570096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>
        <f>VLOOKUP(A75,'Données projet'!$A$165:$I$185,2,0)</f>
        <v>336.64</v>
      </c>
      <c r="DM75" s="12">
        <f>VLOOKUP(A75,'Données projet'!$A$165:$I$185,9,0)</f>
        <v>11.934444444444445</v>
      </c>
      <c r="DN75" s="12">
        <f t="array" ref="DN75">INDEX(DM:DM,MIN(IF(ISNUMBER(DM75:DM271),ROW(DM75:DM271),"")))</f>
        <v>11.934444444444445</v>
      </c>
      <c r="DO75" s="12">
        <f>IF('Données projet'!$A$166&gt;35,DO74+DN75-DW74,IF(A75&lt;'Données projet'!$A$166,$DL$205^A75,IF(A75='Données projet'!$A$166,'Données projet'!$B$166,DO74+DN75-DW74)))</f>
        <v>336.6399999999997</v>
      </c>
      <c r="DP75" s="17">
        <f>DO75*VLOOKUP('Données projet'!$B$14,Paramètres!$A$1:$I$89,3,0)*VLOOKUP('Données projet'!$B$14,Paramètres!$A$1:$I$89,5,0)</f>
        <v>288.83711999999974</v>
      </c>
      <c r="DQ75" s="13">
        <f t="shared" si="97"/>
        <v>68.831155602162653</v>
      </c>
      <c r="DR75" s="20">
        <f t="shared" si="70"/>
        <v>622.9389133404328</v>
      </c>
      <c r="DS75" s="59">
        <f t="shared" si="71"/>
        <v>916.27224667376618</v>
      </c>
      <c r="DT75" s="59">
        <f ca="1">AVERAGE(OFFSET($DS$3,0,0,'Données projet'!$E$14+1,1))-AVERAGE(OFFSET($H$3,0,0,'Données projet'!$E$14+1,1))</f>
        <v>442.97490100035287</v>
      </c>
      <c r="DU75" s="59">
        <f t="shared" si="98"/>
        <v>334.36243356457049</v>
      </c>
      <c r="DV75" s="15">
        <f>IF(ISNA(VLOOKUP(A75,'Données projet'!$A$165:$I$185,3,0)),0,VLOOKUP(A75,'Données projet'!$A$165:$I$185,3,0))</f>
        <v>5</v>
      </c>
      <c r="DW75" s="15">
        <f>IF(ISNA(VLOOKUP(A75,'Données projet'!$A$165:$I$185,4,0)),0,VLOOKUP(A75,'Données projet'!$A$165:$I$185,4,0))</f>
        <v>80.739999999999995</v>
      </c>
      <c r="DX75" s="16">
        <f>IF(ISNA(VLOOKUP(A75,'Données projet'!$A$165:$I$185,5,0)),0%,VLOOKUP(A75,'Données projet'!$A$165:$I$185,5,0)*VLOOKUP('Données projet'!$B$14,Paramètres!$A$1:$I$89,7,0))</f>
        <v>0.10600000000000001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8.1176254430785661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8.1176254430785661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5.6843418860808015E-14</v>
      </c>
      <c r="EK75" s="17">
        <f>EJ75*VLOOKUP('Données projet'!$B$15,Paramètres!$A$1:$I$89,3,0)*VLOOKUP('Données projet'!$B$15,Paramètres!$A$1:$I$89,5,0)</f>
        <v>4.4337866711430253E-14</v>
      </c>
      <c r="EL75" s="13">
        <f t="shared" si="99"/>
        <v>7.3222115536967035E-13</v>
      </c>
      <c r="EM75" s="20">
        <f t="shared" si="73"/>
        <v>1.3525069634579169E-12</v>
      </c>
      <c r="EN75" s="59">
        <f t="shared" si="74"/>
        <v>293.33333333333468</v>
      </c>
      <c r="EO75" s="59">
        <f ca="1">AVERAGE(OFFSET($EN$3,0,0,'Données projet'!$E$15+1,1))-AVERAGE(OFFSET($H$3,0,0,'Données projet'!$E$15+1,1))</f>
        <v>288.82868507674738</v>
      </c>
      <c r="EP75" s="59">
        <f t="shared" si="100"/>
        <v>283.48738729114024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77.854568757249709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77.854568757249709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228.31847999999994</v>
      </c>
      <c r="FG75" s="13">
        <f t="shared" si="101"/>
        <v>55.918942466546987</v>
      </c>
      <c r="FH75" s="20">
        <f t="shared" si="76"/>
        <v>495.04684412923598</v>
      </c>
      <c r="FI75" s="59">
        <f t="shared" si="77"/>
        <v>788.38017746256924</v>
      </c>
      <c r="FJ75" s="59">
        <f ca="1">AVERAGE(OFFSET($FI$3,0,0,'Données projet'!$E$16+1,1))-AVERAGE(OFFSET($H$3,0,0,'Données projet'!$E$16+1,1))</f>
        <v>328.55201074501201</v>
      </c>
      <c r="FK75" s="59">
        <f t="shared" si="102"/>
        <v>321.81422611044985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15.461322838082106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15.461322838082106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4.2</v>
      </c>
      <c r="FZ75" s="12">
        <f>IF('Données projet'!$A$244&gt;35,FZ74+FY75-GH74,IF(A75&lt;'Données projet'!$A$244,$FW$205^A75,IF(A75='Données projet'!$A$244,'Données projet'!$B$244,FZ74+FY75-GH74)))</f>
        <v>311.39999999999992</v>
      </c>
      <c r="GA75" s="17">
        <f>FZ75*VLOOKUP('Données projet'!$B$17,Paramètres!$A$1:$I$89,3,0)*VLOOKUP('Données projet'!$B$17,Paramètres!$A$1:$I$89,5,0)</f>
        <v>247.74983999999995</v>
      </c>
      <c r="GB75" s="13">
        <f t="shared" si="103"/>
        <v>60.103849700617872</v>
      </c>
      <c r="GC75" s="20">
        <f t="shared" si="79"/>
        <v>536.17850956190932</v>
      </c>
      <c r="GD75" s="59">
        <f t="shared" si="80"/>
        <v>829.51184289524258</v>
      </c>
      <c r="GE75" s="59">
        <f ca="1">AVERAGE(OFFSET($GD$3,0,0,'Données projet'!$E$17+1,1))-AVERAGE(OFFSET($H$3,0,0,'Données projet'!$E$17+1,1))</f>
        <v>353.37024194969638</v>
      </c>
      <c r="GF75" s="59">
        <f t="shared" si="104"/>
        <v>345.4750813433123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20.67884989180402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20.67884989180402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1.2710188457276673E-13</v>
      </c>
      <c r="P76" s="13">
        <f t="shared" si="87"/>
        <v>1.856866851063998E-12</v>
      </c>
      <c r="Q76" s="20">
        <f t="shared" si="54"/>
        <v>3.4554122145673649E-12</v>
      </c>
      <c r="R76" s="59">
        <f t="shared" si="55"/>
        <v>293.33333333333678</v>
      </c>
      <c r="S76" s="59">
        <f ca="1">AVERAGE(OFFSET($R$3,0,0,'Données projet'!$E$9+1,1))-AVERAGE(OFFSET($H$3,0,0,'Données projet'!$E$9+1,1))</f>
        <v>404.65492118472037</v>
      </c>
      <c r="T76" s="59">
        <f t="shared" si="88"/>
        <v>534.22295841722166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192.82220099347543</v>
      </c>
      <c r="AA76" s="21">
        <f>EXP(-LN(2)/25)*AA75+(1-EXP(-LN(2)/25))/(LN(2)/25)*Calculateur!V76*Calculateur!X76*VLOOKUP('Données projet'!$B$9,Paramètres!$A$1:$I$89,3,0)*0.475*44/12</f>
        <v>43.405290589778879</v>
      </c>
      <c r="AB76" s="21">
        <f>EXP(-LN(2)/2)*AB75+(1-EXP(-LN(2)/2))/(LN(2)/2)*V76*Y76*VLOOKUP('Données projet'!$B$9,Paramètres!$A$1:$I$89,3,0)*0.475*44/12</f>
        <v>5.8040022564133917E-2</v>
      </c>
      <c r="AC76" s="22">
        <f t="shared" si="57"/>
        <v>236.28553160581845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15.137777777777778</v>
      </c>
      <c r="AI76" s="13">
        <f>IF('Données projet'!$A$62&gt;35,AI75+AH76-AQ75,IF(A76&lt;'Données projet'!$A$62,$AF$205^A76,IF(A76='Données projet'!$A$62,'Données projet'!$B$62,AI75+AH76-AQ75)))</f>
        <v>452.14444444444456</v>
      </c>
      <c r="AJ76" s="13">
        <f>AI76*VLOOKUP('Données projet'!$B$10,Paramètres!$A$1:$I$89,3,0)*VLOOKUP('Données projet'!$B$10,Paramètres!$A$1:$I$89,5,0)</f>
        <v>211.60360000000006</v>
      </c>
      <c r="AK76" s="13">
        <f t="shared" si="89"/>
        <v>52.285857346123862</v>
      </c>
      <c r="AL76" s="20">
        <f t="shared" si="58"/>
        <v>459.60747154449905</v>
      </c>
      <c r="AM76" s="59">
        <f t="shared" si="59"/>
        <v>752.94080487783231</v>
      </c>
      <c r="AN76" s="59">
        <f ca="1">AVERAGE(OFFSET($AM$3,0,0,'Données projet'!$E$10+1,1))-AVERAGE(OFFSET($H$3,0,0,'Données projet'!$E$10+1,1))</f>
        <v>331.17634116262298</v>
      </c>
      <c r="AO76" s="59">
        <f t="shared" si="90"/>
        <v>286.28916368940605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9.6473251191623106</v>
      </c>
      <c r="AV76" s="21">
        <f>EXP(-LN(2)/25)*AV75+(1-EXP(-LN(2)/25))/(LN(2)/25)*Calculateur!AQ76*Calculateur!AS76*VLOOKUP('Données projet'!$B$10,Paramètres!$A$1:$I$89,3,0)*0.475*44/12</f>
        <v>39.099147495384692</v>
      </c>
      <c r="AW76" s="21">
        <f>EXP(-LN(2)/2)*AW75+(1-EXP(-LN(2)/2))/(LN(2)/2)*AQ76*AT76*VLOOKUP('Données projet'!$B$10,Paramètres!$A$1:$I$89,3,0)*0.475*44/12</f>
        <v>1.5366982369254172</v>
      </c>
      <c r="AX76" s="21">
        <f t="shared" si="60"/>
        <v>50.28317085147242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1.4210854715202004E-13</v>
      </c>
      <c r="BE76" s="13">
        <f>BD76*VLOOKUP('Données projet'!$B$11,Paramètres!$A$1:$I$89,3,0)*VLOOKUP('Données projet'!$B$11,Paramètres!$A$1:$I$89,5,0)</f>
        <v>7.7591266745002952E-14</v>
      </c>
      <c r="BF76" s="13">
        <f t="shared" si="91"/>
        <v>1.2005788606873384E-12</v>
      </c>
      <c r="BG76" s="20">
        <f t="shared" si="61"/>
        <v>2.226146305277994E-12</v>
      </c>
      <c r="BH76" s="59">
        <f t="shared" si="62"/>
        <v>293.33333333333553</v>
      </c>
      <c r="BI76" s="59">
        <f ca="1">AVERAGE(OFFSET($BH$3,0,0,'Données projet'!$E$11+1,1))-AVERAGE(OFFSET($H$3,0,0,'Données projet'!$E$11+1,1))</f>
        <v>165.87377022031535</v>
      </c>
      <c r="BJ76" s="59">
        <f t="shared" si="92"/>
        <v>272.91122662088929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58.485822315925255</v>
      </c>
      <c r="BQ76" s="21">
        <f>EXP(-LN(2)/25)*BQ75+(1-EXP(-LN(2)/25))/(LN(2)/25)*Calculateur!BL76*Calculateur!BN76*VLOOKUP('Données projet'!$B$11,Paramètres!$A$1:$I$89,3,0)*0.475*44/12</f>
        <v>15.455833395367444</v>
      </c>
      <c r="BR76" s="21">
        <f>EXP(-LN(2)/2)*BR75+(1-EXP(-LN(2)/2))/(LN(2)/2)*BL76*BO76*VLOOKUP('Données projet'!$B$11,Paramètres!$A$1:$I$89,3,0)*0.475*44/12</f>
        <v>2.7799636043143478E-4</v>
      </c>
      <c r="BS76" s="22">
        <f t="shared" si="63"/>
        <v>73.941933707653135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11.731249999999996</v>
      </c>
      <c r="BY76" s="12">
        <f>IF('Données projet'!$A$114&gt;35,BY75+BX76-CG75,IF(A76&lt;'Données projet'!$A$114,$BV$205^A76,IF(A76='Données projet'!$A$114,'Données projet'!$B$114,BY75+BX76-CG75)))</f>
        <v>371.07875000000024</v>
      </c>
      <c r="BZ76" s="13">
        <f>BY76*VLOOKUP('Données projet'!$B$12,Paramètres!$A$1:$I$89,3,0)*VLOOKUP('Données projet'!$B$12,Paramètres!$A$1:$I$89,5,0)</f>
        <v>335.75205300000022</v>
      </c>
      <c r="CA76" s="13">
        <f t="shared" si="93"/>
        <v>78.621652505468319</v>
      </c>
      <c r="CB76" s="20">
        <f t="shared" si="64"/>
        <v>721.70087042202431</v>
      </c>
      <c r="CC76" s="59">
        <f t="shared" si="65"/>
        <v>1015.0342037553576</v>
      </c>
      <c r="CD76" s="59">
        <f ca="1">AVERAGE(OFFSET($CC$3,0,0,'Données projet'!$E$12+1,1))-AVERAGE(OFFSET($H$3,0,0,'Données projet'!$E$12+1,1))</f>
        <v>639.86968831634636</v>
      </c>
      <c r="CE76" s="59">
        <f t="shared" si="94"/>
        <v>218.1556771431184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5.3422629367719132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5.3422629367719132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1.1368683772161603E-13</v>
      </c>
      <c r="CU76" s="17">
        <f>CT76*VLOOKUP('Données projet'!$B$13,Paramètres!$A$1:$I$89,3,0)*VLOOKUP('Données projet'!$B$13,Paramètres!$A$1:$I$89,5,0)</f>
        <v>9.9316821433603781E-14</v>
      </c>
      <c r="CV76" s="13">
        <f t="shared" si="95"/>
        <v>1.4932118279712753E-12</v>
      </c>
      <c r="CW76" s="20">
        <f t="shared" si="67"/>
        <v>2.7736540643801645E-12</v>
      </c>
      <c r="CX76" s="59">
        <f t="shared" si="68"/>
        <v>293.3333333333361</v>
      </c>
      <c r="CY76" s="59">
        <f ca="1">AVERAGE(OFFSET($CX$3,0,0,'Données projet'!$E$13+1,1))-AVERAGE(OFFSET($H$3,0,0,'Données projet'!$E$13+1,1))</f>
        <v>218.76600554860482</v>
      </c>
      <c r="CZ76" s="59">
        <f t="shared" si="96"/>
        <v>264.34840059907702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43.601177855794262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43.601177855794262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10.648888888888893</v>
      </c>
      <c r="DO76" s="12">
        <f>IF('Données projet'!$A$166&gt;35,DO75+DN76-DW75,IF(A76&lt;'Données projet'!$A$166,$DL$205^A76,IF(A76='Données projet'!$A$166,'Données projet'!$B$166,DO75+DN76-DW75)))</f>
        <v>266.5488888888886</v>
      </c>
      <c r="DP76" s="17">
        <f>DO76*VLOOKUP('Données projet'!$B$14,Paramètres!$A$1:$I$89,3,0)*VLOOKUP('Données projet'!$B$14,Paramètres!$A$1:$I$89,5,0)</f>
        <v>228.69894666666644</v>
      </c>
      <c r="DQ76" s="13">
        <f t="shared" si="97"/>
        <v>56.001270569870663</v>
      </c>
      <c r="DR76" s="20">
        <f t="shared" si="70"/>
        <v>495.8528783536355</v>
      </c>
      <c r="DS76" s="59">
        <f t="shared" si="71"/>
        <v>789.18621168696882</v>
      </c>
      <c r="DT76" s="59">
        <f ca="1">AVERAGE(OFFSET($DS$3,0,0,'Données projet'!$E$14+1,1))-AVERAGE(OFFSET($H$3,0,0,'Données projet'!$E$14+1,1))</f>
        <v>442.97490100035287</v>
      </c>
      <c r="DU76" s="59">
        <f t="shared" si="98"/>
        <v>334.36243356457049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7.9584437594024191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7.9584437594024191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5.6843418860808015E-14</v>
      </c>
      <c r="EK76" s="17">
        <f>EJ76*VLOOKUP('Données projet'!$B$15,Paramètres!$A$1:$I$89,3,0)*VLOOKUP('Données projet'!$B$15,Paramètres!$A$1:$I$89,5,0)</f>
        <v>4.4337866711430253E-14</v>
      </c>
      <c r="EL76" s="13">
        <f t="shared" si="99"/>
        <v>7.3222115536967035E-13</v>
      </c>
      <c r="EM76" s="20">
        <f t="shared" si="73"/>
        <v>1.3525069634579169E-12</v>
      </c>
      <c r="EN76" s="59">
        <f t="shared" si="74"/>
        <v>293.33333333333468</v>
      </c>
      <c r="EO76" s="59">
        <f ca="1">AVERAGE(OFFSET($EN$3,0,0,'Données projet'!$E$15+1,1))-AVERAGE(OFFSET($H$3,0,0,'Données projet'!$E$15+1,1))</f>
        <v>288.82868507674738</v>
      </c>
      <c r="EP76" s="59">
        <f t="shared" si="100"/>
        <v>283.48738729114024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76.327888150518078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76.327888150518078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231.39791999999991</v>
      </c>
      <c r="FG76" s="13">
        <f t="shared" si="101"/>
        <v>56.584837838715806</v>
      </c>
      <c r="FH76" s="20">
        <f t="shared" si="76"/>
        <v>501.56996990242982</v>
      </c>
      <c r="FI76" s="59">
        <f t="shared" si="77"/>
        <v>794.90330323576313</v>
      </c>
      <c r="FJ76" s="59">
        <f ca="1">AVERAGE(OFFSET($FI$3,0,0,'Données projet'!$E$16+1,1))-AVERAGE(OFFSET($H$3,0,0,'Données projet'!$E$16+1,1))</f>
        <v>328.55201074501201</v>
      </c>
      <c r="FK76" s="59">
        <f t="shared" si="102"/>
        <v>321.81422611044985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15.158135727703065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15.158135727703065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4.2</v>
      </c>
      <c r="FZ76" s="12">
        <f>IF('Données projet'!$A$244&gt;35,FZ75+FY76-GH75,IF(A76&lt;'Données projet'!$A$244,$FW$205^A76,IF(A76='Données projet'!$A$244,'Données projet'!$B$244,FZ75+FY76-GH75)))</f>
        <v>315.59999999999991</v>
      </c>
      <c r="GA76" s="17">
        <f>FZ76*VLOOKUP('Données projet'!$B$17,Paramètres!$A$1:$I$89,3,0)*VLOOKUP('Données projet'!$B$17,Paramètres!$A$1:$I$89,5,0)</f>
        <v>251.09135999999995</v>
      </c>
      <c r="GB76" s="13">
        <f t="shared" si="103"/>
        <v>60.81957989149403</v>
      </c>
      <c r="GC76" s="20">
        <f t="shared" si="79"/>
        <v>543.24488697768527</v>
      </c>
      <c r="GD76" s="59">
        <f t="shared" si="80"/>
        <v>836.57822031101864</v>
      </c>
      <c r="GE76" s="59">
        <f ca="1">AVERAGE(OFFSET($GD$3,0,0,'Données projet'!$E$17+1,1))-AVERAGE(OFFSET($H$3,0,0,'Données projet'!$E$17+1,1))</f>
        <v>353.37024194969638</v>
      </c>
      <c r="GF76" s="59">
        <f t="shared" si="104"/>
        <v>345.4750813433123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20.273350258278761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20.273350258278761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1.2710188457276673E-13</v>
      </c>
      <c r="P77" s="13">
        <f t="shared" si="87"/>
        <v>1.856866851063998E-12</v>
      </c>
      <c r="Q77" s="20">
        <f t="shared" si="54"/>
        <v>3.4554122145673649E-12</v>
      </c>
      <c r="R77" s="59">
        <f t="shared" si="55"/>
        <v>293.33333333333678</v>
      </c>
      <c r="S77" s="59">
        <f ca="1">AVERAGE(OFFSET($R$3,0,0,'Données projet'!$E$9+1,1))-AVERAGE(OFFSET($H$3,0,0,'Données projet'!$E$9+1,1))</f>
        <v>404.65492118472037</v>
      </c>
      <c r="T77" s="59">
        <f t="shared" si="88"/>
        <v>534.22295841722166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189.04107524192298</v>
      </c>
      <c r="AA77" s="21">
        <f>EXP(-LN(2)/25)*AA76+(1-EXP(-LN(2)/25))/(LN(2)/25)*Calculateur!V77*Calculateur!X77*VLOOKUP('Données projet'!$B$9,Paramètres!$A$1:$I$89,3,0)*0.475*44/12</f>
        <v>42.218370636016346</v>
      </c>
      <c r="AB77" s="21">
        <f>EXP(-LN(2)/2)*AB76+(1-EXP(-LN(2)/2))/(LN(2)/2)*V77*Y77*VLOOKUP('Données projet'!$B$9,Paramètres!$A$1:$I$89,3,0)*0.475*44/12</f>
        <v>4.1040493535319328E-2</v>
      </c>
      <c r="AC77" s="22">
        <f t="shared" si="57"/>
        <v>231.30048637147465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15.137777777777778</v>
      </c>
      <c r="AI77" s="13">
        <f>IF('Données projet'!$A$62&gt;35,AI76+AH77-AQ76,IF(A77&lt;'Données projet'!$A$62,$AF$205^A77,IF(A77='Données projet'!$A$62,'Données projet'!$B$62,AI76+AH77-AQ76)))</f>
        <v>467.28222222222234</v>
      </c>
      <c r="AJ77" s="13">
        <f>AI77*VLOOKUP('Données projet'!$B$10,Paramètres!$A$1:$I$89,3,0)*VLOOKUP('Données projet'!$B$10,Paramètres!$A$1:$I$89,5,0)</f>
        <v>218.68808000000007</v>
      </c>
      <c r="AK77" s="13">
        <f t="shared" si="89"/>
        <v>53.829647209073592</v>
      </c>
      <c r="AL77" s="20">
        <f t="shared" si="58"/>
        <v>474.6350415558033</v>
      </c>
      <c r="AM77" s="59">
        <f t="shared" si="59"/>
        <v>767.96837488913661</v>
      </c>
      <c r="AN77" s="59">
        <f ca="1">AVERAGE(OFFSET($AM$3,0,0,'Données projet'!$E$10+1,1))-AVERAGE(OFFSET($H$3,0,0,'Données projet'!$E$10+1,1))</f>
        <v>331.17634116262298</v>
      </c>
      <c r="AO77" s="59">
        <f t="shared" si="90"/>
        <v>286.28916368940605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9.4581469578628354</v>
      </c>
      <c r="AV77" s="21">
        <f>EXP(-LN(2)/25)*AV76+(1-EXP(-LN(2)/25))/(LN(2)/25)*Calculateur!AQ77*Calculateur!AS77*VLOOKUP('Données projet'!$B$10,Paramètres!$A$1:$I$89,3,0)*0.475*44/12</f>
        <v>38.029979250988596</v>
      </c>
      <c r="AW77" s="21">
        <f>EXP(-LN(2)/2)*AW76+(1-EXP(-LN(2)/2))/(LN(2)/2)*AQ77*AT77*VLOOKUP('Données projet'!$B$10,Paramètres!$A$1:$I$89,3,0)*0.475*44/12</f>
        <v>1.0866097439673743</v>
      </c>
      <c r="AX77" s="21">
        <f t="shared" si="60"/>
        <v>48.574735952818806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1.4210854715202004E-13</v>
      </c>
      <c r="BE77" s="13">
        <f>BD77*VLOOKUP('Données projet'!$B$11,Paramètres!$A$1:$I$89,3,0)*VLOOKUP('Données projet'!$B$11,Paramètres!$A$1:$I$89,5,0)</f>
        <v>7.7591266745002952E-14</v>
      </c>
      <c r="BF77" s="13">
        <f t="shared" si="91"/>
        <v>1.2005788606873384E-12</v>
      </c>
      <c r="BG77" s="20">
        <f t="shared" si="61"/>
        <v>2.226146305277994E-12</v>
      </c>
      <c r="BH77" s="59">
        <f t="shared" si="62"/>
        <v>293.33333333333553</v>
      </c>
      <c r="BI77" s="59">
        <f ca="1">AVERAGE(OFFSET($BH$3,0,0,'Données projet'!$E$11+1,1))-AVERAGE(OFFSET($H$3,0,0,'Données projet'!$E$11+1,1))</f>
        <v>165.87377022031535</v>
      </c>
      <c r="BJ77" s="59">
        <f t="shared" si="92"/>
        <v>272.91122662088929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57.338951013139173</v>
      </c>
      <c r="BQ77" s="21">
        <f>EXP(-LN(2)/25)*BQ76+(1-EXP(-LN(2)/25))/(LN(2)/25)*Calculateur!BL77*Calculateur!BN77*VLOOKUP('Données projet'!$B$11,Paramètres!$A$1:$I$89,3,0)*0.475*44/12</f>
        <v>15.033192818384167</v>
      </c>
      <c r="BR77" s="21">
        <f>EXP(-LN(2)/2)*BR76+(1-EXP(-LN(2)/2))/(LN(2)/2)*BL77*BO77*VLOOKUP('Données projet'!$B$11,Paramètres!$A$1:$I$89,3,0)*0.475*44/12</f>
        <v>1.9657311160624716E-4</v>
      </c>
      <c r="BS77" s="22">
        <f t="shared" si="63"/>
        <v>72.372340404634954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382.81</v>
      </c>
      <c r="BW77" s="12">
        <f>VLOOKUP(A77,'Données projet'!$A$113:$I$133,9,0)</f>
        <v>11.731249999999996</v>
      </c>
      <c r="BX77" s="12">
        <f t="array" ref="BX77">INDEX(BW:BW,MIN(IF(ISNUMBER(BW77:BW273),ROW(BW77:BW273),"")))</f>
        <v>11.731249999999996</v>
      </c>
      <c r="BY77" s="12">
        <f>IF('Données projet'!$A$114&gt;35,BY76+BX77-CG76,IF(A77&lt;'Données projet'!$A$114,$BV$205^A77,IF(A77='Données projet'!$A$114,'Données projet'!$B$114,BY76+BX77-CG76)))</f>
        <v>382.81000000000023</v>
      </c>
      <c r="BZ77" s="13">
        <f>BY77*VLOOKUP('Données projet'!$B$12,Paramètres!$A$1:$I$89,3,0)*VLOOKUP('Données projet'!$B$12,Paramètres!$A$1:$I$89,5,0)</f>
        <v>346.36648800000017</v>
      </c>
      <c r="CA77" s="13">
        <f t="shared" si="93"/>
        <v>80.813879575397735</v>
      </c>
      <c r="CB77" s="20">
        <f t="shared" si="64"/>
        <v>744.00580686048454</v>
      </c>
      <c r="CC77" s="59">
        <f t="shared" si="65"/>
        <v>1037.3391401938179</v>
      </c>
      <c r="CD77" s="59">
        <f ca="1">AVERAGE(OFFSET($CC$3,0,0,'Données projet'!$E$12+1,1))-AVERAGE(OFFSET($H$3,0,0,'Données projet'!$E$12+1,1))</f>
        <v>639.86968831634636</v>
      </c>
      <c r="CE77" s="59">
        <f t="shared" si="94"/>
        <v>218.1556771431184</v>
      </c>
      <c r="CF77" s="15">
        <f>IF(ISNA(VLOOKUP(A77,'Données projet'!$A$113:$I$133,3,0)),0,VLOOKUP(A77,'Données projet'!$A$113:$I$133,3,0))</f>
        <v>6</v>
      </c>
      <c r="CG77" s="15">
        <f>IF(ISNA(VLOOKUP(A77,'Données projet'!$A$113:$I$133,4,0)),0,VLOOKUP(A77,'Données projet'!$A$113:$I$133,4,0))</f>
        <v>70.209999999999994</v>
      </c>
      <c r="CH77" s="16">
        <f>IF(ISNA(VLOOKUP(A77,'Données projet'!$A$113:$I$133,5,0)),0%,VLOOKUP(A77,'Données projet'!$A$113:$I$133,5,0)*VLOOKUP('Données projet'!$B$12,Paramètres!$A$1:$I$89,7,0))</f>
        <v>8.6000000000000007E-2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11.27695075400216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11.27695075400216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1.1368683772161603E-13</v>
      </c>
      <c r="CU77" s="17">
        <f>CT77*VLOOKUP('Données projet'!$B$13,Paramètres!$A$1:$I$89,3,0)*VLOOKUP('Données projet'!$B$13,Paramètres!$A$1:$I$89,5,0)</f>
        <v>9.9316821433603781E-14</v>
      </c>
      <c r="CV77" s="13">
        <f t="shared" si="95"/>
        <v>1.4932118279712753E-12</v>
      </c>
      <c r="CW77" s="20">
        <f t="shared" si="67"/>
        <v>2.7736540643801645E-12</v>
      </c>
      <c r="CX77" s="59">
        <f t="shared" si="68"/>
        <v>293.3333333333361</v>
      </c>
      <c r="CY77" s="59">
        <f ca="1">AVERAGE(OFFSET($CX$3,0,0,'Données projet'!$E$13+1,1))-AVERAGE(OFFSET($H$3,0,0,'Données projet'!$E$13+1,1))</f>
        <v>218.76600554860482</v>
      </c>
      <c r="CZ77" s="59">
        <f t="shared" si="96"/>
        <v>264.34840059907702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42.746185352134681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42.746185352134681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10.648888888888893</v>
      </c>
      <c r="DO77" s="12">
        <f>IF('Données projet'!$A$166&gt;35,DO76+DN77-DW76,IF(A77&lt;'Données projet'!$A$166,$DL$205^A77,IF(A77='Données projet'!$A$166,'Données projet'!$B$166,DO76+DN77-DW76)))</f>
        <v>277.1977777777775</v>
      </c>
      <c r="DP77" s="17">
        <f>DO77*VLOOKUP('Données projet'!$B$14,Paramètres!$A$1:$I$89,3,0)*VLOOKUP('Données projet'!$B$14,Paramètres!$A$1:$I$89,5,0)</f>
        <v>237.83569333333313</v>
      </c>
      <c r="DQ77" s="13">
        <f t="shared" si="97"/>
        <v>57.973624135967228</v>
      </c>
      <c r="DR77" s="20">
        <f t="shared" si="70"/>
        <v>515.20122792569805</v>
      </c>
      <c r="DS77" s="59">
        <f t="shared" si="71"/>
        <v>808.53456125903131</v>
      </c>
      <c r="DT77" s="59">
        <f ca="1">AVERAGE(OFFSET($DS$3,0,0,'Données projet'!$E$14+1,1))-AVERAGE(OFFSET($H$3,0,0,'Données projet'!$E$14+1,1))</f>
        <v>442.97490100035287</v>
      </c>
      <c r="DU77" s="59">
        <f t="shared" si="98"/>
        <v>334.36243356457049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7.8023835314519214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7.8023835314519214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5.6843418860808015E-14</v>
      </c>
      <c r="EK77" s="17">
        <f>EJ77*VLOOKUP('Données projet'!$B$15,Paramètres!$A$1:$I$89,3,0)*VLOOKUP('Données projet'!$B$15,Paramètres!$A$1:$I$89,5,0)</f>
        <v>4.4337866711430253E-14</v>
      </c>
      <c r="EL77" s="13">
        <f t="shared" si="99"/>
        <v>7.3222115536967035E-13</v>
      </c>
      <c r="EM77" s="20">
        <f t="shared" si="73"/>
        <v>1.3525069634579169E-12</v>
      </c>
      <c r="EN77" s="59">
        <f t="shared" si="74"/>
        <v>293.33333333333468</v>
      </c>
      <c r="EO77" s="59">
        <f ca="1">AVERAGE(OFFSET($EN$3,0,0,'Données projet'!$E$15+1,1))-AVERAGE(OFFSET($H$3,0,0,'Données projet'!$E$15+1,1))</f>
        <v>288.82868507674738</v>
      </c>
      <c r="EP77" s="59">
        <f t="shared" si="100"/>
        <v>283.48738729114024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74.83114481930123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74.83114481930123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234.47735999999995</v>
      </c>
      <c r="FG77" s="13">
        <f t="shared" si="101"/>
        <v>57.249702472380292</v>
      </c>
      <c r="FH77" s="20">
        <f t="shared" si="76"/>
        <v>508.09130047272885</v>
      </c>
      <c r="FI77" s="59">
        <f t="shared" si="77"/>
        <v>801.42463380606216</v>
      </c>
      <c r="FJ77" s="59">
        <f ca="1">AVERAGE(OFFSET($FI$3,0,0,'Données projet'!$E$16+1,1))-AVERAGE(OFFSET($H$3,0,0,'Données projet'!$E$16+1,1))</f>
        <v>328.55201074501201</v>
      </c>
      <c r="FK77" s="59">
        <f t="shared" si="102"/>
        <v>321.81422611044985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14.860893931632679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14.860893931632679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4.2</v>
      </c>
      <c r="FZ77" s="12">
        <f>IF('Données projet'!$A$244&gt;35,FZ76+FY77-GH76,IF(A77&lt;'Données projet'!$A$244,$FW$205^A77,IF(A77='Données projet'!$A$244,'Données projet'!$B$244,FZ76+FY77-GH76)))</f>
        <v>319.7999999999999</v>
      </c>
      <c r="GA77" s="17">
        <f>FZ77*VLOOKUP('Données projet'!$B$17,Paramètres!$A$1:$I$89,3,0)*VLOOKUP('Données projet'!$B$17,Paramètres!$A$1:$I$89,5,0)</f>
        <v>254.43287999999995</v>
      </c>
      <c r="GB77" s="13">
        <f t="shared" si="103"/>
        <v>61.534202204620392</v>
      </c>
      <c r="GC77" s="20">
        <f t="shared" si="79"/>
        <v>550.30933483971376</v>
      </c>
      <c r="GD77" s="59">
        <f t="shared" si="80"/>
        <v>843.64266817304701</v>
      </c>
      <c r="GE77" s="59">
        <f ca="1">AVERAGE(OFFSET($GD$3,0,0,'Données projet'!$E$17+1,1))-AVERAGE(OFFSET($H$3,0,0,'Données projet'!$E$17+1,1))</f>
        <v>353.37024194969638</v>
      </c>
      <c r="GF77" s="59">
        <f t="shared" si="104"/>
        <v>345.4750813433123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19.875802225236576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19.875802225236576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1.2710188457276673E-13</v>
      </c>
      <c r="P78" s="13">
        <f t="shared" si="87"/>
        <v>1.856866851063998E-12</v>
      </c>
      <c r="Q78" s="20">
        <f t="shared" si="54"/>
        <v>3.4554122145673649E-12</v>
      </c>
      <c r="R78" s="59">
        <f t="shared" si="55"/>
        <v>293.33333333333678</v>
      </c>
      <c r="S78" s="59">
        <f ca="1">AVERAGE(OFFSET($R$3,0,0,'Données projet'!$E$9+1,1))-AVERAGE(OFFSET($H$3,0,0,'Données projet'!$E$9+1,1))</f>
        <v>404.65492118472037</v>
      </c>
      <c r="T78" s="59">
        <f t="shared" si="88"/>
        <v>534.22295841722166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185.33409506009949</v>
      </c>
      <c r="AA78" s="21">
        <f>EXP(-LN(2)/25)*AA77+(1-EXP(-LN(2)/25))/(LN(2)/25)*Calculateur!V78*Calculateur!X78*VLOOKUP('Données projet'!$B$9,Paramètres!$A$1:$I$89,3,0)*0.475*44/12</f>
        <v>41.063907070806856</v>
      </c>
      <c r="AB78" s="21">
        <f>EXP(-LN(2)/2)*AB77+(1-EXP(-LN(2)/2))/(LN(2)/2)*V78*Y78*VLOOKUP('Données projet'!$B$9,Paramètres!$A$1:$I$89,3,0)*0.475*44/12</f>
        <v>2.9020011282066965E-2</v>
      </c>
      <c r="AC78" s="22">
        <f t="shared" si="57"/>
        <v>226.42702214218841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482.42</v>
      </c>
      <c r="AG78" s="12">
        <f>VLOOKUP(A78,'Données projet'!$A$61:$I$81,9,0)</f>
        <v>15.137777777777778</v>
      </c>
      <c r="AH78" s="12">
        <f t="array" ref="AH78">INDEX(AG:AG,MIN(IF(ISNUMBER(AG78:AG274),ROW(AG78:AG274),"")))</f>
        <v>15.137777777777778</v>
      </c>
      <c r="AI78" s="13">
        <f>IF('Données projet'!$A$62&gt;35,AI77+AH78-AQ77,IF(A78&lt;'Données projet'!$A$62,$AF$205^A78,IF(A78='Données projet'!$A$62,'Données projet'!$B$62,AI77+AH78-AQ77)))</f>
        <v>482.42000000000013</v>
      </c>
      <c r="AJ78" s="13">
        <f>AI78*VLOOKUP('Données projet'!$B$10,Paramètres!$A$1:$I$89,3,0)*VLOOKUP('Données projet'!$B$10,Paramètres!$A$1:$I$89,5,0)</f>
        <v>225.77256000000006</v>
      </c>
      <c r="AK78" s="13">
        <f t="shared" si="89"/>
        <v>55.367625605693007</v>
      </c>
      <c r="AL78" s="20">
        <f t="shared" si="58"/>
        <v>489.65248992991548</v>
      </c>
      <c r="AM78" s="59">
        <f t="shared" si="59"/>
        <v>782.98582326324879</v>
      </c>
      <c r="AN78" s="59">
        <f ca="1">AVERAGE(OFFSET($AM$3,0,0,'Données projet'!$E$10+1,1))-AVERAGE(OFFSET($H$3,0,0,'Données projet'!$E$10+1,1))</f>
        <v>331.17634116262298</v>
      </c>
      <c r="AO78" s="59">
        <f t="shared" si="90"/>
        <v>286.28916368940605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87.99</v>
      </c>
      <c r="AR78" s="16">
        <f>IF(ISNA(VLOOKUP(A78,'Données projet'!$A$61:$I$81,5,0)),0%,VLOOKUP(A78,'Données projet'!$A$61:$I$81,5,0)*VLOOKUP('Données projet'!$B$10,Paramètres!$A$1:$I$89,7,0))</f>
        <v>0.22000000000000003</v>
      </c>
      <c r="AS78" s="16">
        <f>IF(ISNA(VLOOKUP(A78,'Données projet'!$A$61:$I$81,6,0)),0%,VLOOKUP(A78,'Données projet'!$A$61:$I$81,6,0)*VLOOKUP('Données projet'!$B$10,Paramètres!$A$1:$I$89,7,0))</f>
        <v>0.18700000000000003</v>
      </c>
      <c r="AT78" s="16">
        <f>IF(ISNA(VLOOKUP(A78,'Données projet'!$A$61:$I$81,7,0)),0%,VLOOKUP(A78,'Données projet'!$A$61:$I$81,7,0))</f>
        <v>0.26</v>
      </c>
      <c r="AU78" s="21">
        <f>EXP(-LN(2)/35)*AU77+(1-EXP(-LN(2)/35))/(LN(2)/35)*AQ78*AR78*VLOOKUP('Données projet'!$B$10,Paramètres!$A$1:$I$89,3,0)*0.475*44/12</f>
        <v>21.290623351376681</v>
      </c>
      <c r="AV78" s="21">
        <f>EXP(-LN(2)/25)*AV77+(1-EXP(-LN(2)/25))/(LN(2)/25)*Calculateur!AQ78*Calculateur!AS78*VLOOKUP('Données projet'!$B$10,Paramètres!$A$1:$I$89,3,0)*0.475*44/12</f>
        <v>47.165079277967628</v>
      </c>
      <c r="AW78" s="21">
        <f>EXP(-LN(2)/2)*AW77+(1-EXP(-LN(2)/2))/(LN(2)/2)*AQ78*AT78*VLOOKUP('Données projet'!$B$10,Paramètres!$A$1:$I$89,3,0)*0.475*44/12</f>
        <v>12.890733702948872</v>
      </c>
      <c r="AX78" s="21">
        <f t="shared" si="60"/>
        <v>81.346436332293166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1.4210854715202004E-13</v>
      </c>
      <c r="BE78" s="13">
        <f>BD78*VLOOKUP('Données projet'!$B$11,Paramètres!$A$1:$I$89,3,0)*VLOOKUP('Données projet'!$B$11,Paramètres!$A$1:$I$89,5,0)</f>
        <v>7.7591266745002952E-14</v>
      </c>
      <c r="BF78" s="13">
        <f t="shared" si="91"/>
        <v>1.2005788606873384E-12</v>
      </c>
      <c r="BG78" s="20">
        <f t="shared" si="61"/>
        <v>2.226146305277994E-12</v>
      </c>
      <c r="BH78" s="59">
        <f t="shared" si="62"/>
        <v>293.33333333333553</v>
      </c>
      <c r="BI78" s="59">
        <f ca="1">AVERAGE(OFFSET($BH$3,0,0,'Données projet'!$E$11+1,1))-AVERAGE(OFFSET($H$3,0,0,'Données projet'!$E$11+1,1))</f>
        <v>165.87377022031535</v>
      </c>
      <c r="BJ78" s="59">
        <f t="shared" si="92"/>
        <v>272.91122662088929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56.214569157078301</v>
      </c>
      <c r="BQ78" s="21">
        <f>EXP(-LN(2)/25)*BQ77+(1-EXP(-LN(2)/25))/(LN(2)/25)*Calculateur!BL78*Calculateur!BN78*VLOOKUP('Données projet'!$B$11,Paramètres!$A$1:$I$89,3,0)*0.475*44/12</f>
        <v>14.622109370204202</v>
      </c>
      <c r="BR78" s="21">
        <f>EXP(-LN(2)/2)*BR77+(1-EXP(-LN(2)/2))/(LN(2)/2)*BL78*BO78*VLOOKUP('Données projet'!$B$11,Paramètres!$A$1:$I$89,3,0)*0.475*44/12</f>
        <v>1.3899818021571739E-4</v>
      </c>
      <c r="BS78" s="22">
        <f t="shared" si="63"/>
        <v>70.83681752546272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11.019999999999996</v>
      </c>
      <c r="BY78" s="12">
        <f>IF('Données projet'!$A$114&gt;35,BY77+BX78-CG77,IF(A78&lt;'Données projet'!$A$114,$BV$205^A78,IF(A78='Données projet'!$A$114,'Données projet'!$B$114,BY77+BX78-CG77)))</f>
        <v>323.62000000000023</v>
      </c>
      <c r="BZ78" s="13">
        <f>BY78*VLOOKUP('Données projet'!$B$12,Paramètres!$A$1:$I$89,3,0)*VLOOKUP('Données projet'!$B$12,Paramètres!$A$1:$I$89,5,0)</f>
        <v>292.81137600000017</v>
      </c>
      <c r="CA78" s="13">
        <f t="shared" si="93"/>
        <v>69.667331117160316</v>
      </c>
      <c r="CB78" s="20">
        <f t="shared" si="64"/>
        <v>631.31708156238767</v>
      </c>
      <c r="CC78" s="59">
        <f t="shared" si="65"/>
        <v>924.65041489572104</v>
      </c>
      <c r="CD78" s="59">
        <f ca="1">AVERAGE(OFFSET($CC$3,0,0,'Données projet'!$E$12+1,1))-AVERAGE(OFFSET($H$3,0,0,'Données projet'!$E$12+1,1))</f>
        <v>639.86968831634636</v>
      </c>
      <c r="CE78" s="59">
        <f t="shared" si="94"/>
        <v>218.1556771431184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11.055816627976965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11.055816627976965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1.1368683772161603E-13</v>
      </c>
      <c r="CU78" s="17">
        <f>CT78*VLOOKUP('Données projet'!$B$13,Paramètres!$A$1:$I$89,3,0)*VLOOKUP('Données projet'!$B$13,Paramètres!$A$1:$I$89,5,0)</f>
        <v>9.9316821433603781E-14</v>
      </c>
      <c r="CV78" s="13">
        <f t="shared" si="95"/>
        <v>1.4932118279712753E-12</v>
      </c>
      <c r="CW78" s="20">
        <f t="shared" si="67"/>
        <v>2.7736540643801645E-12</v>
      </c>
      <c r="CX78" s="59">
        <f t="shared" si="68"/>
        <v>293.3333333333361</v>
      </c>
      <c r="CY78" s="59">
        <f ca="1">AVERAGE(OFFSET($CX$3,0,0,'Données projet'!$E$13+1,1))-AVERAGE(OFFSET($H$3,0,0,'Données projet'!$E$13+1,1))</f>
        <v>218.76600554860482</v>
      </c>
      <c r="CZ78" s="59">
        <f t="shared" si="96"/>
        <v>264.34840059907702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41.907958729977928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41.907958729977928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10.648888888888893</v>
      </c>
      <c r="DO78" s="12">
        <f>IF('Données projet'!$A$166&gt;35,DO77+DN78-DW77,IF(A78&lt;'Données projet'!$A$166,$DL$205^A78,IF(A78='Données projet'!$A$166,'Données projet'!$B$166,DO77+DN78-DW77)))</f>
        <v>287.84666666666641</v>
      </c>
      <c r="DP78" s="17">
        <f>DO78*VLOOKUP('Données projet'!$B$14,Paramètres!$A$1:$I$89,3,0)*VLOOKUP('Données projet'!$B$14,Paramètres!$A$1:$I$89,5,0)</f>
        <v>246.97243999999981</v>
      </c>
      <c r="DQ78" s="13">
        <f t="shared" si="97"/>
        <v>59.937175435850101</v>
      </c>
      <c r="DR78" s="20">
        <f t="shared" si="70"/>
        <v>534.5342468841053</v>
      </c>
      <c r="DS78" s="59">
        <f t="shared" si="71"/>
        <v>827.86758021743867</v>
      </c>
      <c r="DT78" s="59">
        <f ca="1">AVERAGE(OFFSET($DS$3,0,0,'Données projet'!$E$14+1,1))-AVERAGE(OFFSET($H$3,0,0,'Données projet'!$E$14+1,1))</f>
        <v>442.97490100035287</v>
      </c>
      <c r="DU78" s="59">
        <f t="shared" si="98"/>
        <v>334.36243356457049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7.6493835493841926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7.6493835493841926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5.6843418860808015E-14</v>
      </c>
      <c r="EK78" s="17">
        <f>EJ78*VLOOKUP('Données projet'!$B$15,Paramètres!$A$1:$I$89,3,0)*VLOOKUP('Données projet'!$B$15,Paramètres!$A$1:$I$89,5,0)</f>
        <v>4.4337866711430253E-14</v>
      </c>
      <c r="EL78" s="13">
        <f t="shared" si="99"/>
        <v>7.3222115536967035E-13</v>
      </c>
      <c r="EM78" s="20">
        <f t="shared" si="73"/>
        <v>1.3525069634579169E-12</v>
      </c>
      <c r="EN78" s="59">
        <f t="shared" si="74"/>
        <v>293.33333333333468</v>
      </c>
      <c r="EO78" s="59">
        <f ca="1">AVERAGE(OFFSET($EN$3,0,0,'Données projet'!$E$15+1,1))-AVERAGE(OFFSET($H$3,0,0,'Données projet'!$E$15+1,1))</f>
        <v>288.82868507674738</v>
      </c>
      <c r="EP78" s="59">
        <f t="shared" si="100"/>
        <v>283.48738729114024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73.363751711886252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73.363751711886252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237.55679999999992</v>
      </c>
      <c r="FG78" s="13">
        <f t="shared" si="101"/>
        <v>57.913551469467308</v>
      </c>
      <c r="FH78" s="20">
        <f t="shared" si="76"/>
        <v>514.61086214265538</v>
      </c>
      <c r="FI78" s="59">
        <f t="shared" si="77"/>
        <v>807.94419547598864</v>
      </c>
      <c r="FJ78" s="59">
        <f ca="1">AVERAGE(OFFSET($FI$3,0,0,'Données projet'!$E$16+1,1))-AVERAGE(OFFSET($H$3,0,0,'Données projet'!$E$16+1,1))</f>
        <v>328.55201074501201</v>
      </c>
      <c r="FK78" s="59">
        <f t="shared" si="102"/>
        <v>321.81422611044985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0.25800000000000001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17.078884477402578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17.078884477402578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324</v>
      </c>
      <c r="FX78" s="12">
        <f>VLOOKUP(A78,'Données projet'!$A$243:$I$263,9,0)</f>
        <v>4.2</v>
      </c>
      <c r="FY78" s="12">
        <f t="array" ref="FY78">INDEX(FX:FX,MIN(IF(ISNUMBER(FX78:FX274),ROW(FX78:FX274),"")))</f>
        <v>4.2</v>
      </c>
      <c r="FZ78" s="12">
        <f>IF('Données projet'!$A$244&gt;35,FZ77+FY78-GH77,IF(A78&lt;'Données projet'!$A$244,$FW$205^A78,IF(A78='Données projet'!$A$244,'Données projet'!$B$244,FZ77+FY78-GH77)))</f>
        <v>323.99999999999989</v>
      </c>
      <c r="GA78" s="17">
        <f>FZ78*VLOOKUP('Données projet'!$B$17,Paramètres!$A$1:$I$89,3,0)*VLOOKUP('Données projet'!$B$17,Paramètres!$A$1:$I$89,5,0)</f>
        <v>257.77439999999996</v>
      </c>
      <c r="GB78" s="13">
        <f t="shared" si="103"/>
        <v>62.247732872134293</v>
      </c>
      <c r="GC78" s="20">
        <f t="shared" si="79"/>
        <v>557.37188141896718</v>
      </c>
      <c r="GD78" s="59">
        <f t="shared" si="80"/>
        <v>850.70521475230044</v>
      </c>
      <c r="GE78" s="59">
        <f ca="1">AVERAGE(OFFSET($GD$3,0,0,'Données projet'!$E$17+1,1))-AVERAGE(OFFSET($H$3,0,0,'Données projet'!$E$17+1,1))</f>
        <v>353.37024194969638</v>
      </c>
      <c r="GF78" s="59">
        <f t="shared" si="104"/>
        <v>345.4750813433123</v>
      </c>
      <c r="GG78" s="15">
        <f>IF(ISNA(VLOOKUP(A78,'Données projet'!$A$243:$I$263,3,0)),0,VLOOKUP(A78,'Données projet'!$A$243:$I$263,3,0))</f>
        <v>14</v>
      </c>
      <c r="GH78" s="15">
        <f>IF(ISNA(VLOOKUP(A78,'Données projet'!$A$243:$I$263,4,0)),0,VLOOKUP(A78,'Données projet'!$A$243:$I$263,4,0))</f>
        <v>12</v>
      </c>
      <c r="GI78" s="16">
        <f>IF(ISNA(VLOOKUP(A78,'Données projet'!$A$243:$I$263,5,0)),0%,VLOOKUP(A78,'Données projet'!$A$243:$I$263,5,0)*VLOOKUP('Données projet'!$B$17,Paramètres!$A$1:$I$89,7,0))</f>
        <v>0.318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22.842268551419675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22.842268551419675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1.2710188457276673E-13</v>
      </c>
      <c r="P79" s="13">
        <f t="shared" si="87"/>
        <v>1.856866851063998E-12</v>
      </c>
      <c r="Q79" s="20">
        <f t="shared" si="54"/>
        <v>3.4554122145673649E-12</v>
      </c>
      <c r="R79" s="59">
        <f t="shared" si="55"/>
        <v>293.33333333333678</v>
      </c>
      <c r="S79" s="59">
        <f ca="1">AVERAGE(OFFSET($R$3,0,0,'Données projet'!$E$9+1,1))-AVERAGE(OFFSET($H$3,0,0,'Données projet'!$E$9+1,1))</f>
        <v>404.65492118472037</v>
      </c>
      <c r="T79" s="59">
        <f t="shared" si="88"/>
        <v>534.22295841722166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181.69980649860688</v>
      </c>
      <c r="AA79" s="21">
        <f>EXP(-LN(2)/25)*AA78+(1-EXP(-LN(2)/25))/(LN(2)/25)*Calculateur!V79*Calculateur!X79*VLOOKUP('Données projet'!$B$9,Paramètres!$A$1:$I$89,3,0)*0.475*44/12</f>
        <v>39.941012372498619</v>
      </c>
      <c r="AB79" s="21">
        <f>EXP(-LN(2)/2)*AB78+(1-EXP(-LN(2)/2))/(LN(2)/2)*V79*Y79*VLOOKUP('Données projet'!$B$9,Paramètres!$A$1:$I$89,3,0)*0.475*44/12</f>
        <v>2.0520246767659667E-2</v>
      </c>
      <c r="AC79" s="22">
        <f t="shared" si="57"/>
        <v>221.66133911787315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14.284999999999997</v>
      </c>
      <c r="AI79" s="13">
        <f>IF('Données projet'!$A$62&gt;35,AI78+AH79-AQ78,IF(A79&lt;'Données projet'!$A$62,$AF$205^A79,IF(A79='Données projet'!$A$62,'Données projet'!$B$62,AI78+AH79-AQ78)))</f>
        <v>408.71500000000015</v>
      </c>
      <c r="AJ79" s="13">
        <f>AI79*VLOOKUP('Données projet'!$B$10,Paramètres!$A$1:$I$89,3,0)*VLOOKUP('Données projet'!$B$10,Paramètres!$A$1:$I$89,5,0)</f>
        <v>191.27862000000007</v>
      </c>
      <c r="AK79" s="13">
        <f t="shared" si="89"/>
        <v>47.822527138669464</v>
      </c>
      <c r="AL79" s="20">
        <f t="shared" si="58"/>
        <v>416.43449793318274</v>
      </c>
      <c r="AM79" s="59">
        <f t="shared" si="59"/>
        <v>709.76783126651605</v>
      </c>
      <c r="AN79" s="59">
        <f ca="1">AVERAGE(OFFSET($AM$3,0,0,'Données projet'!$E$10+1,1))-AVERAGE(OFFSET($H$3,0,0,'Données projet'!$E$10+1,1))</f>
        <v>331.17634116262298</v>
      </c>
      <c r="AO79" s="59">
        <f t="shared" si="90"/>
        <v>286.28916368940605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20.873127213454168</v>
      </c>
      <c r="AV79" s="21">
        <f>EXP(-LN(2)/25)*AV78+(1-EXP(-LN(2)/25))/(LN(2)/25)*Calculateur!AQ79*Calculateur!AS79*VLOOKUP('Données projet'!$B$10,Paramètres!$A$1:$I$89,3,0)*0.475*44/12</f>
        <v>45.875347704807879</v>
      </c>
      <c r="AW79" s="21">
        <f>EXP(-LN(2)/2)*AW78+(1-EXP(-LN(2)/2))/(LN(2)/2)*AQ79*AT79*VLOOKUP('Données projet'!$B$10,Paramètres!$A$1:$I$89,3,0)*0.475*44/12</f>
        <v>9.1151252158251221</v>
      </c>
      <c r="AX79" s="21">
        <f t="shared" si="60"/>
        <v>75.863600134087164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1.4210854715202004E-13</v>
      </c>
      <c r="BE79" s="13">
        <f>BD79*VLOOKUP('Données projet'!$B$11,Paramètres!$A$1:$I$89,3,0)*VLOOKUP('Données projet'!$B$11,Paramètres!$A$1:$I$89,5,0)</f>
        <v>7.7591266745002952E-14</v>
      </c>
      <c r="BF79" s="13">
        <f t="shared" si="91"/>
        <v>1.2005788606873384E-12</v>
      </c>
      <c r="BG79" s="20">
        <f t="shared" si="61"/>
        <v>2.226146305277994E-12</v>
      </c>
      <c r="BH79" s="59">
        <f t="shared" si="62"/>
        <v>293.33333333333553</v>
      </c>
      <c r="BI79" s="59">
        <f ca="1">AVERAGE(OFFSET($BH$3,0,0,'Données projet'!$E$11+1,1))-AVERAGE(OFFSET($H$3,0,0,'Données projet'!$E$11+1,1))</f>
        <v>165.87377022031535</v>
      </c>
      <c r="BJ79" s="59">
        <f t="shared" si="92"/>
        <v>272.91122662088929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55.11223574340957</v>
      </c>
      <c r="BQ79" s="21">
        <f>EXP(-LN(2)/25)*BQ78+(1-EXP(-LN(2)/25))/(LN(2)/25)*Calculateur!BL79*Calculateur!BN79*VLOOKUP('Données projet'!$B$11,Paramètres!$A$1:$I$89,3,0)*0.475*44/12</f>
        <v>14.222267020532655</v>
      </c>
      <c r="BR79" s="21">
        <f>EXP(-LN(2)/2)*BR78+(1-EXP(-LN(2)/2))/(LN(2)/2)*BL79*BO79*VLOOKUP('Données projet'!$B$11,Paramètres!$A$1:$I$89,3,0)*0.475*44/12</f>
        <v>9.8286555803123578E-5</v>
      </c>
      <c r="BS79" s="22">
        <f t="shared" si="63"/>
        <v>69.334601050498023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11.019999999999996</v>
      </c>
      <c r="BY79" s="12">
        <f>IF('Données projet'!$A$114&gt;35,BY78+BX79-CG78,IF(A79&lt;'Données projet'!$A$114,$BV$205^A79,IF(A79='Données projet'!$A$114,'Données projet'!$B$114,BY78+BX79-CG78)))</f>
        <v>334.64000000000021</v>
      </c>
      <c r="BZ79" s="13">
        <f>BY79*VLOOKUP('Données projet'!$B$12,Paramètres!$A$1:$I$89,3,0)*VLOOKUP('Données projet'!$B$12,Paramètres!$A$1:$I$89,5,0)</f>
        <v>302.78227200000015</v>
      </c>
      <c r="CA79" s="13">
        <f t="shared" si="93"/>
        <v>71.759420809535285</v>
      </c>
      <c r="CB79" s="20">
        <f t="shared" si="64"/>
        <v>652.32678164327422</v>
      </c>
      <c r="CC79" s="59">
        <f t="shared" si="65"/>
        <v>945.66011497660747</v>
      </c>
      <c r="CD79" s="59">
        <f ca="1">AVERAGE(OFFSET($CC$3,0,0,'Données projet'!$E$12+1,1))-AVERAGE(OFFSET($H$3,0,0,'Données projet'!$E$12+1,1))</f>
        <v>639.86968831634636</v>
      </c>
      <c r="CE79" s="59">
        <f t="shared" si="94"/>
        <v>218.1556771431184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10.839018807284626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10.839018807284626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1.1368683772161603E-13</v>
      </c>
      <c r="CU79" s="17">
        <f>CT79*VLOOKUP('Données projet'!$B$13,Paramètres!$A$1:$I$89,3,0)*VLOOKUP('Données projet'!$B$13,Paramètres!$A$1:$I$89,5,0)</f>
        <v>9.9316821433603781E-14</v>
      </c>
      <c r="CV79" s="13">
        <f t="shared" si="95"/>
        <v>1.4932118279712753E-12</v>
      </c>
      <c r="CW79" s="20">
        <f t="shared" si="67"/>
        <v>2.7736540643801645E-12</v>
      </c>
      <c r="CX79" s="59">
        <f t="shared" si="68"/>
        <v>293.3333333333361</v>
      </c>
      <c r="CY79" s="59">
        <f ca="1">AVERAGE(OFFSET($CX$3,0,0,'Données projet'!$E$13+1,1))-AVERAGE(OFFSET($H$3,0,0,'Données projet'!$E$13+1,1))</f>
        <v>218.76600554860482</v>
      </c>
      <c r="CZ79" s="59">
        <f t="shared" si="96"/>
        <v>264.34840059907702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41.086169220613911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41.086169220613911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10.648888888888893</v>
      </c>
      <c r="DO79" s="12">
        <f>IF('Données projet'!$A$166&gt;35,DO78+DN79-DW78,IF(A79&lt;'Données projet'!$A$166,$DL$205^A79,IF(A79='Données projet'!$A$166,'Données projet'!$B$166,DO78+DN79-DW78)))</f>
        <v>298.49555555555531</v>
      </c>
      <c r="DP79" s="17">
        <f>DO79*VLOOKUP('Données projet'!$B$14,Paramètres!$A$1:$I$89,3,0)*VLOOKUP('Données projet'!$B$14,Paramètres!$A$1:$I$89,5,0)</f>
        <v>256.10918666666652</v>
      </c>
      <c r="DQ79" s="13">
        <f t="shared" si="97"/>
        <v>61.892287400711353</v>
      </c>
      <c r="DR79" s="20">
        <f t="shared" si="70"/>
        <v>553.8525673340165</v>
      </c>
      <c r="DS79" s="59">
        <f t="shared" si="71"/>
        <v>847.18590066734987</v>
      </c>
      <c r="DT79" s="59">
        <f ca="1">AVERAGE(OFFSET($DS$3,0,0,'Données projet'!$E$14+1,1))-AVERAGE(OFFSET($H$3,0,0,'Données projet'!$E$14+1,1))</f>
        <v>442.97490100035287</v>
      </c>
      <c r="DU79" s="59">
        <f t="shared" si="98"/>
        <v>334.36243356457049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7.4993838036440374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7.4993838036440374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5.6843418860808015E-14</v>
      </c>
      <c r="EK79" s="17">
        <f>EJ79*VLOOKUP('Données projet'!$B$15,Paramètres!$A$1:$I$89,3,0)*VLOOKUP('Données projet'!$B$15,Paramètres!$A$1:$I$89,5,0)</f>
        <v>4.4337866711430253E-14</v>
      </c>
      <c r="EL79" s="13">
        <f t="shared" si="99"/>
        <v>7.3222115536967035E-13</v>
      </c>
      <c r="EM79" s="20">
        <f t="shared" si="73"/>
        <v>1.3525069634579169E-12</v>
      </c>
      <c r="EN79" s="59">
        <f t="shared" si="74"/>
        <v>293.33333333333468</v>
      </c>
      <c r="EO79" s="59">
        <f ca="1">AVERAGE(OFFSET($EN$3,0,0,'Données projet'!$E$15+1,1))-AVERAGE(OFFSET($H$3,0,0,'Données projet'!$E$15+1,1))</f>
        <v>288.82868507674738</v>
      </c>
      <c r="EP79" s="59">
        <f t="shared" si="100"/>
        <v>283.48738729114024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71.925133288286261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71.925133288286261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231.39791999999991</v>
      </c>
      <c r="FG79" s="13">
        <f t="shared" si="101"/>
        <v>56.584837838715806</v>
      </c>
      <c r="FH79" s="20">
        <f t="shared" si="76"/>
        <v>501.56996990242982</v>
      </c>
      <c r="FI79" s="59">
        <f t="shared" si="77"/>
        <v>794.90330323576313</v>
      </c>
      <c r="FJ79" s="59">
        <f ca="1">AVERAGE(OFFSET($FI$3,0,0,'Données projet'!$E$16+1,1))-AVERAGE(OFFSET($H$3,0,0,'Données projet'!$E$16+1,1))</f>
        <v>328.55201074501201</v>
      </c>
      <c r="FK79" s="59">
        <f t="shared" si="102"/>
        <v>321.81422611044985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16.743977969891642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16.743977969891642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3.6</v>
      </c>
      <c r="FZ79" s="12">
        <f>IF('Données projet'!$A$244&gt;35,FZ78+FY79-GH78,IF(A79&lt;'Données projet'!$A$244,$FW$205^A79,IF(A79='Données projet'!$A$244,'Données projet'!$B$244,FZ78+FY79-GH78)))</f>
        <v>315.59999999999991</v>
      </c>
      <c r="GA79" s="17">
        <f>FZ79*VLOOKUP('Données projet'!$B$17,Paramètres!$A$1:$I$89,3,0)*VLOOKUP('Données projet'!$B$17,Paramètres!$A$1:$I$89,5,0)</f>
        <v>251.09135999999995</v>
      </c>
      <c r="GB79" s="13">
        <f t="shared" si="103"/>
        <v>60.81957989149403</v>
      </c>
      <c r="GC79" s="20">
        <f t="shared" si="79"/>
        <v>543.24488697768527</v>
      </c>
      <c r="GD79" s="59">
        <f t="shared" si="80"/>
        <v>836.57822031101864</v>
      </c>
      <c r="GE79" s="59">
        <f ca="1">AVERAGE(OFFSET($GD$3,0,0,'Données projet'!$E$17+1,1))-AVERAGE(OFFSET($H$3,0,0,'Données projet'!$E$17+1,1))</f>
        <v>353.37024194969638</v>
      </c>
      <c r="GF79" s="59">
        <f t="shared" si="104"/>
        <v>345.4750813433123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22.394345597534439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22.394345597534439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1.2710188457276673E-13</v>
      </c>
      <c r="P80" s="13">
        <f t="shared" si="87"/>
        <v>1.856866851063998E-12</v>
      </c>
      <c r="Q80" s="20">
        <f t="shared" si="54"/>
        <v>3.4554122145673649E-12</v>
      </c>
      <c r="R80" s="59">
        <f t="shared" si="55"/>
        <v>293.33333333333678</v>
      </c>
      <c r="S80" s="59">
        <f ca="1">AVERAGE(OFFSET($R$3,0,0,'Données projet'!$E$9+1,1))-AVERAGE(OFFSET($H$3,0,0,'Données projet'!$E$9+1,1))</f>
        <v>404.65492118472037</v>
      </c>
      <c r="T80" s="59">
        <f t="shared" si="88"/>
        <v>534.22295841722166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178.136784119108</v>
      </c>
      <c r="AA80" s="21">
        <f>EXP(-LN(2)/25)*AA79+(1-EXP(-LN(2)/25))/(LN(2)/25)*Calculateur!V80*Calculateur!X80*VLOOKUP('Données projet'!$B$9,Paramètres!$A$1:$I$89,3,0)*0.475*44/12</f>
        <v>38.848823288766091</v>
      </c>
      <c r="AB80" s="21">
        <f>EXP(-LN(2)/2)*AB79+(1-EXP(-LN(2)/2))/(LN(2)/2)*V80*Y80*VLOOKUP('Données projet'!$B$9,Paramètres!$A$1:$I$89,3,0)*0.475*44/12</f>
        <v>1.4510005641033484E-2</v>
      </c>
      <c r="AC80" s="22">
        <f t="shared" si="57"/>
        <v>217.00011741351511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14.284999999999997</v>
      </c>
      <c r="AI80" s="13">
        <f>IF('Données projet'!$A$62&gt;35,AI79+AH80-AQ79,IF(A80&lt;'Données projet'!$A$62,$AF$205^A80,IF(A80='Données projet'!$A$62,'Données projet'!$B$62,AI79+AH80-AQ79)))</f>
        <v>423.00000000000011</v>
      </c>
      <c r="AJ80" s="13">
        <f>AI80*VLOOKUP('Données projet'!$B$10,Paramètres!$A$1:$I$89,3,0)*VLOOKUP('Données projet'!$B$10,Paramètres!$A$1:$I$89,5,0)</f>
        <v>197.96400000000006</v>
      </c>
      <c r="AK80" s="13">
        <f t="shared" si="89"/>
        <v>49.296450435147761</v>
      </c>
      <c r="AL80" s="20">
        <f t="shared" si="58"/>
        <v>430.64528450788242</v>
      </c>
      <c r="AM80" s="59">
        <f t="shared" si="59"/>
        <v>723.97861784121574</v>
      </c>
      <c r="AN80" s="59">
        <f ca="1">AVERAGE(OFFSET($AM$3,0,0,'Données projet'!$E$10+1,1))-AVERAGE(OFFSET($H$3,0,0,'Données projet'!$E$10+1,1))</f>
        <v>331.17634116262298</v>
      </c>
      <c r="AO80" s="59">
        <f t="shared" si="90"/>
        <v>286.28916368940605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20.463817920148816</v>
      </c>
      <c r="AV80" s="21">
        <f>EXP(-LN(2)/25)*AV79+(1-EXP(-LN(2)/25))/(LN(2)/25)*Calculateur!AQ80*Calculateur!AS80*VLOOKUP('Données projet'!$B$10,Paramètres!$A$1:$I$89,3,0)*0.475*44/12</f>
        <v>44.620883909340222</v>
      </c>
      <c r="AW80" s="21">
        <f>EXP(-LN(2)/2)*AW79+(1-EXP(-LN(2)/2))/(LN(2)/2)*AQ80*AT80*VLOOKUP('Données projet'!$B$10,Paramètres!$A$1:$I$89,3,0)*0.475*44/12</f>
        <v>6.4453668514744367</v>
      </c>
      <c r="AX80" s="21">
        <f t="shared" si="60"/>
        <v>71.530068680963467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1.4210854715202004E-13</v>
      </c>
      <c r="BE80" s="13">
        <f>BD80*VLOOKUP('Données projet'!$B$11,Paramètres!$A$1:$I$89,3,0)*VLOOKUP('Données projet'!$B$11,Paramètres!$A$1:$I$89,5,0)</f>
        <v>7.7591266745002952E-14</v>
      </c>
      <c r="BF80" s="13">
        <f t="shared" si="91"/>
        <v>1.2005788606873384E-12</v>
      </c>
      <c r="BG80" s="20">
        <f t="shared" si="61"/>
        <v>2.226146305277994E-12</v>
      </c>
      <c r="BH80" s="59">
        <f t="shared" si="62"/>
        <v>293.33333333333553</v>
      </c>
      <c r="BI80" s="59">
        <f ca="1">AVERAGE(OFFSET($BH$3,0,0,'Données projet'!$E$11+1,1))-AVERAGE(OFFSET($H$3,0,0,'Données projet'!$E$11+1,1))</f>
        <v>165.87377022031535</v>
      </c>
      <c r="BJ80" s="59">
        <f t="shared" si="92"/>
        <v>272.91122662088929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54.031518415625889</v>
      </c>
      <c r="BQ80" s="21">
        <f>EXP(-LN(2)/25)*BQ79+(1-EXP(-LN(2)/25))/(LN(2)/25)*Calculateur!BL80*Calculateur!BN80*VLOOKUP('Données projet'!$B$11,Paramètres!$A$1:$I$89,3,0)*0.475*44/12</f>
        <v>13.833358380939673</v>
      </c>
      <c r="BR80" s="21">
        <f>EXP(-LN(2)/2)*BR79+(1-EXP(-LN(2)/2))/(LN(2)/2)*BL80*BO80*VLOOKUP('Données projet'!$B$11,Paramètres!$A$1:$I$89,3,0)*0.475*44/12</f>
        <v>6.9499090107858695E-5</v>
      </c>
      <c r="BS80" s="22">
        <f t="shared" si="63"/>
        <v>67.86494629565567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11.019999999999996</v>
      </c>
      <c r="BY80" s="12">
        <f>IF('Données projet'!$A$114&gt;35,BY79+BX80-CG79,IF(A80&lt;'Données projet'!$A$114,$BV$205^A80,IF(A80='Données projet'!$A$114,'Données projet'!$B$114,BY79+BX80-CG79)))</f>
        <v>345.6600000000002</v>
      </c>
      <c r="BZ80" s="13">
        <f>BY80*VLOOKUP('Données projet'!$B$12,Paramètres!$A$1:$I$89,3,0)*VLOOKUP('Données projet'!$B$12,Paramètres!$A$1:$I$89,5,0)</f>
        <v>312.75316800000019</v>
      </c>
      <c r="CA80" s="13">
        <f t="shared" si="93"/>
        <v>73.843505012950388</v>
      </c>
      <c r="CB80" s="20">
        <f t="shared" si="64"/>
        <v>673.3225388308889</v>
      </c>
      <c r="CC80" s="59">
        <f t="shared" si="65"/>
        <v>966.65587216422227</v>
      </c>
      <c r="CD80" s="59">
        <f ca="1">AVERAGE(OFFSET($CC$3,0,0,'Données projet'!$E$12+1,1))-AVERAGE(OFFSET($H$3,0,0,'Données projet'!$E$12+1,1))</f>
        <v>639.86968831634636</v>
      </c>
      <c r="CE80" s="59">
        <f t="shared" si="94"/>
        <v>218.1556771431184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10.626472259622449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10.626472259622449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1.1368683772161603E-13</v>
      </c>
      <c r="CU80" s="17">
        <f>CT80*VLOOKUP('Données projet'!$B$13,Paramètres!$A$1:$I$89,3,0)*VLOOKUP('Données projet'!$B$13,Paramètres!$A$1:$I$89,5,0)</f>
        <v>9.9316821433603781E-14</v>
      </c>
      <c r="CV80" s="13">
        <f t="shared" si="95"/>
        <v>1.4932118279712753E-12</v>
      </c>
      <c r="CW80" s="20">
        <f t="shared" si="67"/>
        <v>2.7736540643801645E-12</v>
      </c>
      <c r="CX80" s="59">
        <f t="shared" si="68"/>
        <v>293.3333333333361</v>
      </c>
      <c r="CY80" s="59">
        <f ca="1">AVERAGE(OFFSET($CX$3,0,0,'Données projet'!$E$13+1,1))-AVERAGE(OFFSET($H$3,0,0,'Données projet'!$E$13+1,1))</f>
        <v>218.76600554860482</v>
      </c>
      <c r="CZ80" s="59">
        <f t="shared" si="96"/>
        <v>264.34840059907702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40.280494502286416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40.280494502286416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10.648888888888893</v>
      </c>
      <c r="DO80" s="12">
        <f>IF('Données projet'!$A$166&gt;35,DO79+DN80-DW79,IF(A80&lt;'Données projet'!$A$166,$DL$205^A80,IF(A80='Données projet'!$A$166,'Données projet'!$B$166,DO79+DN80-DW79)))</f>
        <v>309.14444444444422</v>
      </c>
      <c r="DP80" s="17">
        <f>DO80*VLOOKUP('Données projet'!$B$14,Paramètres!$A$1:$I$89,3,0)*VLOOKUP('Données projet'!$B$14,Paramètres!$A$1:$I$89,5,0)</f>
        <v>265.24593333333314</v>
      </c>
      <c r="DQ80" s="13">
        <f t="shared" si="97"/>
        <v>63.839295598474486</v>
      </c>
      <c r="DR80" s="20">
        <f t="shared" si="70"/>
        <v>573.15677372289827</v>
      </c>
      <c r="DS80" s="59">
        <f t="shared" si="71"/>
        <v>866.49010705623164</v>
      </c>
      <c r="DT80" s="59">
        <f ca="1">AVERAGE(OFFSET($DS$3,0,0,'Données projet'!$E$14+1,1))-AVERAGE(OFFSET($H$3,0,0,'Données projet'!$E$14+1,1))</f>
        <v>442.97490100035287</v>
      </c>
      <c r="DU80" s="59">
        <f t="shared" si="98"/>
        <v>334.36243356457049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7.3523254614270357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7.3523254614270357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5.6843418860808015E-14</v>
      </c>
      <c r="EK80" s="17">
        <f>EJ80*VLOOKUP('Données projet'!$B$15,Paramètres!$A$1:$I$89,3,0)*VLOOKUP('Données projet'!$B$15,Paramètres!$A$1:$I$89,5,0)</f>
        <v>4.4337866711430253E-14</v>
      </c>
      <c r="EL80" s="13">
        <f t="shared" si="99"/>
        <v>7.3222115536967035E-13</v>
      </c>
      <c r="EM80" s="20">
        <f t="shared" si="73"/>
        <v>1.3525069634579169E-12</v>
      </c>
      <c r="EN80" s="59">
        <f t="shared" si="74"/>
        <v>293.33333333333468</v>
      </c>
      <c r="EO80" s="59">
        <f ca="1">AVERAGE(OFFSET($EN$3,0,0,'Données projet'!$E$15+1,1))-AVERAGE(OFFSET($H$3,0,0,'Données projet'!$E$15+1,1))</f>
        <v>288.82868507674738</v>
      </c>
      <c r="EP80" s="59">
        <f t="shared" si="100"/>
        <v>283.48738729114024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70.514725294502469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70.514725294502469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234.03743999999998</v>
      </c>
      <c r="FG80" s="13">
        <f t="shared" si="101"/>
        <v>57.154784339928739</v>
      </c>
      <c r="FH80" s="20">
        <f t="shared" si="76"/>
        <v>507.15979072537579</v>
      </c>
      <c r="FI80" s="59">
        <f t="shared" si="77"/>
        <v>800.4931240587091</v>
      </c>
      <c r="FJ80" s="59">
        <f ca="1">AVERAGE(OFFSET($FI$3,0,0,'Données projet'!$E$16+1,1))-AVERAGE(OFFSET($H$3,0,0,'Données projet'!$E$16+1,1))</f>
        <v>328.55201074501201</v>
      </c>
      <c r="FK80" s="59">
        <f t="shared" si="102"/>
        <v>321.81422611044985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16.415638774720197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16.415638774720197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3.6</v>
      </c>
      <c r="FZ80" s="12">
        <f>IF('Données projet'!$A$244&gt;35,FZ79+FY80-GH79,IF(A80&lt;'Données projet'!$A$244,$FW$205^A80,IF(A80='Données projet'!$A$244,'Données projet'!$B$244,FZ79+FY80-GH79)))</f>
        <v>319.19999999999993</v>
      </c>
      <c r="GA80" s="17">
        <f>FZ80*VLOOKUP('Données projet'!$B$17,Paramètres!$A$1:$I$89,3,0)*VLOOKUP('Données projet'!$B$17,Paramètres!$A$1:$I$89,5,0)</f>
        <v>253.95551999999998</v>
      </c>
      <c r="GB80" s="13">
        <f t="shared" si="103"/>
        <v>61.432180511879253</v>
      </c>
      <c r="GC80" s="20">
        <f t="shared" si="79"/>
        <v>549.30024505818972</v>
      </c>
      <c r="GD80" s="59">
        <f t="shared" si="80"/>
        <v>842.63357839152309</v>
      </c>
      <c r="GE80" s="59">
        <f ca="1">AVERAGE(OFFSET($GD$3,0,0,'Données projet'!$E$17+1,1))-AVERAGE(OFFSET($H$3,0,0,'Données projet'!$E$17+1,1))</f>
        <v>353.37024194969638</v>
      </c>
      <c r="GF80" s="59">
        <f t="shared" si="104"/>
        <v>345.4750813433123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21.955206139568869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21.955206139568869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1.2710188457276673E-13</v>
      </c>
      <c r="P81" s="13">
        <f t="shared" si="87"/>
        <v>1.856866851063998E-12</v>
      </c>
      <c r="Q81" s="20">
        <f t="shared" si="54"/>
        <v>3.4554122145673649E-12</v>
      </c>
      <c r="R81" s="59">
        <f t="shared" si="55"/>
        <v>293.33333333333678</v>
      </c>
      <c r="S81" s="59">
        <f ca="1">AVERAGE(OFFSET($R$3,0,0,'Données projet'!$E$9+1,1))-AVERAGE(OFFSET($H$3,0,0,'Données projet'!$E$9+1,1))</f>
        <v>404.65492118472037</v>
      </c>
      <c r="T81" s="59">
        <f t="shared" si="88"/>
        <v>534.22295841722166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174.64363043524204</v>
      </c>
      <c r="AA81" s="21">
        <f>EXP(-LN(2)/25)*AA80+(1-EXP(-LN(2)/25))/(LN(2)/25)*Calculateur!V81*Calculateur!X81*VLOOKUP('Données projet'!$B$9,Paramètres!$A$1:$I$89,3,0)*0.475*44/12</f>
        <v>37.786500172963954</v>
      </c>
      <c r="AB81" s="21">
        <f>EXP(-LN(2)/2)*AB80+(1-EXP(-LN(2)/2))/(LN(2)/2)*V81*Y81*VLOOKUP('Données projet'!$B$9,Paramètres!$A$1:$I$89,3,0)*0.475*44/12</f>
        <v>1.0260123383829835E-2</v>
      </c>
      <c r="AC81" s="22">
        <f t="shared" si="57"/>
        <v>212.44039073158984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14.284999999999997</v>
      </c>
      <c r="AI81" s="13">
        <f>IF('Données projet'!$A$62&gt;35,AI80+AH81-AQ80,IF(A81&lt;'Données projet'!$A$62,$AF$205^A81,IF(A81='Données projet'!$A$62,'Données projet'!$B$62,AI80+AH81-AQ80)))</f>
        <v>437.28500000000008</v>
      </c>
      <c r="AJ81" s="13">
        <f>AI81*VLOOKUP('Données projet'!$B$10,Paramètres!$A$1:$I$89,3,0)*VLOOKUP('Données projet'!$B$10,Paramètres!$A$1:$I$89,5,0)</f>
        <v>204.64938000000004</v>
      </c>
      <c r="AK81" s="13">
        <f t="shared" si="89"/>
        <v>50.764590086340078</v>
      </c>
      <c r="AL81" s="20">
        <f t="shared" si="58"/>
        <v>444.84599790037572</v>
      </c>
      <c r="AM81" s="59">
        <f t="shared" si="59"/>
        <v>738.17933123370904</v>
      </c>
      <c r="AN81" s="59">
        <f ca="1">AVERAGE(OFFSET($AM$3,0,0,'Données projet'!$E$10+1,1))-AVERAGE(OFFSET($H$3,0,0,'Données projet'!$E$10+1,1))</f>
        <v>331.17634116262298</v>
      </c>
      <c r="AO81" s="59">
        <f t="shared" si="90"/>
        <v>286.28916368940605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20.062534932431163</v>
      </c>
      <c r="AV81" s="21">
        <f>EXP(-LN(2)/25)*AV80+(1-EXP(-LN(2)/25))/(LN(2)/25)*Calculateur!AQ81*Calculateur!AS81*VLOOKUP('Données projet'!$B$10,Paramètres!$A$1:$I$89,3,0)*0.475*44/12</f>
        <v>43.400723492329014</v>
      </c>
      <c r="AW81" s="21">
        <f>EXP(-LN(2)/2)*AW80+(1-EXP(-LN(2)/2))/(LN(2)/2)*AQ81*AT81*VLOOKUP('Données projet'!$B$10,Paramètres!$A$1:$I$89,3,0)*0.475*44/12</f>
        <v>4.557562607912562</v>
      </c>
      <c r="AX81" s="21">
        <f t="shared" si="60"/>
        <v>68.020821032672742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1.4210854715202004E-13</v>
      </c>
      <c r="BE81" s="13">
        <f>BD81*VLOOKUP('Données projet'!$B$11,Paramètres!$A$1:$I$89,3,0)*VLOOKUP('Données projet'!$B$11,Paramètres!$A$1:$I$89,5,0)</f>
        <v>7.7591266745002952E-14</v>
      </c>
      <c r="BF81" s="13">
        <f t="shared" si="91"/>
        <v>1.2005788606873384E-12</v>
      </c>
      <c r="BG81" s="20">
        <f t="shared" si="61"/>
        <v>2.226146305277994E-12</v>
      </c>
      <c r="BH81" s="59">
        <f t="shared" si="62"/>
        <v>293.33333333333553</v>
      </c>
      <c r="BI81" s="59">
        <f ca="1">AVERAGE(OFFSET($BH$3,0,0,'Données projet'!$E$11+1,1))-AVERAGE(OFFSET($H$3,0,0,'Données projet'!$E$11+1,1))</f>
        <v>165.87377022031535</v>
      </c>
      <c r="BJ81" s="59">
        <f t="shared" si="92"/>
        <v>272.91122662088929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52.97199329546757</v>
      </c>
      <c r="BQ81" s="21">
        <f>EXP(-LN(2)/25)*BQ80+(1-EXP(-LN(2)/25))/(LN(2)/25)*Calculateur!BL81*Calculateur!BN81*VLOOKUP('Données projet'!$B$11,Paramètres!$A$1:$I$89,3,0)*0.475*44/12</f>
        <v>13.455084468548177</v>
      </c>
      <c r="BR81" s="21">
        <f>EXP(-LN(2)/2)*BR80+(1-EXP(-LN(2)/2))/(LN(2)/2)*BL81*BO81*VLOOKUP('Données projet'!$B$11,Paramètres!$A$1:$I$89,3,0)*0.475*44/12</f>
        <v>4.9143277901561789E-5</v>
      </c>
      <c r="BS81" s="22">
        <f t="shared" si="63"/>
        <v>66.427126907293655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11.019999999999996</v>
      </c>
      <c r="BY81" s="12">
        <f>IF('Données projet'!$A$114&gt;35,BY80+BX81-CG80,IF(A81&lt;'Données projet'!$A$114,$BV$205^A81,IF(A81='Données projet'!$A$114,'Données projet'!$B$114,BY80+BX81-CG80)))</f>
        <v>356.68000000000018</v>
      </c>
      <c r="BZ81" s="13">
        <f>BY81*VLOOKUP('Données projet'!$B$12,Paramètres!$A$1:$I$89,3,0)*VLOOKUP('Données projet'!$B$12,Paramètres!$A$1:$I$89,5,0)</f>
        <v>322.72406400000017</v>
      </c>
      <c r="CA81" s="13">
        <f t="shared" si="93"/>
        <v>75.919868228497208</v>
      </c>
      <c r="CB81" s="20">
        <f t="shared" si="64"/>
        <v>694.30484863129948</v>
      </c>
      <c r="CC81" s="59">
        <f t="shared" si="65"/>
        <v>987.63818196463285</v>
      </c>
      <c r="CD81" s="59">
        <f ca="1">AVERAGE(OFFSET($CC$3,0,0,'Données projet'!$E$12+1,1))-AVERAGE(OFFSET($H$3,0,0,'Données projet'!$E$12+1,1))</f>
        <v>639.86968831634636</v>
      </c>
      <c r="CE81" s="59">
        <f t="shared" si="94"/>
        <v>218.1556771431184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10.418093620119336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10.418093620119336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1.1368683772161603E-13</v>
      </c>
      <c r="CU81" s="17">
        <f>CT81*VLOOKUP('Données projet'!$B$13,Paramètres!$A$1:$I$89,3,0)*VLOOKUP('Données projet'!$B$13,Paramètres!$A$1:$I$89,5,0)</f>
        <v>9.9316821433603781E-14</v>
      </c>
      <c r="CV81" s="13">
        <f t="shared" si="95"/>
        <v>1.4932118279712753E-12</v>
      </c>
      <c r="CW81" s="20">
        <f t="shared" si="67"/>
        <v>2.7736540643801645E-12</v>
      </c>
      <c r="CX81" s="59">
        <f t="shared" si="68"/>
        <v>293.3333333333361</v>
      </c>
      <c r="CY81" s="59">
        <f ca="1">AVERAGE(OFFSET($CX$3,0,0,'Données projet'!$E$13+1,1))-AVERAGE(OFFSET($H$3,0,0,'Données projet'!$E$13+1,1))</f>
        <v>218.76600554860482</v>
      </c>
      <c r="CZ81" s="59">
        <f t="shared" si="96"/>
        <v>264.34840059907702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39.490618573772274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39.490618573772274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10.648888888888893</v>
      </c>
      <c r="DO81" s="12">
        <f>IF('Données projet'!$A$166&gt;35,DO80+DN81-DW80,IF(A81&lt;'Données projet'!$A$166,$DL$205^A81,IF(A81='Données projet'!$A$166,'Données projet'!$B$166,DO80+DN81-DW80)))</f>
        <v>319.79333333333312</v>
      </c>
      <c r="DP81" s="17">
        <f>DO81*VLOOKUP('Données projet'!$B$14,Paramètres!$A$1:$I$89,3,0)*VLOOKUP('Données projet'!$B$14,Paramètres!$A$1:$I$89,5,0)</f>
        <v>274.38267999999982</v>
      </c>
      <c r="DQ81" s="13">
        <f t="shared" si="97"/>
        <v>65.778511167696124</v>
      </c>
      <c r="DR81" s="20">
        <f t="shared" si="70"/>
        <v>592.44740795040377</v>
      </c>
      <c r="DS81" s="59">
        <f t="shared" si="71"/>
        <v>885.78074128373714</v>
      </c>
      <c r="DT81" s="59">
        <f ca="1">AVERAGE(OFFSET($DS$3,0,0,'Données projet'!$E$14+1,1))-AVERAGE(OFFSET($H$3,0,0,'Données projet'!$E$14+1,1))</f>
        <v>442.97490100035287</v>
      </c>
      <c r="DU81" s="59">
        <f t="shared" si="98"/>
        <v>334.36243356457049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7.2081508436041775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7.2081508436041775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5.6843418860808015E-14</v>
      </c>
      <c r="EK81" s="17">
        <f>EJ81*VLOOKUP('Données projet'!$B$15,Paramètres!$A$1:$I$89,3,0)*VLOOKUP('Données projet'!$B$15,Paramètres!$A$1:$I$89,5,0)</f>
        <v>4.4337866711430253E-14</v>
      </c>
      <c r="EL81" s="13">
        <f t="shared" si="99"/>
        <v>7.3222115536967035E-13</v>
      </c>
      <c r="EM81" s="20">
        <f t="shared" si="73"/>
        <v>1.3525069634579169E-12</v>
      </c>
      <c r="EN81" s="59">
        <f t="shared" si="74"/>
        <v>293.33333333333468</v>
      </c>
      <c r="EO81" s="59">
        <f ca="1">AVERAGE(OFFSET($EN$3,0,0,'Données projet'!$E$15+1,1))-AVERAGE(OFFSET($H$3,0,0,'Données projet'!$E$15+1,1))</f>
        <v>288.82868507674738</v>
      </c>
      <c r="EP81" s="59">
        <f t="shared" si="100"/>
        <v>283.48738729114024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69.131974541212841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69.131974541212841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236.67695999999998</v>
      </c>
      <c r="FG81" s="13">
        <f t="shared" si="101"/>
        <v>57.723983099802702</v>
      </c>
      <c r="FH81" s="20">
        <f t="shared" si="76"/>
        <v>512.74830923215643</v>
      </c>
      <c r="FI81" s="59">
        <f t="shared" si="77"/>
        <v>806.0816425654898</v>
      </c>
      <c r="FJ81" s="59">
        <f ca="1">AVERAGE(OFFSET($FI$3,0,0,'Données projet'!$E$16+1,1))-AVERAGE(OFFSET($H$3,0,0,'Données projet'!$E$16+1,1))</f>
        <v>328.55201074501201</v>
      </c>
      <c r="FK81" s="59">
        <f t="shared" si="102"/>
        <v>321.81422611044985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16.093738110898929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16.093738110898929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3.6</v>
      </c>
      <c r="FZ81" s="12">
        <f>IF('Données projet'!$A$244&gt;35,FZ80+FY81-GH80,IF(A81&lt;'Données projet'!$A$244,$FW$205^A81,IF(A81='Données projet'!$A$244,'Données projet'!$B$244,FZ80+FY81-GH80)))</f>
        <v>322.79999999999995</v>
      </c>
      <c r="GA81" s="17">
        <f>FZ81*VLOOKUP('Données projet'!$B$17,Paramètres!$A$1:$I$89,3,0)*VLOOKUP('Données projet'!$B$17,Paramètres!$A$1:$I$89,5,0)</f>
        <v>256.81968000000001</v>
      </c>
      <c r="GB81" s="13">
        <f t="shared" si="103"/>
        <v>62.043977430851903</v>
      </c>
      <c r="GC81" s="20">
        <f t="shared" si="79"/>
        <v>555.35420335873368</v>
      </c>
      <c r="GD81" s="59">
        <f t="shared" si="80"/>
        <v>848.68753669206694</v>
      </c>
      <c r="GE81" s="59">
        <f ca="1">AVERAGE(OFFSET($GD$3,0,0,'Données projet'!$E$17+1,1))-AVERAGE(OFFSET($H$3,0,0,'Données projet'!$E$17+1,1))</f>
        <v>353.37024194969638</v>
      </c>
      <c r="GF81" s="59">
        <f t="shared" si="104"/>
        <v>345.4750813433123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21.524677938525382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21.524677938525382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1.2710188457276673E-13</v>
      </c>
      <c r="P82" s="13">
        <f t="shared" si="87"/>
        <v>1.856866851063998E-12</v>
      </c>
      <c r="Q82" s="20">
        <f t="shared" si="54"/>
        <v>3.4554122145673649E-12</v>
      </c>
      <c r="R82" s="59">
        <f t="shared" si="55"/>
        <v>293.33333333333678</v>
      </c>
      <c r="S82" s="59">
        <f ca="1">AVERAGE(OFFSET($R$3,0,0,'Données projet'!$E$9+1,1))-AVERAGE(OFFSET($H$3,0,0,'Données projet'!$E$9+1,1))</f>
        <v>404.65492118472037</v>
      </c>
      <c r="T82" s="59">
        <f t="shared" si="88"/>
        <v>534.22295841722166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171.21897536450334</v>
      </c>
      <c r="AA82" s="21">
        <f>EXP(-LN(2)/25)*AA81+(1-EXP(-LN(2)/25))/(LN(2)/25)*Calculateur!V82*Calculateur!X82*VLOOKUP('Données projet'!$B$9,Paramètres!$A$1:$I$89,3,0)*0.475*44/12</f>
        <v>36.753226338628572</v>
      </c>
      <c r="AB82" s="21">
        <f>EXP(-LN(2)/2)*AB81+(1-EXP(-LN(2)/2))/(LN(2)/2)*V82*Y82*VLOOKUP('Données projet'!$B$9,Paramètres!$A$1:$I$89,3,0)*0.475*44/12</f>
        <v>7.2550028205167431E-3</v>
      </c>
      <c r="AC82" s="22">
        <f t="shared" si="57"/>
        <v>207.97945670595243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14.284999999999997</v>
      </c>
      <c r="AI82" s="13">
        <f>IF('Données projet'!$A$62&gt;35,AI81+AH82-AQ81,IF(A82&lt;'Données projet'!$A$62,$AF$205^A82,IF(A82='Données projet'!$A$62,'Données projet'!$B$62,AI81+AH82-AQ81)))</f>
        <v>451.57000000000005</v>
      </c>
      <c r="AJ82" s="13">
        <f>AI82*VLOOKUP('Données projet'!$B$10,Paramètres!$A$1:$I$89,3,0)*VLOOKUP('Données projet'!$B$10,Paramètres!$A$1:$I$89,5,0)</f>
        <v>211.33476000000002</v>
      </c>
      <c r="AK82" s="13">
        <f t="shared" si="89"/>
        <v>52.227156697196236</v>
      </c>
      <c r="AL82" s="20">
        <f t="shared" si="58"/>
        <v>459.03700491428344</v>
      </c>
      <c r="AM82" s="59">
        <f t="shared" si="59"/>
        <v>752.3703382476167</v>
      </c>
      <c r="AN82" s="59">
        <f ca="1">AVERAGE(OFFSET($AM$3,0,0,'Données projet'!$E$10+1,1))-AVERAGE(OFFSET($H$3,0,0,'Données projet'!$E$10+1,1))</f>
        <v>331.17634116262298</v>
      </c>
      <c r="AO82" s="59">
        <f t="shared" si="90"/>
        <v>286.28916368940605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19.669120859344201</v>
      </c>
      <c r="AV82" s="21">
        <f>EXP(-LN(2)/25)*AV81+(1-EXP(-LN(2)/25))/(LN(2)/25)*Calculateur!AQ82*Calculateur!AS82*VLOOKUP('Données projet'!$B$10,Paramètres!$A$1:$I$89,3,0)*0.475*44/12</f>
        <v>42.213928426086426</v>
      </c>
      <c r="AW82" s="21">
        <f>EXP(-LN(2)/2)*AW81+(1-EXP(-LN(2)/2))/(LN(2)/2)*AQ82*AT82*VLOOKUP('Données projet'!$B$10,Paramètres!$A$1:$I$89,3,0)*0.475*44/12</f>
        <v>3.2226834257372192</v>
      </c>
      <c r="AX82" s="21">
        <f t="shared" si="60"/>
        <v>65.105732711167846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1.4210854715202004E-13</v>
      </c>
      <c r="BE82" s="13">
        <f>BD82*VLOOKUP('Données projet'!$B$11,Paramètres!$A$1:$I$89,3,0)*VLOOKUP('Données projet'!$B$11,Paramètres!$A$1:$I$89,5,0)</f>
        <v>7.7591266745002952E-14</v>
      </c>
      <c r="BF82" s="13">
        <f t="shared" si="91"/>
        <v>1.2005788606873384E-12</v>
      </c>
      <c r="BG82" s="20">
        <f t="shared" si="61"/>
        <v>2.226146305277994E-12</v>
      </c>
      <c r="BH82" s="59">
        <f t="shared" si="62"/>
        <v>293.33333333333553</v>
      </c>
      <c r="BI82" s="59">
        <f ca="1">AVERAGE(OFFSET($BH$3,0,0,'Données projet'!$E$11+1,1))-AVERAGE(OFFSET($H$3,0,0,'Données projet'!$E$11+1,1))</f>
        <v>165.87377022031535</v>
      </c>
      <c r="BJ82" s="59">
        <f t="shared" si="92"/>
        <v>272.91122662088929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51.933244816669038</v>
      </c>
      <c r="BQ82" s="21">
        <f>EXP(-LN(2)/25)*BQ81+(1-EXP(-LN(2)/25))/(LN(2)/25)*Calculateur!BL82*Calculateur!BN82*VLOOKUP('Données projet'!$B$11,Paramètres!$A$1:$I$89,3,0)*0.475*44/12</f>
        <v>13.087154476183587</v>
      </c>
      <c r="BR82" s="21">
        <f>EXP(-LN(2)/2)*BR81+(1-EXP(-LN(2)/2))/(LN(2)/2)*BL82*BO82*VLOOKUP('Données projet'!$B$11,Paramètres!$A$1:$I$89,3,0)*0.475*44/12</f>
        <v>3.4749545053929347E-5</v>
      </c>
      <c r="BS82" s="22">
        <f t="shared" si="63"/>
        <v>65.020434042397682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11.019999999999996</v>
      </c>
      <c r="BY82" s="12">
        <f>IF('Données projet'!$A$114&gt;35,BY81+BX82-CG81,IF(A82&lt;'Données projet'!$A$114,$BV$205^A82,IF(A82='Données projet'!$A$114,'Données projet'!$B$114,BY81+BX82-CG81)))</f>
        <v>367.70000000000016</v>
      </c>
      <c r="BZ82" s="13">
        <f>BY82*VLOOKUP('Données projet'!$B$12,Paramètres!$A$1:$I$89,3,0)*VLOOKUP('Données projet'!$B$12,Paramètres!$A$1:$I$89,5,0)</f>
        <v>332.69496000000015</v>
      </c>
      <c r="CA82" s="13">
        <f t="shared" si="93"/>
        <v>77.988776378647458</v>
      </c>
      <c r="CB82" s="20">
        <f t="shared" si="64"/>
        <v>715.27417419281119</v>
      </c>
      <c r="CC82" s="59">
        <f t="shared" si="65"/>
        <v>1008.6075075261444</v>
      </c>
      <c r="CD82" s="59">
        <f ca="1">AVERAGE(OFFSET($CC$3,0,0,'Données projet'!$E$12+1,1))-AVERAGE(OFFSET($H$3,0,0,'Données projet'!$E$12+1,1))</f>
        <v>639.86968831634636</v>
      </c>
      <c r="CE82" s="59">
        <f t="shared" si="94"/>
        <v>218.1556771431184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10.213801158638459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10.213801158638459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1.1368683772161603E-13</v>
      </c>
      <c r="CU82" s="17">
        <f>CT82*VLOOKUP('Données projet'!$B$13,Paramètres!$A$1:$I$89,3,0)*VLOOKUP('Données projet'!$B$13,Paramètres!$A$1:$I$89,5,0)</f>
        <v>9.9316821433603781E-14</v>
      </c>
      <c r="CV82" s="13">
        <f t="shared" si="95"/>
        <v>1.4932118279712753E-12</v>
      </c>
      <c r="CW82" s="20">
        <f t="shared" si="67"/>
        <v>2.7736540643801645E-12</v>
      </c>
      <c r="CX82" s="59">
        <f t="shared" si="68"/>
        <v>293.3333333333361</v>
      </c>
      <c r="CY82" s="59">
        <f ca="1">AVERAGE(OFFSET($CX$3,0,0,'Données projet'!$E$13+1,1))-AVERAGE(OFFSET($H$3,0,0,'Données projet'!$E$13+1,1))</f>
        <v>218.76600554860482</v>
      </c>
      <c r="CZ82" s="59">
        <f t="shared" si="96"/>
        <v>264.34840059907702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38.716231630439545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38.716231630439545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10.648888888888893</v>
      </c>
      <c r="DO82" s="12">
        <f>IF('Données projet'!$A$166&gt;35,DO81+DN82-DW81,IF(A82&lt;'Données projet'!$A$166,$DL$205^A82,IF(A82='Données projet'!$A$166,'Données projet'!$B$166,DO81+DN82-DW81)))</f>
        <v>330.44222222222203</v>
      </c>
      <c r="DP82" s="17">
        <f>DO82*VLOOKUP('Données projet'!$B$14,Paramètres!$A$1:$I$89,3,0)*VLOOKUP('Données projet'!$B$14,Paramètres!$A$1:$I$89,5,0)</f>
        <v>283.5194266666665</v>
      </c>
      <c r="DQ82" s="13">
        <f t="shared" si="97"/>
        <v>67.710223349702133</v>
      </c>
      <c r="DR82" s="20">
        <f t="shared" si="70"/>
        <v>611.72497377850868</v>
      </c>
      <c r="DS82" s="59">
        <f t="shared" si="71"/>
        <v>905.05830711184194</v>
      </c>
      <c r="DT82" s="59">
        <f ca="1">AVERAGE(OFFSET($DS$3,0,0,'Données projet'!$E$14+1,1))-AVERAGE(OFFSET($H$3,0,0,'Données projet'!$E$14+1,1))</f>
        <v>442.97490100035287</v>
      </c>
      <c r="DU82" s="59">
        <f t="shared" si="98"/>
        <v>334.36243356457049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7.0668034020989925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7.0668034020989925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5.6843418860808015E-14</v>
      </c>
      <c r="EK82" s="17">
        <f>EJ82*VLOOKUP('Données projet'!$B$15,Paramètres!$A$1:$I$89,3,0)*VLOOKUP('Données projet'!$B$15,Paramètres!$A$1:$I$89,5,0)</f>
        <v>4.4337866711430253E-14</v>
      </c>
      <c r="EL82" s="13">
        <f t="shared" si="99"/>
        <v>7.3222115536967035E-13</v>
      </c>
      <c r="EM82" s="20">
        <f t="shared" si="73"/>
        <v>1.3525069634579169E-12</v>
      </c>
      <c r="EN82" s="59">
        <f t="shared" si="74"/>
        <v>293.33333333333468</v>
      </c>
      <c r="EO82" s="59">
        <f ca="1">AVERAGE(OFFSET($EN$3,0,0,'Données projet'!$E$15+1,1))-AVERAGE(OFFSET($H$3,0,0,'Données projet'!$E$15+1,1))</f>
        <v>288.82868507674738</v>
      </c>
      <c r="EP82" s="59">
        <f t="shared" si="100"/>
        <v>283.48738729114024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67.776338686800543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67.776338686800543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239.31647999999998</v>
      </c>
      <c r="FG82" s="13">
        <f t="shared" si="101"/>
        <v>58.292443422481945</v>
      </c>
      <c r="FH82" s="20">
        <f t="shared" si="76"/>
        <v>518.33554162748942</v>
      </c>
      <c r="FI82" s="59">
        <f t="shared" si="77"/>
        <v>811.66887496082268</v>
      </c>
      <c r="FJ82" s="59">
        <f ca="1">AVERAGE(OFFSET($FI$3,0,0,'Données projet'!$E$16+1,1))-AVERAGE(OFFSET($H$3,0,0,'Données projet'!$E$16+1,1))</f>
        <v>328.55201074501201</v>
      </c>
      <c r="FK82" s="59">
        <f t="shared" si="102"/>
        <v>321.81422611044985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15.778149722755179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15.778149722755179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3.6</v>
      </c>
      <c r="FZ82" s="12">
        <f>IF('Données projet'!$A$244&gt;35,FZ81+FY82-GH81,IF(A82&lt;'Données projet'!$A$244,$FW$205^A82,IF(A82='Données projet'!$A$244,'Données projet'!$B$244,FZ81+FY82-GH81)))</f>
        <v>326.39999999999998</v>
      </c>
      <c r="GA82" s="17">
        <f>FZ82*VLOOKUP('Données projet'!$B$17,Paramètres!$A$1:$I$89,3,0)*VLOOKUP('Données projet'!$B$17,Paramètres!$A$1:$I$89,5,0)</f>
        <v>259.68384000000003</v>
      </c>
      <c r="GB82" s="13">
        <f t="shared" si="103"/>
        <v>62.654980648867358</v>
      </c>
      <c r="GC82" s="20">
        <f t="shared" si="79"/>
        <v>561.40677929677736</v>
      </c>
      <c r="GD82" s="59">
        <f t="shared" si="80"/>
        <v>854.74011263011062</v>
      </c>
      <c r="GE82" s="59">
        <f ca="1">AVERAGE(OFFSET($GD$3,0,0,'Données projet'!$E$17+1,1))-AVERAGE(OFFSET($H$3,0,0,'Données projet'!$E$17+1,1))</f>
        <v>353.37024194969638</v>
      </c>
      <c r="GF82" s="59">
        <f t="shared" si="104"/>
        <v>345.4750813433123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21.102592132908086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21.102592132908086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1.2710188457276673E-13</v>
      </c>
      <c r="P83" s="13">
        <f t="shared" si="87"/>
        <v>1.856866851063998E-12</v>
      </c>
      <c r="Q83" s="20">
        <f t="shared" si="54"/>
        <v>3.4554122145673649E-12</v>
      </c>
      <c r="R83" s="59">
        <f t="shared" si="55"/>
        <v>293.33333333333678</v>
      </c>
      <c r="S83" s="59">
        <f ca="1">AVERAGE(OFFSET($R$3,0,0,'Données projet'!$E$9+1,1))-AVERAGE(OFFSET($H$3,0,0,'Données projet'!$E$9+1,1))</f>
        <v>404.65492118472037</v>
      </c>
      <c r="T83" s="59">
        <f t="shared" si="88"/>
        <v>534.22295841722166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167.86147569086847</v>
      </c>
      <c r="AA83" s="21">
        <f>EXP(-LN(2)/25)*AA82+(1-EXP(-LN(2)/25))/(LN(2)/25)*Calculateur!V83*Calculateur!X83*VLOOKUP('Données projet'!$B$9,Paramètres!$A$1:$I$89,3,0)*0.475*44/12</f>
        <v>35.748207431630604</v>
      </c>
      <c r="AB83" s="21">
        <f>EXP(-LN(2)/2)*AB82+(1-EXP(-LN(2)/2))/(LN(2)/2)*V83*Y83*VLOOKUP('Données projet'!$B$9,Paramètres!$A$1:$I$89,3,0)*0.475*44/12</f>
        <v>5.1300616919149177E-3</v>
      </c>
      <c r="AC83" s="22">
        <f t="shared" si="57"/>
        <v>203.61481318419098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14.284999999999997</v>
      </c>
      <c r="AI83" s="13">
        <f>IF('Données projet'!$A$62&gt;35,AI82+AH83-AQ82,IF(A83&lt;'Données projet'!$A$62,$AF$205^A83,IF(A83='Données projet'!$A$62,'Données projet'!$B$62,AI82+AH83-AQ82)))</f>
        <v>465.85500000000002</v>
      </c>
      <c r="AJ83" s="13">
        <f>AI83*VLOOKUP('Données projet'!$B$10,Paramètres!$A$1:$I$89,3,0)*VLOOKUP('Données projet'!$B$10,Paramètres!$A$1:$I$89,5,0)</f>
        <v>218.02014</v>
      </c>
      <c r="AK83" s="13">
        <f t="shared" si="89"/>
        <v>53.684346791388265</v>
      </c>
      <c r="AL83" s="20">
        <f t="shared" si="58"/>
        <v>473.2186478283345</v>
      </c>
      <c r="AM83" s="59">
        <f t="shared" si="59"/>
        <v>766.55198116166775</v>
      </c>
      <c r="AN83" s="59">
        <f ca="1">AVERAGE(OFFSET($AM$3,0,0,'Données projet'!$E$10+1,1))-AVERAGE(OFFSET($H$3,0,0,'Données projet'!$E$10+1,1))</f>
        <v>331.17634116262298</v>
      </c>
      <c r="AO83" s="59">
        <f t="shared" si="90"/>
        <v>286.28916368940605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19.283421396271581</v>
      </c>
      <c r="AV83" s="21">
        <f>EXP(-LN(2)/25)*AV82+(1-EXP(-LN(2)/25))/(LN(2)/25)*Calculateur!AQ83*Calculateur!AS83*VLOOKUP('Données projet'!$B$10,Paramètres!$A$1:$I$89,3,0)*0.475*44/12</f>
        <v>41.05958633334108</v>
      </c>
      <c r="AW83" s="21">
        <f>EXP(-LN(2)/2)*AW82+(1-EXP(-LN(2)/2))/(LN(2)/2)*AQ83*AT83*VLOOKUP('Données projet'!$B$10,Paramètres!$A$1:$I$89,3,0)*0.475*44/12</f>
        <v>2.2787813039562814</v>
      </c>
      <c r="AX83" s="21">
        <f t="shared" si="60"/>
        <v>62.621789033568945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1.4210854715202004E-13</v>
      </c>
      <c r="BE83" s="13">
        <f>BD83*VLOOKUP('Données projet'!$B$11,Paramètres!$A$1:$I$89,3,0)*VLOOKUP('Données projet'!$B$11,Paramètres!$A$1:$I$89,5,0)</f>
        <v>7.7591266745002952E-14</v>
      </c>
      <c r="BF83" s="13">
        <f t="shared" si="91"/>
        <v>1.2005788606873384E-12</v>
      </c>
      <c r="BG83" s="20">
        <f t="shared" si="61"/>
        <v>2.226146305277994E-12</v>
      </c>
      <c r="BH83" s="59">
        <f t="shared" si="62"/>
        <v>293.33333333333553</v>
      </c>
      <c r="BI83" s="59">
        <f ca="1">AVERAGE(OFFSET($BH$3,0,0,'Données projet'!$E$11+1,1))-AVERAGE(OFFSET($H$3,0,0,'Données projet'!$E$11+1,1))</f>
        <v>165.87377022031535</v>
      </c>
      <c r="BJ83" s="59">
        <f t="shared" si="92"/>
        <v>272.91122662088929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50.914865561965733</v>
      </c>
      <c r="BQ83" s="21">
        <f>EXP(-LN(2)/25)*BQ82+(1-EXP(-LN(2)/25))/(LN(2)/25)*Calculateur!BL83*Calculateur!BN83*VLOOKUP('Données projet'!$B$11,Paramètres!$A$1:$I$89,3,0)*0.475*44/12</f>
        <v>12.729285548808804</v>
      </c>
      <c r="BR83" s="21">
        <f>EXP(-LN(2)/2)*BR82+(1-EXP(-LN(2)/2))/(LN(2)/2)*BL83*BO83*VLOOKUP('Données projet'!$B$11,Paramètres!$A$1:$I$89,3,0)*0.475*44/12</f>
        <v>2.4571638950780894E-5</v>
      </c>
      <c r="BS83" s="22">
        <f t="shared" si="63"/>
        <v>63.64417568241349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11.019999999999996</v>
      </c>
      <c r="BY83" s="12">
        <f>IF('Données projet'!$A$114&gt;35,BY82+BX83-CG82,IF(A83&lt;'Données projet'!$A$114,$BV$205^A83,IF(A83='Données projet'!$A$114,'Données projet'!$B$114,BY82+BX83-CG82)))</f>
        <v>378.72000000000014</v>
      </c>
      <c r="BZ83" s="13">
        <f>BY83*VLOOKUP('Données projet'!$B$12,Paramètres!$A$1:$I$89,3,0)*VLOOKUP('Données projet'!$B$12,Paramètres!$A$1:$I$89,5,0)</f>
        <v>342.66585600000008</v>
      </c>
      <c r="CA83" s="13">
        <f t="shared" si="93"/>
        <v>80.050478540504713</v>
      </c>
      <c r="CB83" s="20">
        <f t="shared" si="64"/>
        <v>736.23094932471258</v>
      </c>
      <c r="CC83" s="59">
        <f t="shared" si="65"/>
        <v>1029.5642826580458</v>
      </c>
      <c r="CD83" s="59">
        <f ca="1">AVERAGE(OFFSET($CC$3,0,0,'Données projet'!$E$12+1,1))-AVERAGE(OFFSET($H$3,0,0,'Données projet'!$E$12+1,1))</f>
        <v>639.86968831634636</v>
      </c>
      <c r="CE83" s="59">
        <f t="shared" si="94"/>
        <v>218.1556771431184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10.013514747721123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10.013514747721123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1.1368683772161603E-13</v>
      </c>
      <c r="CU83" s="17">
        <f>CT83*VLOOKUP('Données projet'!$B$13,Paramètres!$A$1:$I$89,3,0)*VLOOKUP('Données projet'!$B$13,Paramètres!$A$1:$I$89,5,0)</f>
        <v>9.9316821433603781E-14</v>
      </c>
      <c r="CV83" s="13">
        <f t="shared" si="95"/>
        <v>1.4932118279712753E-12</v>
      </c>
      <c r="CW83" s="20">
        <f t="shared" si="67"/>
        <v>2.7736540643801645E-12</v>
      </c>
      <c r="CX83" s="59">
        <f t="shared" si="68"/>
        <v>293.3333333333361</v>
      </c>
      <c r="CY83" s="59">
        <f ca="1">AVERAGE(OFFSET($CX$3,0,0,'Données projet'!$E$13+1,1))-AVERAGE(OFFSET($H$3,0,0,'Données projet'!$E$13+1,1))</f>
        <v>218.76600554860482</v>
      </c>
      <c r="CZ83" s="59">
        <f t="shared" si="96"/>
        <v>264.34840059907702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37.957029942736177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37.957029942736177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10.648888888888893</v>
      </c>
      <c r="DO83" s="12">
        <f>IF('Données projet'!$A$166&gt;35,DO82+DN83-DW82,IF(A83&lt;'Données projet'!$A$166,$DL$205^A83,IF(A83='Données projet'!$A$166,'Données projet'!$B$166,DO82+DN83-DW82)))</f>
        <v>341.09111111111093</v>
      </c>
      <c r="DP83" s="17">
        <f>DO83*VLOOKUP('Données projet'!$B$14,Paramètres!$A$1:$I$89,3,0)*VLOOKUP('Données projet'!$B$14,Paramètres!$A$1:$I$89,5,0)</f>
        <v>292.65617333333324</v>
      </c>
      <c r="DQ83" s="13">
        <f t="shared" si="97"/>
        <v>69.634701685150944</v>
      </c>
      <c r="DR83" s="20">
        <f t="shared" si="70"/>
        <v>630.9899406571933</v>
      </c>
      <c r="DS83" s="59">
        <f t="shared" si="71"/>
        <v>924.32327399052656</v>
      </c>
      <c r="DT83" s="59">
        <f ca="1">AVERAGE(OFFSET($DS$3,0,0,'Données projet'!$E$14+1,1))-AVERAGE(OFFSET($H$3,0,0,'Données projet'!$E$14+1,1))</f>
        <v>442.97490100035287</v>
      </c>
      <c r="DU83" s="59">
        <f t="shared" si="98"/>
        <v>334.36243356457049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6.9282276977082971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6.9282276977082971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5.6843418860808015E-14</v>
      </c>
      <c r="EK83" s="17">
        <f>EJ83*VLOOKUP('Données projet'!$B$15,Paramètres!$A$1:$I$89,3,0)*VLOOKUP('Données projet'!$B$15,Paramètres!$A$1:$I$89,5,0)</f>
        <v>4.4337866711430253E-14</v>
      </c>
      <c r="EL83" s="13">
        <f t="shared" si="99"/>
        <v>7.3222115536967035E-13</v>
      </c>
      <c r="EM83" s="20">
        <f t="shared" si="73"/>
        <v>1.3525069634579169E-12</v>
      </c>
      <c r="EN83" s="59">
        <f t="shared" si="74"/>
        <v>293.33333333333468</v>
      </c>
      <c r="EO83" s="59">
        <f ca="1">AVERAGE(OFFSET($EN$3,0,0,'Données projet'!$E$15+1,1))-AVERAGE(OFFSET($H$3,0,0,'Données projet'!$E$15+1,1))</f>
        <v>288.82868507674738</v>
      </c>
      <c r="EP83" s="59">
        <f t="shared" si="100"/>
        <v>283.48738729114024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66.447286024637052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66.447286024637052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241.95599999999999</v>
      </c>
      <c r="FG83" s="13">
        <f t="shared" si="101"/>
        <v>58.860174395053612</v>
      </c>
      <c r="FH83" s="20">
        <f t="shared" si="76"/>
        <v>523.92150373805168</v>
      </c>
      <c r="FI83" s="59">
        <f t="shared" si="77"/>
        <v>817.25483707138505</v>
      </c>
      <c r="FJ83" s="59">
        <f ca="1">AVERAGE(OFFSET($FI$3,0,0,'Données projet'!$E$16+1,1))-AVERAGE(OFFSET($H$3,0,0,'Données projet'!$E$16+1,1))</f>
        <v>328.55201074501201</v>
      </c>
      <c r="FK83" s="59">
        <f t="shared" si="102"/>
        <v>321.81422611044985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330</v>
      </c>
      <c r="FN83" s="16">
        <f>IF(ISNA(VLOOKUP(A83,'Données projet'!$A$217:$I$237,5,0)),0%,VLOOKUP(A83,'Données projet'!$A$217:$I$237,5,0)*VLOOKUP('Données projet'!$B$16,Paramètres!$A$1:$I$89,7,0))</f>
        <v>0.30099999999999999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95.978782366645646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95.978782366645646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330</v>
      </c>
      <c r="FX83" s="12">
        <f>VLOOKUP(A83,'Données projet'!$A$243:$I$263,9,0)</f>
        <v>3.6</v>
      </c>
      <c r="FY83" s="12">
        <f t="array" ref="FY83">INDEX(FX:FX,MIN(IF(ISNUMBER(FX83:FX279),ROW(FX83:FX279),"")))</f>
        <v>3.6</v>
      </c>
      <c r="FZ83" s="12">
        <f>IF('Données projet'!$A$244&gt;35,FZ82+FY83-GH82,IF(A83&lt;'Données projet'!$A$244,$FW$205^A83,IF(A83='Données projet'!$A$244,'Données projet'!$B$244,FZ82+FY83-GH82)))</f>
        <v>330</v>
      </c>
      <c r="GA83" s="17">
        <f>FZ83*VLOOKUP('Données projet'!$B$17,Paramètres!$A$1:$I$89,3,0)*VLOOKUP('Données projet'!$B$17,Paramètres!$A$1:$I$89,5,0)</f>
        <v>262.548</v>
      </c>
      <c r="GB83" s="13">
        <f t="shared" si="103"/>
        <v>63.265199933079444</v>
      </c>
      <c r="GC83" s="20">
        <f t="shared" si="79"/>
        <v>567.45798988344666</v>
      </c>
      <c r="GD83" s="59">
        <f t="shared" si="80"/>
        <v>860.79132321678003</v>
      </c>
      <c r="GE83" s="59">
        <f ca="1">AVERAGE(OFFSET($GD$3,0,0,'Données projet'!$E$17+1,1))-AVERAGE(OFFSET($H$3,0,0,'Données projet'!$E$17+1,1))</f>
        <v>353.37024194969638</v>
      </c>
      <c r="GF83" s="59">
        <f t="shared" si="104"/>
        <v>345.4750813433123</v>
      </c>
      <c r="GG83" s="15">
        <f>IF(ISNA(VLOOKUP(A83,'Données projet'!$A$243:$I$263,3,0)),0,VLOOKUP(A83,'Données projet'!$A$243:$I$263,3,0))</f>
        <v>15</v>
      </c>
      <c r="GH83" s="15">
        <f>IF(ISNA(VLOOKUP(A83,'Données projet'!$A$243:$I$263,4,0)),0,VLOOKUP(A83,'Données projet'!$A$243:$I$263,4,0))</f>
        <v>330</v>
      </c>
      <c r="GI83" s="16">
        <f>IF(ISNA(VLOOKUP(A83,'Données projet'!$A$243:$I$263,5,0)),0%,VLOOKUP(A83,'Données projet'!$A$243:$I$263,5,0)*VLOOKUP('Données projet'!$B$17,Paramètres!$A$1:$I$89,7,0))</f>
        <v>0.371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128.36746597577593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128.36746597577593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1.2710188457276673E-13</v>
      </c>
      <c r="P84" s="13">
        <f t="shared" si="87"/>
        <v>1.856866851063998E-12</v>
      </c>
      <c r="Q84" s="20">
        <f t="shared" si="54"/>
        <v>3.4554122145673649E-12</v>
      </c>
      <c r="R84" s="59">
        <f t="shared" si="55"/>
        <v>293.33333333333678</v>
      </c>
      <c r="S84" s="59">
        <f ca="1">AVERAGE(OFFSET($R$3,0,0,'Données projet'!$E$9+1,1))-AVERAGE(OFFSET($H$3,0,0,'Données projet'!$E$9+1,1))</f>
        <v>404.65492118472037</v>
      </c>
      <c r="T84" s="59">
        <f t="shared" si="88"/>
        <v>534.22295841722166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164.56981453796101</v>
      </c>
      <c r="AA84" s="21">
        <f>EXP(-LN(2)/25)*AA83+(1-EXP(-LN(2)/25))/(LN(2)/25)*Calculateur!V84*Calculateur!X84*VLOOKUP('Données projet'!$B$9,Paramètres!$A$1:$I$89,3,0)*0.475*44/12</f>
        <v>34.770670819496139</v>
      </c>
      <c r="AB84" s="21">
        <f>EXP(-LN(2)/2)*AB83+(1-EXP(-LN(2)/2))/(LN(2)/2)*V84*Y84*VLOOKUP('Données projet'!$B$9,Paramètres!$A$1:$I$89,3,0)*0.475*44/12</f>
        <v>3.6275014102583715E-3</v>
      </c>
      <c r="AC84" s="22">
        <f t="shared" si="57"/>
        <v>199.34411285886739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14.284999999999997</v>
      </c>
      <c r="AI84" s="13">
        <f>IF('Données projet'!$A$62&gt;35,AI83+AH84-AQ83,IF(A84&lt;'Données projet'!$A$62,$AF$205^A84,IF(A84='Données projet'!$A$62,'Données projet'!$B$62,AI83+AH84-AQ83)))</f>
        <v>480.14</v>
      </c>
      <c r="AJ84" s="13">
        <f>AI84*VLOOKUP('Données projet'!$B$10,Paramètres!$A$1:$I$89,3,0)*VLOOKUP('Données projet'!$B$10,Paramètres!$A$1:$I$89,5,0)</f>
        <v>224.70551999999998</v>
      </c>
      <c r="AK84" s="13">
        <f t="shared" si="89"/>
        <v>55.136344155395506</v>
      </c>
      <c r="AL84" s="20">
        <f t="shared" si="58"/>
        <v>487.39124673731368</v>
      </c>
      <c r="AM84" s="59">
        <f t="shared" si="59"/>
        <v>780.72458007064699</v>
      </c>
      <c r="AN84" s="59">
        <f ca="1">AVERAGE(OFFSET($AM$3,0,0,'Données projet'!$E$10+1,1))-AVERAGE(OFFSET($H$3,0,0,'Données projet'!$E$10+1,1))</f>
        <v>331.17634116262298</v>
      </c>
      <c r="AO84" s="59">
        <f t="shared" si="90"/>
        <v>286.28916368940605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18.905285264416374</v>
      </c>
      <c r="AV84" s="21">
        <f>EXP(-LN(2)/25)*AV83+(1-EXP(-LN(2)/25))/(LN(2)/25)*Calculateur!AQ84*Calculateur!AS84*VLOOKUP('Données projet'!$B$10,Paramètres!$A$1:$I$89,3,0)*0.475*44/12</f>
        <v>39.936809785826064</v>
      </c>
      <c r="AW84" s="21">
        <f>EXP(-LN(2)/2)*AW83+(1-EXP(-LN(2)/2))/(LN(2)/2)*AQ84*AT84*VLOOKUP('Données projet'!$B$10,Paramètres!$A$1:$I$89,3,0)*0.475*44/12</f>
        <v>1.6113417128686098</v>
      </c>
      <c r="AX84" s="21">
        <f t="shared" si="60"/>
        <v>60.453436763111043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1.4210854715202004E-13</v>
      </c>
      <c r="BE84" s="13">
        <f>BD84*VLOOKUP('Données projet'!$B$11,Paramètres!$A$1:$I$89,3,0)*VLOOKUP('Données projet'!$B$11,Paramètres!$A$1:$I$89,5,0)</f>
        <v>7.7591266745002952E-14</v>
      </c>
      <c r="BF84" s="13">
        <f t="shared" si="91"/>
        <v>1.2005788606873384E-12</v>
      </c>
      <c r="BG84" s="20">
        <f t="shared" si="61"/>
        <v>2.226146305277994E-12</v>
      </c>
      <c r="BH84" s="59">
        <f t="shared" si="62"/>
        <v>293.33333333333553</v>
      </c>
      <c r="BI84" s="59">
        <f ca="1">AVERAGE(OFFSET($BH$3,0,0,'Données projet'!$E$11+1,1))-AVERAGE(OFFSET($H$3,0,0,'Données projet'!$E$11+1,1))</f>
        <v>165.87377022031535</v>
      </c>
      <c r="BJ84" s="59">
        <f t="shared" si="92"/>
        <v>272.91122662088929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49.916456103297151</v>
      </c>
      <c r="BQ84" s="21">
        <f>EXP(-LN(2)/25)*BQ83+(1-EXP(-LN(2)/25))/(LN(2)/25)*Calculateur!BL84*Calculateur!BN84*VLOOKUP('Données projet'!$B$11,Paramètres!$A$1:$I$89,3,0)*0.475*44/12</f>
        <v>12.381202566072593</v>
      </c>
      <c r="BR84" s="21">
        <f>EXP(-LN(2)/2)*BR83+(1-EXP(-LN(2)/2))/(LN(2)/2)*BL84*BO84*VLOOKUP('Données projet'!$B$11,Paramètres!$A$1:$I$89,3,0)*0.475*44/12</f>
        <v>1.7374772526964674E-5</v>
      </c>
      <c r="BS84" s="22">
        <f t="shared" si="63"/>
        <v>62.297676044142271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11.019999999999996</v>
      </c>
      <c r="BY84" s="12">
        <f>IF('Données projet'!$A$114&gt;35,BY83+BX84-CG83,IF(A84&lt;'Données projet'!$A$114,$BV$205^A84,IF(A84='Données projet'!$A$114,'Données projet'!$B$114,BY83+BX84-CG83)))</f>
        <v>389.74000000000012</v>
      </c>
      <c r="BZ84" s="13">
        <f>BY84*VLOOKUP('Données projet'!$B$12,Paramètres!$A$1:$I$89,3,0)*VLOOKUP('Données projet'!$B$12,Paramètres!$A$1:$I$89,5,0)</f>
        <v>352.63675200000006</v>
      </c>
      <c r="CA84" s="13">
        <f t="shared" si="93"/>
        <v>82.105208471650613</v>
      </c>
      <c r="CB84" s="20">
        <f t="shared" si="64"/>
        <v>757.17558115479142</v>
      </c>
      <c r="CC84" s="59">
        <f t="shared" si="65"/>
        <v>1050.5089144881247</v>
      </c>
      <c r="CD84" s="59">
        <f ca="1">AVERAGE(OFFSET($CC$3,0,0,'Données projet'!$E$12+1,1))-AVERAGE(OFFSET($H$3,0,0,'Données projet'!$E$12+1,1))</f>
        <v>639.86968831634636</v>
      </c>
      <c r="CE84" s="59">
        <f t="shared" si="94"/>
        <v>218.1556771431184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9.8171558311592282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9.8171558311592282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1.1368683772161603E-13</v>
      </c>
      <c r="CU84" s="17">
        <f>CT84*VLOOKUP('Données projet'!$B$13,Paramètres!$A$1:$I$89,3,0)*VLOOKUP('Données projet'!$B$13,Paramètres!$A$1:$I$89,5,0)</f>
        <v>9.9316821433603781E-14</v>
      </c>
      <c r="CV84" s="13">
        <f t="shared" si="95"/>
        <v>1.4932118279712753E-12</v>
      </c>
      <c r="CW84" s="20">
        <f t="shared" si="67"/>
        <v>2.7736540643801645E-12</v>
      </c>
      <c r="CX84" s="59">
        <f t="shared" si="68"/>
        <v>293.3333333333361</v>
      </c>
      <c r="CY84" s="59">
        <f ca="1">AVERAGE(OFFSET($CX$3,0,0,'Données projet'!$E$13+1,1))-AVERAGE(OFFSET($H$3,0,0,'Données projet'!$E$13+1,1))</f>
        <v>218.76600554860482</v>
      </c>
      <c r="CZ84" s="59">
        <f t="shared" si="96"/>
        <v>264.34840059907702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37.212715737061366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37.212715737061366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>
        <f>VLOOKUP(A84,'Données projet'!$A$165:$I$185,2,0)</f>
        <v>351.74</v>
      </c>
      <c r="DM84" s="12">
        <f>VLOOKUP(A84,'Données projet'!$A$165:$I$185,9,0)</f>
        <v>10.648888888888893</v>
      </c>
      <c r="DN84" s="12">
        <f t="array" ref="DN84">INDEX(DM:DM,MIN(IF(ISNUMBER(DM84:DM280),ROW(DM84:DM280),"")))</f>
        <v>10.648888888888893</v>
      </c>
      <c r="DO84" s="12">
        <f>IF('Données projet'!$A$166&gt;35,DO83+DN84-DW83,IF(A84&lt;'Données projet'!$A$166,$DL$205^A84,IF(A84='Données projet'!$A$166,'Données projet'!$B$166,DO83+DN84-DW83)))</f>
        <v>351.73999999999984</v>
      </c>
      <c r="DP84" s="17">
        <f>DO84*VLOOKUP('Données projet'!$B$14,Paramètres!$A$1:$I$89,3,0)*VLOOKUP('Données projet'!$B$14,Paramètres!$A$1:$I$89,5,0)</f>
        <v>301.79291999999992</v>
      </c>
      <c r="DQ84" s="13">
        <f t="shared" si="97"/>
        <v>71.552197928583112</v>
      </c>
      <c r="DR84" s="20">
        <f t="shared" si="70"/>
        <v>650.24274705894879</v>
      </c>
      <c r="DS84" s="59">
        <f t="shared" si="71"/>
        <v>943.57608039228217</v>
      </c>
      <c r="DT84" s="59">
        <f ca="1">AVERAGE(OFFSET($DS$3,0,0,'Données projet'!$E$14+1,1))-AVERAGE(OFFSET($H$3,0,0,'Données projet'!$E$14+1,1))</f>
        <v>442.97490100035287</v>
      </c>
      <c r="DU84" s="59">
        <f t="shared" si="98"/>
        <v>334.36243356457049</v>
      </c>
      <c r="DV84" s="15">
        <f>IF(ISNA(VLOOKUP(A84,'Données projet'!$A$165:$I$185,3,0)),0,VLOOKUP(A84,'Données projet'!$A$165:$I$185,3,0))</f>
        <v>6</v>
      </c>
      <c r="DW84" s="15">
        <f>IF(ISNA(VLOOKUP(A84,'Données projet'!$A$165:$I$185,4,0)),0,VLOOKUP(A84,'Données projet'!$A$165:$I$185,4,0))</f>
        <v>75.06</v>
      </c>
      <c r="DX84" s="16">
        <f>IF(ISNA(VLOOKUP(A84,'Données projet'!$A$165:$I$185,5,0)),0%,VLOOKUP(A84,'Données projet'!$A$165:$I$185,5,0)*VLOOKUP('Données projet'!$B$14,Paramètres!$A$1:$I$89,7,0))</f>
        <v>0.10600000000000001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14.338925803394742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14.338925803394742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5.6843418860808015E-14</v>
      </c>
      <c r="EK84" s="17">
        <f>EJ84*VLOOKUP('Données projet'!$B$15,Paramètres!$A$1:$I$89,3,0)*VLOOKUP('Données projet'!$B$15,Paramètres!$A$1:$I$89,5,0)</f>
        <v>4.4337866711430253E-14</v>
      </c>
      <c r="EL84" s="13">
        <f t="shared" si="99"/>
        <v>7.3222115536967035E-13</v>
      </c>
      <c r="EM84" s="20">
        <f t="shared" si="73"/>
        <v>1.3525069634579169E-12</v>
      </c>
      <c r="EN84" s="59">
        <f t="shared" si="74"/>
        <v>293.33333333333468</v>
      </c>
      <c r="EO84" s="59">
        <f ca="1">AVERAGE(OFFSET($EN$3,0,0,'Données projet'!$E$15+1,1))-AVERAGE(OFFSET($H$3,0,0,'Données projet'!$E$15+1,1))</f>
        <v>288.82868507674738</v>
      </c>
      <c r="EP84" s="59">
        <f t="shared" si="100"/>
        <v>283.48738729114024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65.144295274536503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65.144295274536503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328.55201074501201</v>
      </c>
      <c r="FK84" s="59">
        <f t="shared" si="102"/>
        <v>321.81422611044985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94.096696985712498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94.096696985712498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353.37024194969638</v>
      </c>
      <c r="GF84" s="59">
        <f t="shared" si="104"/>
        <v>345.4750813433123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125.85025826441408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125.85025826441408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1.2710188457276673E-13</v>
      </c>
      <c r="P85" s="13">
        <f t="shared" si="87"/>
        <v>1.856866851063998E-12</v>
      </c>
      <c r="Q85" s="20">
        <f t="shared" si="54"/>
        <v>3.4554122145673649E-12</v>
      </c>
      <c r="R85" s="59">
        <f t="shared" si="55"/>
        <v>293.33333333333678</v>
      </c>
      <c r="S85" s="59">
        <f ca="1">AVERAGE(OFFSET($R$3,0,0,'Données projet'!$E$9+1,1))-AVERAGE(OFFSET($H$3,0,0,'Données projet'!$E$9+1,1))</f>
        <v>404.65492118472037</v>
      </c>
      <c r="T85" s="59">
        <f t="shared" si="88"/>
        <v>534.22295841722166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161.34270085254698</v>
      </c>
      <c r="AA85" s="21">
        <f>EXP(-LN(2)/25)*AA84+(1-EXP(-LN(2)/25))/(LN(2)/25)*Calculateur!V85*Calculateur!X85*VLOOKUP('Données projet'!$B$9,Paramètres!$A$1:$I$89,3,0)*0.475*44/12</f>
        <v>33.819864997426912</v>
      </c>
      <c r="AB85" s="21">
        <f>EXP(-LN(2)/2)*AB84+(1-EXP(-LN(2)/2))/(LN(2)/2)*V85*Y85*VLOOKUP('Données projet'!$B$9,Paramètres!$A$1:$I$89,3,0)*0.475*44/12</f>
        <v>2.5650308459574589E-3</v>
      </c>
      <c r="AC85" s="22">
        <f t="shared" si="57"/>
        <v>195.16513088081985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14.284999999999997</v>
      </c>
      <c r="AI85" s="13">
        <f>IF('Données projet'!$A$62&gt;35,AI84+AH85-AQ84,IF(A85&lt;'Données projet'!$A$62,$AF$205^A85,IF(A85='Données projet'!$A$62,'Données projet'!$B$62,AI84+AH85-AQ84)))</f>
        <v>494.42499999999995</v>
      </c>
      <c r="AJ85" s="13">
        <f>AI85*VLOOKUP('Données projet'!$B$10,Paramètres!$A$1:$I$89,3,0)*VLOOKUP('Données projet'!$B$10,Paramètres!$A$1:$I$89,5,0)</f>
        <v>231.39089999999996</v>
      </c>
      <c r="AK85" s="13">
        <f t="shared" si="89"/>
        <v>56.583321018141255</v>
      </c>
      <c r="AL85" s="20">
        <f t="shared" si="58"/>
        <v>501.555101606596</v>
      </c>
      <c r="AM85" s="59">
        <f t="shared" si="59"/>
        <v>794.88843493992931</v>
      </c>
      <c r="AN85" s="59">
        <f ca="1">AVERAGE(OFFSET($AM$3,0,0,'Données projet'!$E$10+1,1))-AVERAGE(OFFSET($H$3,0,0,'Données projet'!$E$10+1,1))</f>
        <v>331.17634116262298</v>
      </c>
      <c r="AO85" s="59">
        <f t="shared" si="90"/>
        <v>286.28916368940605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18.534564151466579</v>
      </c>
      <c r="AV85" s="21">
        <f>EXP(-LN(2)/25)*AV84+(1-EXP(-LN(2)/25))/(LN(2)/25)*Calculateur!AQ85*Calculateur!AS85*VLOOKUP('Données projet'!$B$10,Paramètres!$A$1:$I$89,3,0)*0.475*44/12</f>
        <v>38.844735622047104</v>
      </c>
      <c r="AW85" s="21">
        <f>EXP(-LN(2)/2)*AW84+(1-EXP(-LN(2)/2))/(LN(2)/2)*AQ85*AT85*VLOOKUP('Données projet'!$B$10,Paramètres!$A$1:$I$89,3,0)*0.475*44/12</f>
        <v>1.1393906519781409</v>
      </c>
      <c r="AX85" s="21">
        <f t="shared" si="60"/>
        <v>58.518690425491819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1.4210854715202004E-13</v>
      </c>
      <c r="BE85" s="13">
        <f>BD85*VLOOKUP('Données projet'!$B$11,Paramètres!$A$1:$I$89,3,0)*VLOOKUP('Données projet'!$B$11,Paramètres!$A$1:$I$89,5,0)</f>
        <v>7.7591266745002952E-14</v>
      </c>
      <c r="BF85" s="13">
        <f t="shared" si="91"/>
        <v>1.2005788606873384E-12</v>
      </c>
      <c r="BG85" s="20">
        <f t="shared" si="61"/>
        <v>2.226146305277994E-12</v>
      </c>
      <c r="BH85" s="59">
        <f t="shared" si="62"/>
        <v>293.33333333333553</v>
      </c>
      <c r="BI85" s="59">
        <f ca="1">AVERAGE(OFFSET($BH$3,0,0,'Données projet'!$E$11+1,1))-AVERAGE(OFFSET($H$3,0,0,'Données projet'!$E$11+1,1))</f>
        <v>165.87377022031535</v>
      </c>
      <c r="BJ85" s="59">
        <f t="shared" si="92"/>
        <v>272.91122662088929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48.937624845143418</v>
      </c>
      <c r="BQ85" s="21">
        <f>EXP(-LN(2)/25)*BQ84+(1-EXP(-LN(2)/25))/(LN(2)/25)*Calculateur!BL85*Calculateur!BN85*VLOOKUP('Données projet'!$B$11,Paramètres!$A$1:$I$89,3,0)*0.475*44/12</f>
        <v>12.042637930804194</v>
      </c>
      <c r="BR85" s="21">
        <f>EXP(-LN(2)/2)*BR84+(1-EXP(-LN(2)/2))/(LN(2)/2)*BL85*BO85*VLOOKUP('Données projet'!$B$11,Paramètres!$A$1:$I$89,3,0)*0.475*44/12</f>
        <v>1.2285819475390447E-5</v>
      </c>
      <c r="BS85" s="22">
        <f t="shared" si="63"/>
        <v>60.980275061767081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400.76</v>
      </c>
      <c r="BW85" s="12">
        <f>VLOOKUP(A85,'Données projet'!$A$113:$I$133,9,0)</f>
        <v>11.019999999999996</v>
      </c>
      <c r="BX85" s="12">
        <f t="array" ref="BX85">INDEX(BW:BW,MIN(IF(ISNUMBER(BW85:BW281),ROW(BW85:BW281),"")))</f>
        <v>11.019999999999996</v>
      </c>
      <c r="BY85" s="12">
        <f>IF('Données projet'!$A$114&gt;35,BY84+BX85-CG84,IF(A85&lt;'Données projet'!$A$114,$BV$205^A85,IF(A85='Données projet'!$A$114,'Données projet'!$B$114,BY84+BX85-CG84)))</f>
        <v>400.7600000000001</v>
      </c>
      <c r="BZ85" s="13">
        <f>BY85*VLOOKUP('Données projet'!$B$12,Paramètres!$A$1:$I$89,3,0)*VLOOKUP('Données projet'!$B$12,Paramètres!$A$1:$I$89,5,0)</f>
        <v>362.6076480000001</v>
      </c>
      <c r="CA85" s="13">
        <f t="shared" si="93"/>
        <v>84.153185958564791</v>
      </c>
      <c r="CB85" s="20">
        <f t="shared" si="64"/>
        <v>778.10845247783391</v>
      </c>
      <c r="CC85" s="59">
        <f t="shared" si="65"/>
        <v>1071.4417858111672</v>
      </c>
      <c r="CD85" s="59">
        <f ca="1">AVERAGE(OFFSET($CC$3,0,0,'Données projet'!$E$12+1,1))-AVERAGE(OFFSET($H$3,0,0,'Données projet'!$E$12+1,1))</f>
        <v>639.86968831634636</v>
      </c>
      <c r="CE85" s="59">
        <f t="shared" si="94"/>
        <v>218.1556771431184</v>
      </c>
      <c r="CF85" s="15">
        <f>IF(ISNA(VLOOKUP(A85,'Données projet'!$A$113:$I$133,3,0)),0,VLOOKUP(A85,'Données projet'!$A$113:$I$133,3,0))</f>
        <v>7</v>
      </c>
      <c r="CG85" s="15">
        <f>IF(ISNA(VLOOKUP(A85,'Données projet'!$A$113:$I$133,4,0)),0,VLOOKUP(A85,'Données projet'!$A$113:$I$133,4,0))</f>
        <v>53.92</v>
      </c>
      <c r="CH85" s="16">
        <f>IF(ISNA(VLOOKUP(A85,'Données projet'!$A$113:$I$133,5,0)),0%,VLOOKUP(A85,'Données projet'!$A$113:$I$133,5,0)*VLOOKUP('Données projet'!$B$12,Paramètres!$A$1:$I$89,7,0))</f>
        <v>0.129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16.581924413148421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16.581924413148421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1.1368683772161603E-13</v>
      </c>
      <c r="CU85" s="17">
        <f>CT85*VLOOKUP('Données projet'!$B$13,Paramètres!$A$1:$I$89,3,0)*VLOOKUP('Données projet'!$B$13,Paramètres!$A$1:$I$89,5,0)</f>
        <v>9.9316821433603781E-14</v>
      </c>
      <c r="CV85" s="13">
        <f t="shared" si="95"/>
        <v>1.4932118279712753E-12</v>
      </c>
      <c r="CW85" s="20">
        <f t="shared" si="67"/>
        <v>2.7736540643801645E-12</v>
      </c>
      <c r="CX85" s="59">
        <f t="shared" si="68"/>
        <v>293.3333333333361</v>
      </c>
      <c r="CY85" s="59">
        <f ca="1">AVERAGE(OFFSET($CX$3,0,0,'Données projet'!$E$13+1,1))-AVERAGE(OFFSET($H$3,0,0,'Données projet'!$E$13+1,1))</f>
        <v>218.76600554860482</v>
      </c>
      <c r="CZ85" s="59">
        <f t="shared" si="96"/>
        <v>264.34840059907702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36.482997078973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36.482997078973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9.4777777777777796</v>
      </c>
      <c r="DO85" s="12">
        <f>IF('Données projet'!$A$166&gt;35,DO84+DN85-DW84,IF(A85&lt;'Données projet'!$A$166,$DL$205^A85,IF(A85='Données projet'!$A$166,'Données projet'!$B$166,DO84+DN85-DW84)))</f>
        <v>286.1577777777776</v>
      </c>
      <c r="DP85" s="17">
        <f>DO85*VLOOKUP('Données projet'!$B$14,Paramètres!$A$1:$I$89,3,0)*VLOOKUP('Données projet'!$B$14,Paramètres!$A$1:$I$89,5,0)</f>
        <v>245.52337333333321</v>
      </c>
      <c r="DQ85" s="13">
        <f t="shared" si="97"/>
        <v>59.62633289135681</v>
      </c>
      <c r="DR85" s="20">
        <f t="shared" si="70"/>
        <v>531.4690716746685</v>
      </c>
      <c r="DS85" s="59">
        <f t="shared" si="71"/>
        <v>824.80240500800187</v>
      </c>
      <c r="DT85" s="59">
        <f ca="1">AVERAGE(OFFSET($DS$3,0,0,'Données projet'!$E$14+1,1))-AVERAGE(OFFSET($H$3,0,0,'Données projet'!$E$14+1,1))</f>
        <v>442.97490100035287</v>
      </c>
      <c r="DU85" s="59">
        <f t="shared" si="98"/>
        <v>334.36243356457049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14.057748214271328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14.057748214271328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5.6843418860808015E-14</v>
      </c>
      <c r="EK85" s="17">
        <f>EJ85*VLOOKUP('Données projet'!$B$15,Paramètres!$A$1:$I$89,3,0)*VLOOKUP('Données projet'!$B$15,Paramètres!$A$1:$I$89,5,0)</f>
        <v>4.4337866711430253E-14</v>
      </c>
      <c r="EL85" s="13">
        <f t="shared" si="99"/>
        <v>7.3222115536967035E-13</v>
      </c>
      <c r="EM85" s="20">
        <f t="shared" si="73"/>
        <v>1.3525069634579169E-12</v>
      </c>
      <c r="EN85" s="59">
        <f t="shared" si="74"/>
        <v>293.33333333333468</v>
      </c>
      <c r="EO85" s="59">
        <f ca="1">AVERAGE(OFFSET($EN$3,0,0,'Données projet'!$E$15+1,1))-AVERAGE(OFFSET($H$3,0,0,'Données projet'!$E$15+1,1))</f>
        <v>288.82868507674738</v>
      </c>
      <c r="EP85" s="59">
        <f t="shared" si="100"/>
        <v>283.48738729114024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63.86685537829954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63.86685537829954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328.55201074501201</v>
      </c>
      <c r="FK85" s="59">
        <f t="shared" si="102"/>
        <v>321.81422611044985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92.251518151140715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92.251518151140715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353.37024194969638</v>
      </c>
      <c r="GF85" s="59">
        <f t="shared" si="104"/>
        <v>345.4750813433123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123.38241146092693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123.38241146092693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1.2710188457276673E-13</v>
      </c>
      <c r="P86" s="13">
        <f t="shared" si="87"/>
        <v>1.856866851063998E-12</v>
      </c>
      <c r="Q86" s="20">
        <f t="shared" si="54"/>
        <v>3.4554122145673649E-12</v>
      </c>
      <c r="R86" s="59">
        <f t="shared" si="55"/>
        <v>293.33333333333678</v>
      </c>
      <c r="S86" s="59">
        <f ca="1">AVERAGE(OFFSET($R$3,0,0,'Données projet'!$E$9+1,1))-AVERAGE(OFFSET($H$3,0,0,'Données projet'!$E$9+1,1))</f>
        <v>404.65492118472037</v>
      </c>
      <c r="T86" s="59">
        <f t="shared" si="88"/>
        <v>534.22295841722166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158.17886889815895</v>
      </c>
      <c r="AA86" s="21">
        <f>EXP(-LN(2)/25)*AA85+(1-EXP(-LN(2)/25))/(LN(2)/25)*Calculateur!V86*Calculateur!X86*VLOOKUP('Données projet'!$B$9,Paramètres!$A$1:$I$89,3,0)*0.475*44/12</f>
        <v>32.895059010562868</v>
      </c>
      <c r="AB86" s="21">
        <f>EXP(-LN(2)/2)*AB85+(1-EXP(-LN(2)/2))/(LN(2)/2)*V86*Y86*VLOOKUP('Données projet'!$B$9,Paramètres!$A$1:$I$89,3,0)*0.475*44/12</f>
        <v>1.8137507051291858E-3</v>
      </c>
      <c r="AC86" s="22">
        <f t="shared" si="57"/>
        <v>191.07574165942697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508.71</v>
      </c>
      <c r="AG86" s="12">
        <f>VLOOKUP(A86,'Données projet'!$A$61:$I$81,9,0)</f>
        <v>14.284999999999997</v>
      </c>
      <c r="AH86" s="12">
        <f t="array" ref="AH86">INDEX(AG:AG,MIN(IF(ISNUMBER(AG86:AG282),ROW(AG86:AG282),"")))</f>
        <v>14.284999999999997</v>
      </c>
      <c r="AI86" s="13">
        <f>IF('Données projet'!$A$62&gt;35,AI85+AH86-AQ85,IF(A86&lt;'Données projet'!$A$62,$AF$205^A86,IF(A86='Données projet'!$A$62,'Données projet'!$B$62,AI85+AH86-AQ85)))</f>
        <v>508.70999999999992</v>
      </c>
      <c r="AJ86" s="13">
        <f>AI86*VLOOKUP('Données projet'!$B$10,Paramètres!$A$1:$I$89,3,0)*VLOOKUP('Données projet'!$B$10,Paramètres!$A$1:$I$89,5,0)</f>
        <v>238.07627999999994</v>
      </c>
      <c r="AK86" s="13">
        <f t="shared" si="89"/>
        <v>58.025439090467444</v>
      </c>
      <c r="AL86" s="20">
        <f t="shared" si="58"/>
        <v>515.71049408256397</v>
      </c>
      <c r="AM86" s="59">
        <f t="shared" si="59"/>
        <v>809.04382741589734</v>
      </c>
      <c r="AN86" s="59">
        <f ca="1">AVERAGE(OFFSET($AM$3,0,0,'Données projet'!$E$10+1,1))-AVERAGE(OFFSET($H$3,0,0,'Données projet'!$E$10+1,1))</f>
        <v>331.17634116262298</v>
      </c>
      <c r="AO86" s="59">
        <f t="shared" si="90"/>
        <v>286.28916368940605</v>
      </c>
      <c r="AP86" s="15">
        <f>IF(ISNA(VLOOKUP(A86,'Données projet'!$A$61:$I$81,3,0)),0,VLOOKUP(A86,'Données projet'!$A$61:$I$81,3,0))</f>
        <v>6</v>
      </c>
      <c r="AQ86" s="15">
        <f>IF(ISNA(VLOOKUP(A86,'Données projet'!$A$61:$I$81,4,0)),0,VLOOKUP(A86,'Données projet'!$A$61:$I$81,4,0))</f>
        <v>90.24</v>
      </c>
      <c r="AR86" s="16">
        <f>IF(ISNA(VLOOKUP(A86,'Données projet'!$A$61:$I$81,5,0)),0%,VLOOKUP(A86,'Données projet'!$A$61:$I$81,5,0)*VLOOKUP('Données projet'!$B$10,Paramètres!$A$1:$I$89,7,0))</f>
        <v>0.22000000000000003</v>
      </c>
      <c r="AS86" s="16">
        <f>IF(ISNA(VLOOKUP(A86,'Données projet'!$A$61:$I$81,6,0)),0%,VLOOKUP(A86,'Données projet'!$A$61:$I$81,6,0)*VLOOKUP('Données projet'!$B$10,Paramètres!$A$1:$I$89,7,0))</f>
        <v>0.18700000000000003</v>
      </c>
      <c r="AT86" s="16">
        <f>IF(ISNA(VLOOKUP(A86,'Données projet'!$A$61:$I$81,7,0)),0%,VLOOKUP(A86,'Données projet'!$A$61:$I$81,7,0))</f>
        <v>0.26</v>
      </c>
      <c r="AU86" s="21">
        <f>EXP(-LN(2)/35)*AU85+(1-EXP(-LN(2)/35))/(LN(2)/35)*AQ86*AR86*VLOOKUP('Données projet'!$B$10,Paramètres!$A$1:$I$89,3,0)*0.475*44/12</f>
        <v>30.496369461628824</v>
      </c>
      <c r="AV86" s="21">
        <f>EXP(-LN(2)/25)*AV85+(1-EXP(-LN(2)/25))/(LN(2)/25)*Calculateur!AQ86*Calculateur!AS86*VLOOKUP('Données projet'!$B$10,Paramètres!$A$1:$I$89,3,0)*0.475*44/12</f>
        <v>48.217742723187122</v>
      </c>
      <c r="AW86" s="21">
        <f>EXP(-LN(2)/2)*AW85+(1-EXP(-LN(2)/2))/(LN(2)/2)*AQ86*AT86*VLOOKUP('Données projet'!$B$10,Paramètres!$A$1:$I$89,3,0)*0.475*44/12</f>
        <v>13.23803799933726</v>
      </c>
      <c r="AX86" s="21">
        <f t="shared" si="60"/>
        <v>91.952150184153211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1.4210854715202004E-13</v>
      </c>
      <c r="BE86" s="13">
        <f>BD86*VLOOKUP('Données projet'!$B$11,Paramètres!$A$1:$I$89,3,0)*VLOOKUP('Données projet'!$B$11,Paramètres!$A$1:$I$89,5,0)</f>
        <v>7.7591266745002952E-14</v>
      </c>
      <c r="BF86" s="13">
        <f t="shared" si="91"/>
        <v>1.2005788606873384E-12</v>
      </c>
      <c r="BG86" s="20">
        <f t="shared" si="61"/>
        <v>2.226146305277994E-12</v>
      </c>
      <c r="BH86" s="59">
        <f t="shared" si="62"/>
        <v>293.33333333333553</v>
      </c>
      <c r="BI86" s="59">
        <f ca="1">AVERAGE(OFFSET($BH$3,0,0,'Données projet'!$E$11+1,1))-AVERAGE(OFFSET($H$3,0,0,'Données projet'!$E$11+1,1))</f>
        <v>165.87377022031535</v>
      </c>
      <c r="BJ86" s="59">
        <f t="shared" si="92"/>
        <v>272.91122662088929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47.977987870933966</v>
      </c>
      <c r="BQ86" s="21">
        <f>EXP(-LN(2)/25)*BQ85+(1-EXP(-LN(2)/25))/(LN(2)/25)*Calculateur!BL86*Calculateur!BN86*VLOOKUP('Données projet'!$B$11,Paramètres!$A$1:$I$89,3,0)*0.475*44/12</f>
        <v>11.713331363291548</v>
      </c>
      <c r="BR86" s="21">
        <f>EXP(-LN(2)/2)*BR85+(1-EXP(-LN(2)/2))/(LN(2)/2)*BL86*BO86*VLOOKUP('Données projet'!$B$11,Paramètres!$A$1:$I$89,3,0)*0.475*44/12</f>
        <v>8.6873862634823368E-6</v>
      </c>
      <c r="BS86" s="22">
        <f t="shared" si="63"/>
        <v>59.69132792161178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10.608750000000001</v>
      </c>
      <c r="BY86" s="12">
        <f>IF('Données projet'!$A$114&gt;35,BY85+BX86-CG85,IF(A86&lt;'Données projet'!$A$114,$BV$205^A86,IF(A86='Données projet'!$A$114,'Données projet'!$B$114,BY85+BX86-CG85)))</f>
        <v>357.44875000000008</v>
      </c>
      <c r="BZ86" s="13">
        <f>BY86*VLOOKUP('Données projet'!$B$12,Paramètres!$A$1:$I$89,3,0)*VLOOKUP('Données projet'!$B$12,Paramètres!$A$1:$I$89,5,0)</f>
        <v>323.41962900000004</v>
      </c>
      <c r="CA86" s="13">
        <f t="shared" si="93"/>
        <v>76.064433203953797</v>
      </c>
      <c r="CB86" s="20">
        <f t="shared" si="64"/>
        <v>695.76807500521954</v>
      </c>
      <c r="CC86" s="59">
        <f t="shared" si="65"/>
        <v>989.1014083385528</v>
      </c>
      <c r="CD86" s="59">
        <f ca="1">AVERAGE(OFFSET($CC$3,0,0,'Données projet'!$E$12+1,1))-AVERAGE(OFFSET($H$3,0,0,'Données projet'!$E$12+1,1))</f>
        <v>639.86968831634636</v>
      </c>
      <c r="CE86" s="59">
        <f t="shared" si="94"/>
        <v>218.1556771431184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16.256762989381802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16.256762989381802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1.1368683772161603E-13</v>
      </c>
      <c r="CU86" s="17">
        <f>CT86*VLOOKUP('Données projet'!$B$13,Paramètres!$A$1:$I$89,3,0)*VLOOKUP('Données projet'!$B$13,Paramètres!$A$1:$I$89,5,0)</f>
        <v>9.9316821433603781E-14</v>
      </c>
      <c r="CV86" s="13">
        <f t="shared" si="95"/>
        <v>1.4932118279712753E-12</v>
      </c>
      <c r="CW86" s="20">
        <f t="shared" si="67"/>
        <v>2.7736540643801645E-12</v>
      </c>
      <c r="CX86" s="59">
        <f t="shared" si="68"/>
        <v>293.3333333333361</v>
      </c>
      <c r="CY86" s="59">
        <f ca="1">AVERAGE(OFFSET($CX$3,0,0,'Données projet'!$E$13+1,1))-AVERAGE(OFFSET($H$3,0,0,'Données projet'!$E$13+1,1))</f>
        <v>218.76600554860482</v>
      </c>
      <c r="CZ86" s="59">
        <f t="shared" si="96"/>
        <v>264.34840059907702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35.767587758685309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35.767587758685309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9.4777777777777796</v>
      </c>
      <c r="DO86" s="12">
        <f>IF('Données projet'!$A$166&gt;35,DO85+DN86-DW85,IF(A86&lt;'Données projet'!$A$166,$DL$205^A86,IF(A86='Données projet'!$A$166,'Données projet'!$B$166,DO85+DN86-DW85)))</f>
        <v>295.63555555555536</v>
      </c>
      <c r="DP86" s="17">
        <f>DO86*VLOOKUP('Données projet'!$B$14,Paramètres!$A$1:$I$89,3,0)*VLOOKUP('Données projet'!$B$14,Paramètres!$A$1:$I$89,5,0)</f>
        <v>253.65530666666655</v>
      </c>
      <c r="DQ86" s="13">
        <f t="shared" si="97"/>
        <v>61.368007289199774</v>
      </c>
      <c r="DR86" s="20">
        <f t="shared" si="70"/>
        <v>548.6656051398005</v>
      </c>
      <c r="DS86" s="59">
        <f t="shared" si="71"/>
        <v>841.99893847313388</v>
      </c>
      <c r="DT86" s="59">
        <f ca="1">AVERAGE(OFFSET($DS$3,0,0,'Données projet'!$E$14+1,1))-AVERAGE(OFFSET($H$3,0,0,'Données projet'!$E$14+1,1))</f>
        <v>442.97490100035287</v>
      </c>
      <c r="DU86" s="59">
        <f t="shared" si="98"/>
        <v>334.36243356457049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13.782084346169228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13.782084346169228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5.6843418860808015E-14</v>
      </c>
      <c r="EK86" s="17">
        <f>EJ86*VLOOKUP('Données projet'!$B$15,Paramètres!$A$1:$I$89,3,0)*VLOOKUP('Données projet'!$B$15,Paramètres!$A$1:$I$89,5,0)</f>
        <v>4.4337866711430253E-14</v>
      </c>
      <c r="EL86" s="13">
        <f t="shared" si="99"/>
        <v>7.3222115536967035E-13</v>
      </c>
      <c r="EM86" s="20">
        <f t="shared" si="73"/>
        <v>1.3525069634579169E-12</v>
      </c>
      <c r="EN86" s="59">
        <f t="shared" si="74"/>
        <v>293.33333333333468</v>
      </c>
      <c r="EO86" s="59">
        <f ca="1">AVERAGE(OFFSET($EN$3,0,0,'Données projet'!$E$15+1,1))-AVERAGE(OFFSET($H$3,0,0,'Données projet'!$E$15+1,1))</f>
        <v>288.82868507674738</v>
      </c>
      <c r="EP86" s="59">
        <f t="shared" si="100"/>
        <v>283.48738729114024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62.614465299266385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62.614465299266385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328.55201074501201</v>
      </c>
      <c r="FK86" s="59">
        <f t="shared" si="102"/>
        <v>321.81422611044985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90.442522148066928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90.442522148066928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353.37024194969638</v>
      </c>
      <c r="GF86" s="59">
        <f t="shared" si="104"/>
        <v>345.4750813433123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120.96295762801824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120.96295762801824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1.2710188457276673E-13</v>
      </c>
      <c r="P87" s="13">
        <f t="shared" si="87"/>
        <v>1.856866851063998E-12</v>
      </c>
      <c r="Q87" s="20">
        <f t="shared" si="54"/>
        <v>3.4554122145673649E-12</v>
      </c>
      <c r="R87" s="59">
        <f t="shared" si="55"/>
        <v>293.33333333333678</v>
      </c>
      <c r="S87" s="59">
        <f ca="1">AVERAGE(OFFSET($R$3,0,0,'Données projet'!$E$9+1,1))-AVERAGE(OFFSET($H$3,0,0,'Données projet'!$E$9+1,1))</f>
        <v>404.65492118472037</v>
      </c>
      <c r="T87" s="59">
        <f t="shared" si="88"/>
        <v>534.22295841722166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155.07707775864952</v>
      </c>
      <c r="AA87" s="21">
        <f>EXP(-LN(2)/25)*AA86+(1-EXP(-LN(2)/25))/(LN(2)/25)*Calculateur!V87*Calculateur!X87*VLOOKUP('Données projet'!$B$9,Paramètres!$A$1:$I$89,3,0)*0.475*44/12</f>
        <v>31.995541892043054</v>
      </c>
      <c r="AB87" s="21">
        <f>EXP(-LN(2)/2)*AB86+(1-EXP(-LN(2)/2))/(LN(2)/2)*V87*Y87*VLOOKUP('Données projet'!$B$9,Paramètres!$A$1:$I$89,3,0)*0.475*44/12</f>
        <v>1.2825154229787294E-3</v>
      </c>
      <c r="AC87" s="22">
        <f t="shared" si="57"/>
        <v>187.07390216611557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13.193750000000001</v>
      </c>
      <c r="AI87" s="13">
        <f>IF('Données projet'!$A$62&gt;35,AI86+AH87-AQ86,IF(A87&lt;'Données projet'!$A$62,$AF$205^A87,IF(A87='Données projet'!$A$62,'Données projet'!$B$62,AI86+AH87-AQ86)))</f>
        <v>431.66374999999994</v>
      </c>
      <c r="AJ87" s="13">
        <f>AI87*VLOOKUP('Données projet'!$B$10,Paramètres!$A$1:$I$89,3,0)*VLOOKUP('Données projet'!$B$10,Paramètres!$A$1:$I$89,5,0)</f>
        <v>202.01863499999999</v>
      </c>
      <c r="AK87" s="13">
        <f t="shared" si="89"/>
        <v>50.187542972770999</v>
      </c>
      <c r="AL87" s="20">
        <f t="shared" si="58"/>
        <v>439.2590933025761</v>
      </c>
      <c r="AM87" s="59">
        <f t="shared" si="59"/>
        <v>732.59242663590942</v>
      </c>
      <c r="AN87" s="59">
        <f ca="1">AVERAGE(OFFSET($AM$3,0,0,'Données projet'!$E$10+1,1))-AVERAGE(OFFSET($H$3,0,0,'Données projet'!$E$10+1,1))</f>
        <v>331.17634116262298</v>
      </c>
      <c r="AO87" s="59">
        <f t="shared" si="90"/>
        <v>286.28916368940605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29.898354257434963</v>
      </c>
      <c r="AV87" s="21">
        <f>EXP(-LN(2)/25)*AV86+(1-EXP(-LN(2)/25))/(LN(2)/25)*Calculateur!AQ87*Calculateur!AS87*VLOOKUP('Données projet'!$B$10,Paramètres!$A$1:$I$89,3,0)*0.475*44/12</f>
        <v>46.899226012760685</v>
      </c>
      <c r="AW87" s="21">
        <f>EXP(-LN(2)/2)*AW86+(1-EXP(-LN(2)/2))/(LN(2)/2)*AQ87*AT87*VLOOKUP('Données projet'!$B$10,Paramètres!$A$1:$I$89,3,0)*0.475*44/12</f>
        <v>9.3607064389365746</v>
      </c>
      <c r="AX87" s="21">
        <f t="shared" si="60"/>
        <v>86.158286709132227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1.4210854715202004E-13</v>
      </c>
      <c r="BE87" s="13">
        <f>BD87*VLOOKUP('Données projet'!$B$11,Paramètres!$A$1:$I$89,3,0)*VLOOKUP('Données projet'!$B$11,Paramètres!$A$1:$I$89,5,0)</f>
        <v>7.7591266745002952E-14</v>
      </c>
      <c r="BF87" s="13">
        <f t="shared" si="91"/>
        <v>1.2005788606873384E-12</v>
      </c>
      <c r="BG87" s="20">
        <f t="shared" si="61"/>
        <v>2.226146305277994E-12</v>
      </c>
      <c r="BH87" s="59">
        <f t="shared" si="62"/>
        <v>293.33333333333553</v>
      </c>
      <c r="BI87" s="59">
        <f ca="1">AVERAGE(OFFSET($BH$3,0,0,'Données projet'!$E$11+1,1))-AVERAGE(OFFSET($H$3,0,0,'Données projet'!$E$11+1,1))</f>
        <v>165.87377022031535</v>
      </c>
      <c r="BJ87" s="59">
        <f t="shared" si="92"/>
        <v>272.91122662088929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47.037168792468002</v>
      </c>
      <c r="BQ87" s="21">
        <f>EXP(-LN(2)/25)*BQ86+(1-EXP(-LN(2)/25))/(LN(2)/25)*Calculateur!BL87*Calculateur!BN87*VLOOKUP('Données projet'!$B$11,Paramètres!$A$1:$I$89,3,0)*0.475*44/12</f>
        <v>11.393029701185016</v>
      </c>
      <c r="BR87" s="21">
        <f>EXP(-LN(2)/2)*BR86+(1-EXP(-LN(2)/2))/(LN(2)/2)*BL87*BO87*VLOOKUP('Données projet'!$B$11,Paramètres!$A$1:$I$89,3,0)*0.475*44/12</f>
        <v>6.1429097376952236E-6</v>
      </c>
      <c r="BS87" s="22">
        <f t="shared" si="63"/>
        <v>58.430204636562756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10.608750000000001</v>
      </c>
      <c r="BY87" s="12">
        <f>IF('Données projet'!$A$114&gt;35,BY86+BX87-CG86,IF(A87&lt;'Données projet'!$A$114,$BV$205^A87,IF(A87='Données projet'!$A$114,'Données projet'!$B$114,BY86+BX87-CG86)))</f>
        <v>368.05750000000006</v>
      </c>
      <c r="BZ87" s="13">
        <f>BY87*VLOOKUP('Données projet'!$B$12,Paramètres!$A$1:$I$89,3,0)*VLOOKUP('Données projet'!$B$12,Paramètres!$A$1:$I$89,5,0)</f>
        <v>333.01842600000003</v>
      </c>
      <c r="CA87" s="13">
        <f t="shared" si="93"/>
        <v>78.055771883371946</v>
      </c>
      <c r="CB87" s="20">
        <f t="shared" si="64"/>
        <v>715.95422798020627</v>
      </c>
      <c r="CC87" s="59">
        <f t="shared" si="65"/>
        <v>1009.2875613135395</v>
      </c>
      <c r="CD87" s="59">
        <f ca="1">AVERAGE(OFFSET($CC$3,0,0,'Données projet'!$E$12+1,1))-AVERAGE(OFFSET($H$3,0,0,'Données projet'!$E$12+1,1))</f>
        <v>639.86968831634636</v>
      </c>
      <c r="CE87" s="59">
        <f t="shared" si="94"/>
        <v>218.1556771431184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15.937977782806358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15.937977782806358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1.1368683772161603E-13</v>
      </c>
      <c r="CU87" s="17">
        <f>CT87*VLOOKUP('Données projet'!$B$13,Paramètres!$A$1:$I$89,3,0)*VLOOKUP('Données projet'!$B$13,Paramètres!$A$1:$I$89,5,0)</f>
        <v>9.9316821433603781E-14</v>
      </c>
      <c r="CV87" s="13">
        <f t="shared" si="95"/>
        <v>1.4932118279712753E-12</v>
      </c>
      <c r="CW87" s="20">
        <f t="shared" si="67"/>
        <v>2.7736540643801645E-12</v>
      </c>
      <c r="CX87" s="59">
        <f t="shared" si="68"/>
        <v>293.3333333333361</v>
      </c>
      <c r="CY87" s="59">
        <f ca="1">AVERAGE(OFFSET($CX$3,0,0,'Données projet'!$E$13+1,1))-AVERAGE(OFFSET($H$3,0,0,'Données projet'!$E$13+1,1))</f>
        <v>218.76600554860482</v>
      </c>
      <c r="CZ87" s="59">
        <f t="shared" si="96"/>
        <v>264.34840059907702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35.066207178811865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35.066207178811865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9.4777777777777796</v>
      </c>
      <c r="DO87" s="12">
        <f>IF('Données projet'!$A$166&gt;35,DO86+DN87-DW86,IF(A87&lt;'Données projet'!$A$166,$DL$205^A87,IF(A87='Données projet'!$A$166,'Données projet'!$B$166,DO86+DN87-DW86)))</f>
        <v>305.11333333333312</v>
      </c>
      <c r="DP87" s="17">
        <f>DO87*VLOOKUP('Données projet'!$B$14,Paramètres!$A$1:$I$89,3,0)*VLOOKUP('Données projet'!$B$14,Paramètres!$A$1:$I$89,5,0)</f>
        <v>261.78723999999983</v>
      </c>
      <c r="DQ87" s="13">
        <f t="shared" si="97"/>
        <v>63.103193276238144</v>
      </c>
      <c r="DR87" s="20">
        <f t="shared" si="70"/>
        <v>565.85083795611445</v>
      </c>
      <c r="DS87" s="59">
        <f t="shared" si="71"/>
        <v>859.1841712894477</v>
      </c>
      <c r="DT87" s="59">
        <f ca="1">AVERAGE(OFFSET($DS$3,0,0,'Données projet'!$E$14+1,1))-AVERAGE(OFFSET($H$3,0,0,'Données projet'!$E$14+1,1))</f>
        <v>442.97490100035287</v>
      </c>
      <c r="DU87" s="59">
        <f t="shared" si="98"/>
        <v>334.36243356457049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13.511826078382253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13.511826078382253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5.6843418860808015E-14</v>
      </c>
      <c r="EK87" s="17">
        <f>EJ87*VLOOKUP('Données projet'!$B$15,Paramètres!$A$1:$I$89,3,0)*VLOOKUP('Données projet'!$B$15,Paramètres!$A$1:$I$89,5,0)</f>
        <v>4.4337866711430253E-14</v>
      </c>
      <c r="EL87" s="13">
        <f t="shared" si="99"/>
        <v>7.3222115536967035E-13</v>
      </c>
      <c r="EM87" s="20">
        <f t="shared" si="73"/>
        <v>1.3525069634579169E-12</v>
      </c>
      <c r="EN87" s="59">
        <f t="shared" si="74"/>
        <v>293.33333333333468</v>
      </c>
      <c r="EO87" s="59">
        <f ca="1">AVERAGE(OFFSET($EN$3,0,0,'Données projet'!$E$15+1,1))-AVERAGE(OFFSET($H$3,0,0,'Données projet'!$E$15+1,1))</f>
        <v>288.82868507674738</v>
      </c>
      <c r="EP87" s="59">
        <f t="shared" si="100"/>
        <v>283.48738729114024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61.386633825800551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61.386633825800551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328.55201074501201</v>
      </c>
      <c r="FK87" s="59">
        <f t="shared" si="102"/>
        <v>321.81422611044985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88.668999453234804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88.668999453234804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353.37024194969638</v>
      </c>
      <c r="GF87" s="59">
        <f t="shared" si="104"/>
        <v>345.4750813433123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118.59094780905178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118.59094780905178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1.2710188457276673E-13</v>
      </c>
      <c r="P88" s="13">
        <f t="shared" si="87"/>
        <v>1.856866851063998E-12</v>
      </c>
      <c r="Q88" s="20">
        <f t="shared" si="54"/>
        <v>3.4554122145673649E-12</v>
      </c>
      <c r="R88" s="59">
        <f t="shared" si="55"/>
        <v>293.33333333333678</v>
      </c>
      <c r="S88" s="59">
        <f ca="1">AVERAGE(OFFSET($R$3,0,0,'Données projet'!$E$9+1,1))-AVERAGE(OFFSET($H$3,0,0,'Données projet'!$E$9+1,1))</f>
        <v>404.65492118472037</v>
      </c>
      <c r="T88" s="59">
        <f t="shared" si="88"/>
        <v>534.22295841722166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152.03611085148009</v>
      </c>
      <c r="AA88" s="21">
        <f>EXP(-LN(2)/25)*AA87+(1-EXP(-LN(2)/25))/(LN(2)/25)*Calculateur!V88*Calculateur!X88*VLOOKUP('Données projet'!$B$9,Paramètres!$A$1:$I$89,3,0)*0.475*44/12</f>
        <v>31.120622116432717</v>
      </c>
      <c r="AB88" s="21">
        <f>EXP(-LN(2)/2)*AB87+(1-EXP(-LN(2)/2))/(LN(2)/2)*V88*Y88*VLOOKUP('Données projet'!$B$9,Paramètres!$A$1:$I$89,3,0)*0.475*44/12</f>
        <v>9.0687535256459288E-4</v>
      </c>
      <c r="AC88" s="22">
        <f t="shared" si="57"/>
        <v>183.15763984326537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13.193750000000001</v>
      </c>
      <c r="AI88" s="13">
        <f>IF('Données projet'!$A$62&gt;35,AI87+AH88-AQ87,IF(A88&lt;'Données projet'!$A$62,$AF$205^A88,IF(A88='Données projet'!$A$62,'Données projet'!$B$62,AI87+AH88-AQ87)))</f>
        <v>444.85749999999996</v>
      </c>
      <c r="AJ88" s="13">
        <f>AI88*VLOOKUP('Données projet'!$B$10,Paramètres!$A$1:$I$89,3,0)*VLOOKUP('Données projet'!$B$10,Paramètres!$A$1:$I$89,5,0)</f>
        <v>208.19331</v>
      </c>
      <c r="AK88" s="13">
        <f t="shared" si="89"/>
        <v>51.540580157437468</v>
      </c>
      <c r="AL88" s="20">
        <f t="shared" si="58"/>
        <v>452.36985869087033</v>
      </c>
      <c r="AM88" s="59">
        <f t="shared" si="59"/>
        <v>745.70319202420364</v>
      </c>
      <c r="AN88" s="59">
        <f ca="1">AVERAGE(OFFSET($AM$3,0,0,'Données projet'!$E$10+1,1))-AVERAGE(OFFSET($H$3,0,0,'Données projet'!$E$10+1,1))</f>
        <v>331.17634116262298</v>
      </c>
      <c r="AO88" s="59">
        <f t="shared" si="90"/>
        <v>286.28916368940605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29.312065766642085</v>
      </c>
      <c r="AV88" s="21">
        <f>EXP(-LN(2)/25)*AV87+(1-EXP(-LN(2)/25))/(LN(2)/25)*Calculateur!AQ88*Calculateur!AS88*VLOOKUP('Données projet'!$B$10,Paramètres!$A$1:$I$89,3,0)*0.475*44/12</f>
        <v>45.616764211118635</v>
      </c>
      <c r="AW88" s="21">
        <f>EXP(-LN(2)/2)*AW87+(1-EXP(-LN(2)/2))/(LN(2)/2)*AQ88*AT88*VLOOKUP('Données projet'!$B$10,Paramètres!$A$1:$I$89,3,0)*0.475*44/12</f>
        <v>6.6190189996686311</v>
      </c>
      <c r="AX88" s="21">
        <f t="shared" si="60"/>
        <v>81.547848977429354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1.4210854715202004E-13</v>
      </c>
      <c r="BE88" s="13">
        <f>BD88*VLOOKUP('Données projet'!$B$11,Paramètres!$A$1:$I$89,3,0)*VLOOKUP('Données projet'!$B$11,Paramètres!$A$1:$I$89,5,0)</f>
        <v>7.7591266745002952E-14</v>
      </c>
      <c r="BF88" s="13">
        <f t="shared" si="91"/>
        <v>1.2005788606873384E-12</v>
      </c>
      <c r="BG88" s="20">
        <f t="shared" si="61"/>
        <v>2.226146305277994E-12</v>
      </c>
      <c r="BH88" s="59">
        <f t="shared" si="62"/>
        <v>293.33333333333553</v>
      </c>
      <c r="BI88" s="59">
        <f ca="1">AVERAGE(OFFSET($BH$3,0,0,'Données projet'!$E$11+1,1))-AVERAGE(OFFSET($H$3,0,0,'Données projet'!$E$11+1,1))</f>
        <v>165.87377022031535</v>
      </c>
      <c r="BJ88" s="59">
        <f t="shared" si="92"/>
        <v>272.91122662088929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46.114798602287784</v>
      </c>
      <c r="BQ88" s="21">
        <f>EXP(-LN(2)/25)*BQ87+(1-EXP(-LN(2)/25))/(LN(2)/25)*Calculateur!BL88*Calculateur!BN88*VLOOKUP('Données projet'!$B$11,Paramètres!$A$1:$I$89,3,0)*0.475*44/12</f>
        <v>11.081486704872718</v>
      </c>
      <c r="BR88" s="21">
        <f>EXP(-LN(2)/2)*BR87+(1-EXP(-LN(2)/2))/(LN(2)/2)*BL88*BO88*VLOOKUP('Données projet'!$B$11,Paramètres!$A$1:$I$89,3,0)*0.475*44/12</f>
        <v>4.3436931317411684E-6</v>
      </c>
      <c r="BS88" s="22">
        <f t="shared" si="63"/>
        <v>57.196289650853636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10.608750000000001</v>
      </c>
      <c r="BY88" s="12">
        <f>IF('Données projet'!$A$114&gt;35,BY87+BX88-CG87,IF(A88&lt;'Données projet'!$A$114,$BV$205^A88,IF(A88='Données projet'!$A$114,'Données projet'!$B$114,BY87+BX88-CG87)))</f>
        <v>378.66625000000005</v>
      </c>
      <c r="BZ88" s="13">
        <f>BY88*VLOOKUP('Données projet'!$B$12,Paramètres!$A$1:$I$89,3,0)*VLOOKUP('Données projet'!$B$12,Paramètres!$A$1:$I$89,5,0)</f>
        <v>342.61722300000002</v>
      </c>
      <c r="CA88" s="13">
        <f t="shared" si="93"/>
        <v>80.040439702291877</v>
      </c>
      <c r="CB88" s="20">
        <f t="shared" si="64"/>
        <v>736.12876253982495</v>
      </c>
      <c r="CC88" s="59">
        <f t="shared" si="65"/>
        <v>1029.4620958731582</v>
      </c>
      <c r="CD88" s="59">
        <f ca="1">AVERAGE(OFFSET($CC$3,0,0,'Données projet'!$E$12+1,1))-AVERAGE(OFFSET($H$3,0,0,'Données projet'!$E$12+1,1))</f>
        <v>639.86968831634636</v>
      </c>
      <c r="CE88" s="59">
        <f t="shared" si="94"/>
        <v>218.1556771431184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15.625443759692084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15.625443759692084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1.1368683772161603E-13</v>
      </c>
      <c r="CU88" s="17">
        <f>CT88*VLOOKUP('Données projet'!$B$13,Paramètres!$A$1:$I$89,3,0)*VLOOKUP('Données projet'!$B$13,Paramètres!$A$1:$I$89,5,0)</f>
        <v>9.9316821433603781E-14</v>
      </c>
      <c r="CV88" s="13">
        <f t="shared" si="95"/>
        <v>1.4932118279712753E-12</v>
      </c>
      <c r="CW88" s="20">
        <f t="shared" si="67"/>
        <v>2.7736540643801645E-12</v>
      </c>
      <c r="CX88" s="59">
        <f t="shared" si="68"/>
        <v>293.3333333333361</v>
      </c>
      <c r="CY88" s="59">
        <f ca="1">AVERAGE(OFFSET($CX$3,0,0,'Données projet'!$E$13+1,1))-AVERAGE(OFFSET($H$3,0,0,'Données projet'!$E$13+1,1))</f>
        <v>218.76600554860482</v>
      </c>
      <c r="CZ88" s="59">
        <f t="shared" si="96"/>
        <v>264.34840059907702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34.378580244309823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34.378580244309823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9.4777777777777796</v>
      </c>
      <c r="DO88" s="12">
        <f>IF('Données projet'!$A$166&gt;35,DO87+DN88-DW87,IF(A88&lt;'Données projet'!$A$166,$DL$205^A88,IF(A88='Données projet'!$A$166,'Données projet'!$B$166,DO87+DN88-DW87)))</f>
        <v>314.59111111111088</v>
      </c>
      <c r="DP88" s="17">
        <f>DO88*VLOOKUP('Données projet'!$B$14,Paramètres!$A$1:$I$89,3,0)*VLOOKUP('Données projet'!$B$14,Paramètres!$A$1:$I$89,5,0)</f>
        <v>269.91917333333316</v>
      </c>
      <c r="DQ88" s="13">
        <f t="shared" si="97"/>
        <v>64.832115530352056</v>
      </c>
      <c r="DR88" s="20">
        <f t="shared" si="70"/>
        <v>583.0251614375851</v>
      </c>
      <c r="DS88" s="59">
        <f t="shared" si="71"/>
        <v>876.35849477091847</v>
      </c>
      <c r="DT88" s="59">
        <f ca="1">AVERAGE(OFFSET($DS$3,0,0,'Données projet'!$E$14+1,1))-AVERAGE(OFFSET($H$3,0,0,'Données projet'!$E$14+1,1))</f>
        <v>442.97490100035287</v>
      </c>
      <c r="DU88" s="59">
        <f t="shared" si="98"/>
        <v>334.36243356457049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13.246867410385313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13.246867410385313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5.6843418860808015E-14</v>
      </c>
      <c r="EK88" s="17">
        <f>EJ88*VLOOKUP('Données projet'!$B$15,Paramètres!$A$1:$I$89,3,0)*VLOOKUP('Données projet'!$B$15,Paramètres!$A$1:$I$89,5,0)</f>
        <v>4.4337866711430253E-14</v>
      </c>
      <c r="EL88" s="13">
        <f t="shared" si="99"/>
        <v>7.3222115536967035E-13</v>
      </c>
      <c r="EM88" s="20">
        <f t="shared" si="73"/>
        <v>1.3525069634579169E-12</v>
      </c>
      <c r="EN88" s="59">
        <f t="shared" si="74"/>
        <v>293.33333333333468</v>
      </c>
      <c r="EO88" s="59">
        <f ca="1">AVERAGE(OFFSET($EN$3,0,0,'Données projet'!$E$15+1,1))-AVERAGE(OFFSET($H$3,0,0,'Données projet'!$E$15+1,1))</f>
        <v>288.82868507674738</v>
      </c>
      <c r="EP88" s="59">
        <f t="shared" si="100"/>
        <v>283.48738729114024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60.182879378626133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60.182879378626133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328.55201074501201</v>
      </c>
      <c r="FK88" s="59">
        <f t="shared" si="102"/>
        <v>321.81422611044985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86.930254456706308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86.930254456706308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353.37024194969638</v>
      </c>
      <c r="GF88" s="59">
        <f t="shared" si="104"/>
        <v>345.4750813433123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116.26545165585212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116.26545165585212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1.2710188457276673E-13</v>
      </c>
      <c r="P89" s="13">
        <f t="shared" si="87"/>
        <v>1.856866851063998E-12</v>
      </c>
      <c r="Q89" s="20">
        <f t="shared" si="54"/>
        <v>3.4554122145673649E-12</v>
      </c>
      <c r="R89" s="59">
        <f t="shared" si="55"/>
        <v>293.33333333333678</v>
      </c>
      <c r="S89" s="59">
        <f ca="1">AVERAGE(OFFSET($R$3,0,0,'Données projet'!$E$9+1,1))-AVERAGE(OFFSET($H$3,0,0,'Données projet'!$E$9+1,1))</f>
        <v>404.65492118472037</v>
      </c>
      <c r="T89" s="59">
        <f t="shared" si="88"/>
        <v>534.22295841722166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149.05477545055356</v>
      </c>
      <c r="AA89" s="21">
        <f>EXP(-LN(2)/25)*AA88+(1-EXP(-LN(2)/25))/(LN(2)/25)*Calculateur!V89*Calculateur!X89*VLOOKUP('Données projet'!$B$9,Paramètres!$A$1:$I$89,3,0)*0.475*44/12</f>
        <v>30.269627068096476</v>
      </c>
      <c r="AB89" s="21">
        <f>EXP(-LN(2)/2)*AB88+(1-EXP(-LN(2)/2))/(LN(2)/2)*V89*Y89*VLOOKUP('Données projet'!$B$9,Paramètres!$A$1:$I$89,3,0)*0.475*44/12</f>
        <v>6.4125771148936471E-4</v>
      </c>
      <c r="AC89" s="22">
        <f t="shared" si="57"/>
        <v>179.32504377636153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13.193750000000001</v>
      </c>
      <c r="AI89" s="13">
        <f>IF('Données projet'!$A$62&gt;35,AI88+AH89-AQ88,IF(A89&lt;'Données projet'!$A$62,$AF$205^A89,IF(A89='Données projet'!$A$62,'Données projet'!$B$62,AI88+AH89-AQ88)))</f>
        <v>458.05124999999998</v>
      </c>
      <c r="AJ89" s="13">
        <f>AI89*VLOOKUP('Données projet'!$B$10,Paramètres!$A$1:$I$89,3,0)*VLOOKUP('Données projet'!$B$10,Paramètres!$A$1:$I$89,5,0)</f>
        <v>214.367985</v>
      </c>
      <c r="AK89" s="13">
        <f t="shared" si="89"/>
        <v>52.888953671199268</v>
      </c>
      <c r="AL89" s="20">
        <f t="shared" si="58"/>
        <v>465.47250151900539</v>
      </c>
      <c r="AM89" s="59">
        <f t="shared" si="59"/>
        <v>758.80583485233865</v>
      </c>
      <c r="AN89" s="59">
        <f ca="1">AVERAGE(OFFSET($AM$3,0,0,'Données projet'!$E$10+1,1))-AVERAGE(OFFSET($H$3,0,0,'Données projet'!$E$10+1,1))</f>
        <v>331.17634116262298</v>
      </c>
      <c r="AO89" s="59">
        <f t="shared" si="90"/>
        <v>286.28916368940605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28.737274035552986</v>
      </c>
      <c r="AV89" s="21">
        <f>EXP(-LN(2)/25)*AV88+(1-EXP(-LN(2)/25))/(LN(2)/25)*Calculateur!AQ89*Calculateur!AS89*VLOOKUP('Données projet'!$B$10,Paramètres!$A$1:$I$89,3,0)*0.475*44/12</f>
        <v>44.369371394884226</v>
      </c>
      <c r="AW89" s="21">
        <f>EXP(-LN(2)/2)*AW88+(1-EXP(-LN(2)/2))/(LN(2)/2)*AQ89*AT89*VLOOKUP('Données projet'!$B$10,Paramètres!$A$1:$I$89,3,0)*0.475*44/12</f>
        <v>4.6803532194682873</v>
      </c>
      <c r="AX89" s="21">
        <f t="shared" si="60"/>
        <v>77.786998649905499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1.4210854715202004E-13</v>
      </c>
      <c r="BE89" s="13">
        <f>BD89*VLOOKUP('Données projet'!$B$11,Paramètres!$A$1:$I$89,3,0)*VLOOKUP('Données projet'!$B$11,Paramètres!$A$1:$I$89,5,0)</f>
        <v>7.7591266745002952E-14</v>
      </c>
      <c r="BF89" s="13">
        <f t="shared" si="91"/>
        <v>1.2005788606873384E-12</v>
      </c>
      <c r="BG89" s="20">
        <f t="shared" si="61"/>
        <v>2.226146305277994E-12</v>
      </c>
      <c r="BH89" s="59">
        <f t="shared" si="62"/>
        <v>293.33333333333553</v>
      </c>
      <c r="BI89" s="59">
        <f ca="1">AVERAGE(OFFSET($BH$3,0,0,'Données projet'!$E$11+1,1))-AVERAGE(OFFSET($H$3,0,0,'Données projet'!$E$11+1,1))</f>
        <v>165.87377022031535</v>
      </c>
      <c r="BJ89" s="59">
        <f t="shared" si="92"/>
        <v>272.91122662088929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45.210515528946736</v>
      </c>
      <c r="BQ89" s="21">
        <f>EXP(-LN(2)/25)*BQ88+(1-EXP(-LN(2)/25))/(LN(2)/25)*Calculateur!BL89*Calculateur!BN89*VLOOKUP('Données projet'!$B$11,Paramètres!$A$1:$I$89,3,0)*0.475*44/12</f>
        <v>10.778462868177915</v>
      </c>
      <c r="BR89" s="21">
        <f>EXP(-LN(2)/2)*BR88+(1-EXP(-LN(2)/2))/(LN(2)/2)*BL89*BO89*VLOOKUP('Données projet'!$B$11,Paramètres!$A$1:$I$89,3,0)*0.475*44/12</f>
        <v>3.0714548688476118E-6</v>
      </c>
      <c r="BS89" s="22">
        <f t="shared" si="63"/>
        <v>55.988981468579524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10.608750000000001</v>
      </c>
      <c r="BY89" s="12">
        <f>IF('Données projet'!$A$114&gt;35,BY88+BX89-CG88,IF(A89&lt;'Données projet'!$A$114,$BV$205^A89,IF(A89='Données projet'!$A$114,'Données projet'!$B$114,BY88+BX89-CG88)))</f>
        <v>389.27500000000003</v>
      </c>
      <c r="BZ89" s="13">
        <f>BY89*VLOOKUP('Données projet'!$B$12,Paramètres!$A$1:$I$89,3,0)*VLOOKUP('Données projet'!$B$12,Paramètres!$A$1:$I$89,5,0)</f>
        <v>352.21602000000001</v>
      </c>
      <c r="CA89" s="13">
        <f t="shared" si="93"/>
        <v>82.01864502173477</v>
      </c>
      <c r="CB89" s="20">
        <f t="shared" si="64"/>
        <v>756.29204157952142</v>
      </c>
      <c r="CC89" s="59">
        <f t="shared" si="65"/>
        <v>1049.6253749128548</v>
      </c>
      <c r="CD89" s="59">
        <f ca="1">AVERAGE(OFFSET($CC$3,0,0,'Données projet'!$E$12+1,1))-AVERAGE(OFFSET($H$3,0,0,'Données projet'!$E$12+1,1))</f>
        <v>639.86968831634636</v>
      </c>
      <c r="CE89" s="59">
        <f t="shared" si="94"/>
        <v>218.1556771431184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15.31903833814415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15.31903833814415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1.1368683772161603E-13</v>
      </c>
      <c r="CU89" s="17">
        <f>CT89*VLOOKUP('Données projet'!$B$13,Paramètres!$A$1:$I$89,3,0)*VLOOKUP('Données projet'!$B$13,Paramètres!$A$1:$I$89,5,0)</f>
        <v>9.9316821433603781E-14</v>
      </c>
      <c r="CV89" s="13">
        <f t="shared" si="95"/>
        <v>1.4932118279712753E-12</v>
      </c>
      <c r="CW89" s="20">
        <f t="shared" si="67"/>
        <v>2.7736540643801645E-12</v>
      </c>
      <c r="CX89" s="59">
        <f t="shared" si="68"/>
        <v>293.3333333333361</v>
      </c>
      <c r="CY89" s="59">
        <f ca="1">AVERAGE(OFFSET($CX$3,0,0,'Données projet'!$E$13+1,1))-AVERAGE(OFFSET($H$3,0,0,'Données projet'!$E$13+1,1))</f>
        <v>218.76600554860482</v>
      </c>
      <c r="CZ89" s="59">
        <f t="shared" si="96"/>
        <v>264.34840059907702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33.704437254582352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33.704437254582352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9.4777777777777796</v>
      </c>
      <c r="DO89" s="12">
        <f>IF('Données projet'!$A$166&gt;35,DO88+DN89-DW88,IF(A89&lt;'Données projet'!$A$166,$DL$205^A89,IF(A89='Données projet'!$A$166,'Données projet'!$B$166,DO88+DN89-DW88)))</f>
        <v>324.06888888888864</v>
      </c>
      <c r="DP89" s="17">
        <f>DO89*VLOOKUP('Données projet'!$B$14,Paramètres!$A$1:$I$89,3,0)*VLOOKUP('Données projet'!$B$14,Paramètres!$A$1:$I$89,5,0)</f>
        <v>278.0511066666665</v>
      </c>
      <c r="DQ89" s="13">
        <f t="shared" si="97"/>
        <v>66.554984422176076</v>
      </c>
      <c r="DR89" s="20">
        <f t="shared" si="70"/>
        <v>600.18894197973407</v>
      </c>
      <c r="DS89" s="59">
        <f t="shared" si="71"/>
        <v>893.52227531306744</v>
      </c>
      <c r="DT89" s="59">
        <f ca="1">AVERAGE(OFFSET($DS$3,0,0,'Données projet'!$E$14+1,1))-AVERAGE(OFFSET($H$3,0,0,'Données projet'!$E$14+1,1))</f>
        <v>442.97490100035287</v>
      </c>
      <c r="DU89" s="59">
        <f t="shared" si="98"/>
        <v>334.36243356457049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12.987104420258964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12.987104420258964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5.6843418860808015E-14</v>
      </c>
      <c r="EK89" s="17">
        <f>EJ89*VLOOKUP('Données projet'!$B$15,Paramètres!$A$1:$I$89,3,0)*VLOOKUP('Données projet'!$B$15,Paramètres!$A$1:$I$89,5,0)</f>
        <v>4.4337866711430253E-14</v>
      </c>
      <c r="EL89" s="13">
        <f t="shared" si="99"/>
        <v>7.3222115536967035E-13</v>
      </c>
      <c r="EM89" s="20">
        <f t="shared" si="73"/>
        <v>1.3525069634579169E-12</v>
      </c>
      <c r="EN89" s="59">
        <f t="shared" si="74"/>
        <v>293.33333333333468</v>
      </c>
      <c r="EO89" s="59">
        <f ca="1">AVERAGE(OFFSET($EN$3,0,0,'Données projet'!$E$15+1,1))-AVERAGE(OFFSET($H$3,0,0,'Données projet'!$E$15+1,1))</f>
        <v>288.82868507674738</v>
      </c>
      <c r="EP89" s="59">
        <f t="shared" si="100"/>
        <v>283.48738729114024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59.002729821943085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59.002729821943085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328.55201074501201</v>
      </c>
      <c r="FK89" s="59">
        <f t="shared" si="102"/>
        <v>321.81422611044985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85.225605189030006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85.225605189030006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353.37024194969638</v>
      </c>
      <c r="GF89" s="59">
        <f t="shared" si="104"/>
        <v>345.4750813433123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113.98555706380409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113.98555706380409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1.2710188457276673E-13</v>
      </c>
      <c r="P90" s="13">
        <f t="shared" si="87"/>
        <v>1.856866851063998E-12</v>
      </c>
      <c r="Q90" s="20">
        <f t="shared" si="54"/>
        <v>3.4554122145673649E-12</v>
      </c>
      <c r="R90" s="59">
        <f t="shared" si="55"/>
        <v>293.33333333333678</v>
      </c>
      <c r="S90" s="59">
        <f ca="1">AVERAGE(OFFSET($R$3,0,0,'Données projet'!$E$9+1,1))-AVERAGE(OFFSET($H$3,0,0,'Données projet'!$E$9+1,1))</f>
        <v>404.65492118472037</v>
      </c>
      <c r="T90" s="59">
        <f t="shared" si="88"/>
        <v>534.22295841722166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146.13190221840418</v>
      </c>
      <c r="AA90" s="21">
        <f>EXP(-LN(2)/25)*AA89+(1-EXP(-LN(2)/25))/(LN(2)/25)*Calculateur!V90*Calculateur!X90*VLOOKUP('Données projet'!$B$9,Paramètres!$A$1:$I$89,3,0)*0.475*44/12</f>
        <v>29.441902524108873</v>
      </c>
      <c r="AB90" s="21">
        <f>EXP(-LN(2)/2)*AB89+(1-EXP(-LN(2)/2))/(LN(2)/2)*V90*Y90*VLOOKUP('Données projet'!$B$9,Paramètres!$A$1:$I$89,3,0)*0.475*44/12</f>
        <v>4.5343767628229644E-4</v>
      </c>
      <c r="AC90" s="22">
        <f t="shared" si="57"/>
        <v>175.57425818018933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13.193750000000001</v>
      </c>
      <c r="AI90" s="13">
        <f>IF('Données projet'!$A$62&gt;35,AI89+AH90-AQ89,IF(A90&lt;'Données projet'!$A$62,$AF$205^A90,IF(A90='Données projet'!$A$62,'Données projet'!$B$62,AI89+AH90-AQ89)))</f>
        <v>471.245</v>
      </c>
      <c r="AJ90" s="13">
        <f>AI90*VLOOKUP('Données projet'!$B$10,Paramètres!$A$1:$I$89,3,0)*VLOOKUP('Données projet'!$B$10,Paramètres!$A$1:$I$89,5,0)</f>
        <v>220.54266000000001</v>
      </c>
      <c r="AK90" s="13">
        <f t="shared" si="89"/>
        <v>54.232813274040076</v>
      </c>
      <c r="AL90" s="20">
        <f t="shared" si="58"/>
        <v>478.56728261895313</v>
      </c>
      <c r="AM90" s="59">
        <f t="shared" si="59"/>
        <v>771.90061595228644</v>
      </c>
      <c r="AN90" s="59">
        <f ca="1">AVERAGE(OFFSET($AM$3,0,0,'Données projet'!$E$10+1,1))-AVERAGE(OFFSET($H$3,0,0,'Données projet'!$E$10+1,1))</f>
        <v>331.17634116262298</v>
      </c>
      <c r="AO90" s="59">
        <f t="shared" si="90"/>
        <v>286.28916368940605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28.173753619722206</v>
      </c>
      <c r="AV90" s="21">
        <f>EXP(-LN(2)/25)*AV89+(1-EXP(-LN(2)/25))/(LN(2)/25)*Calculateur!AQ90*Calculateur!AS90*VLOOKUP('Données projet'!$B$10,Paramètres!$A$1:$I$89,3,0)*0.475*44/12</f>
        <v>43.15608860080728</v>
      </c>
      <c r="AW90" s="21">
        <f>EXP(-LN(2)/2)*AW89+(1-EXP(-LN(2)/2))/(LN(2)/2)*AQ90*AT90*VLOOKUP('Données projet'!$B$10,Paramètres!$A$1:$I$89,3,0)*0.475*44/12</f>
        <v>3.3095094998343155</v>
      </c>
      <c r="AX90" s="21">
        <f t="shared" si="60"/>
        <v>74.639351720363805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1.4210854715202004E-13</v>
      </c>
      <c r="BE90" s="13">
        <f>BD90*VLOOKUP('Données projet'!$B$11,Paramètres!$A$1:$I$89,3,0)*VLOOKUP('Données projet'!$B$11,Paramètres!$A$1:$I$89,5,0)</f>
        <v>7.7591266745002952E-14</v>
      </c>
      <c r="BF90" s="13">
        <f t="shared" si="91"/>
        <v>1.2005788606873384E-12</v>
      </c>
      <c r="BG90" s="20">
        <f t="shared" si="61"/>
        <v>2.226146305277994E-12</v>
      </c>
      <c r="BH90" s="59">
        <f t="shared" si="62"/>
        <v>293.33333333333553</v>
      </c>
      <c r="BI90" s="59">
        <f ca="1">AVERAGE(OFFSET($BH$3,0,0,'Données projet'!$E$11+1,1))-AVERAGE(OFFSET($H$3,0,0,'Données projet'!$E$11+1,1))</f>
        <v>165.87377022031535</v>
      </c>
      <c r="BJ90" s="59">
        <f t="shared" si="92"/>
        <v>272.91122662088929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44.323964895115687</v>
      </c>
      <c r="BQ90" s="21">
        <f>EXP(-LN(2)/25)*BQ89+(1-EXP(-LN(2)/25))/(LN(2)/25)*Calculateur!BL90*Calculateur!BN90*VLOOKUP('Données projet'!$B$11,Paramètres!$A$1:$I$89,3,0)*0.475*44/12</f>
        <v>10.483725234232862</v>
      </c>
      <c r="BR90" s="21">
        <f>EXP(-LN(2)/2)*BR89+(1-EXP(-LN(2)/2))/(LN(2)/2)*BL90*BO90*VLOOKUP('Données projet'!$B$11,Paramètres!$A$1:$I$89,3,0)*0.475*44/12</f>
        <v>2.1718465658705842E-6</v>
      </c>
      <c r="BS90" s="22">
        <f t="shared" si="63"/>
        <v>54.807692301195118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10.608750000000001</v>
      </c>
      <c r="BY90" s="12">
        <f>IF('Données projet'!$A$114&gt;35,BY89+BX90-CG89,IF(A90&lt;'Données projet'!$A$114,$BV$205^A90,IF(A90='Données projet'!$A$114,'Données projet'!$B$114,BY89+BX90-CG89)))</f>
        <v>399.88375000000002</v>
      </c>
      <c r="BZ90" s="13">
        <f>BY90*VLOOKUP('Données projet'!$B$12,Paramètres!$A$1:$I$89,3,0)*VLOOKUP('Données projet'!$B$12,Paramètres!$A$1:$I$89,5,0)</f>
        <v>361.81481700000001</v>
      </c>
      <c r="CA90" s="13">
        <f t="shared" si="93"/>
        <v>83.990584199557532</v>
      </c>
      <c r="CB90" s="20">
        <f t="shared" si="64"/>
        <v>776.44440708922923</v>
      </c>
      <c r="CC90" s="59">
        <f t="shared" si="65"/>
        <v>1069.7777404225626</v>
      </c>
      <c r="CD90" s="59">
        <f ca="1">AVERAGE(OFFSET($CC$3,0,0,'Données projet'!$E$12+1,1))-AVERAGE(OFFSET($H$3,0,0,'Données projet'!$E$12+1,1))</f>
        <v>639.86968831634636</v>
      </c>
      <c r="CE90" s="59">
        <f t="shared" si="94"/>
        <v>218.1556771431184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15.018641340023917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15.018641340023917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1.1368683772161603E-13</v>
      </c>
      <c r="CU90" s="17">
        <f>CT90*VLOOKUP('Données projet'!$B$13,Paramètres!$A$1:$I$89,3,0)*VLOOKUP('Données projet'!$B$13,Paramètres!$A$1:$I$89,5,0)</f>
        <v>9.9316821433603781E-14</v>
      </c>
      <c r="CV90" s="13">
        <f t="shared" si="95"/>
        <v>1.4932118279712753E-12</v>
      </c>
      <c r="CW90" s="20">
        <f t="shared" si="67"/>
        <v>2.7736540643801645E-12</v>
      </c>
      <c r="CX90" s="59">
        <f t="shared" si="68"/>
        <v>293.3333333333361</v>
      </c>
      <c r="CY90" s="59">
        <f ca="1">AVERAGE(OFFSET($CX$3,0,0,'Données projet'!$E$13+1,1))-AVERAGE(OFFSET($H$3,0,0,'Données projet'!$E$13+1,1))</f>
        <v>218.76600554860482</v>
      </c>
      <c r="CZ90" s="59">
        <f t="shared" si="96"/>
        <v>264.34840059907702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33.043513797696818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33.043513797696818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9.4777777777777796</v>
      </c>
      <c r="DO90" s="12">
        <f>IF('Données projet'!$A$166&gt;35,DO89+DN90-DW89,IF(A90&lt;'Données projet'!$A$166,$DL$205^A90,IF(A90='Données projet'!$A$166,'Données projet'!$B$166,DO89+DN90-DW89)))</f>
        <v>333.5466666666664</v>
      </c>
      <c r="DP90" s="17">
        <f>DO90*VLOOKUP('Données projet'!$B$14,Paramètres!$A$1:$I$89,3,0)*VLOOKUP('Données projet'!$B$14,Paramètres!$A$1:$I$89,5,0)</f>
        <v>286.18303999999978</v>
      </c>
      <c r="DQ90" s="13">
        <f t="shared" si="97"/>
        <v>68.271997317638935</v>
      </c>
      <c r="DR90" s="20">
        <f t="shared" si="70"/>
        <v>617.34252332822064</v>
      </c>
      <c r="DS90" s="59">
        <f t="shared" si="71"/>
        <v>910.67585666155401</v>
      </c>
      <c r="DT90" s="59">
        <f ca="1">AVERAGE(OFFSET($DS$3,0,0,'Données projet'!$E$14+1,1))-AVERAGE(OFFSET($H$3,0,0,'Données projet'!$E$14+1,1))</f>
        <v>442.97490100035287</v>
      </c>
      <c r="DU90" s="59">
        <f t="shared" si="98"/>
        <v>334.36243356457049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12.732435223929214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12.732435223929214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5.6843418860808015E-14</v>
      </c>
      <c r="EK90" s="17">
        <f>EJ90*VLOOKUP('Données projet'!$B$15,Paramètres!$A$1:$I$89,3,0)*VLOOKUP('Données projet'!$B$15,Paramètres!$A$1:$I$89,5,0)</f>
        <v>4.4337866711430253E-14</v>
      </c>
      <c r="EL90" s="13">
        <f t="shared" si="99"/>
        <v>7.3222115536967035E-13</v>
      </c>
      <c r="EM90" s="20">
        <f t="shared" si="73"/>
        <v>1.3525069634579169E-12</v>
      </c>
      <c r="EN90" s="59">
        <f t="shared" si="74"/>
        <v>293.33333333333468</v>
      </c>
      <c r="EO90" s="59">
        <f ca="1">AVERAGE(OFFSET($EN$3,0,0,'Données projet'!$E$15+1,1))-AVERAGE(OFFSET($H$3,0,0,'Données projet'!$E$15+1,1))</f>
        <v>288.82868507674738</v>
      </c>
      <c r="EP90" s="59">
        <f t="shared" si="100"/>
        <v>283.48738729114024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57.845722278246441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57.845722278246441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328.55201074501201</v>
      </c>
      <c r="FK90" s="59">
        <f t="shared" si="102"/>
        <v>321.81422611044985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83.554383053759452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83.554383053759452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353.37024194969638</v>
      </c>
      <c r="GF90" s="59">
        <f t="shared" si="104"/>
        <v>345.4750813433123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111.75036981410774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111.75036981410774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1.2710188457276673E-13</v>
      </c>
      <c r="P91" s="13">
        <f t="shared" si="87"/>
        <v>1.856866851063998E-12</v>
      </c>
      <c r="Q91" s="20">
        <f t="shared" si="54"/>
        <v>3.4554122145673649E-12</v>
      </c>
      <c r="R91" s="59">
        <f t="shared" si="55"/>
        <v>293.33333333333678</v>
      </c>
      <c r="S91" s="59">
        <f ca="1">AVERAGE(OFFSET($R$3,0,0,'Données projet'!$E$9+1,1))-AVERAGE(OFFSET($H$3,0,0,'Données projet'!$E$9+1,1))</f>
        <v>404.65492118472037</v>
      </c>
      <c r="T91" s="59">
        <f t="shared" si="88"/>
        <v>534.22295841722166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143.26634474756059</v>
      </c>
      <c r="AA91" s="21">
        <f>EXP(-LN(2)/25)*AA90+(1-EXP(-LN(2)/25))/(LN(2)/25)*Calculateur!V91*Calculateur!X91*VLOOKUP('Données projet'!$B$9,Paramètres!$A$1:$I$89,3,0)*0.475*44/12</f>
        <v>28.636812151304753</v>
      </c>
      <c r="AB91" s="21">
        <f>EXP(-LN(2)/2)*AB90+(1-EXP(-LN(2)/2))/(LN(2)/2)*V91*Y91*VLOOKUP('Données projet'!$B$9,Paramètres!$A$1:$I$89,3,0)*0.475*44/12</f>
        <v>3.2062885574468236E-4</v>
      </c>
      <c r="AC91" s="22">
        <f t="shared" si="57"/>
        <v>171.90347752772109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13.193750000000001</v>
      </c>
      <c r="AI91" s="13">
        <f>IF('Données projet'!$A$62&gt;35,AI90+AH91-AQ90,IF(A91&lt;'Données projet'!$A$62,$AF$205^A91,IF(A91='Données projet'!$A$62,'Données projet'!$B$62,AI90+AH91-AQ90)))</f>
        <v>484.43875000000003</v>
      </c>
      <c r="AJ91" s="13">
        <f>AI91*VLOOKUP('Données projet'!$B$10,Paramètres!$A$1:$I$89,3,0)*VLOOKUP('Données projet'!$B$10,Paramètres!$A$1:$I$89,5,0)</f>
        <v>226.71733500000002</v>
      </c>
      <c r="AK91" s="13">
        <f t="shared" si="89"/>
        <v>55.572299862975768</v>
      </c>
      <c r="AL91" s="20">
        <f t="shared" si="58"/>
        <v>491.65444738634943</v>
      </c>
      <c r="AM91" s="59">
        <f t="shared" si="59"/>
        <v>784.98778071968275</v>
      </c>
      <c r="AN91" s="59">
        <f ca="1">AVERAGE(OFFSET($AM$3,0,0,'Données projet'!$E$10+1,1))-AVERAGE(OFFSET($H$3,0,0,'Données projet'!$E$10+1,1))</f>
        <v>331.17634116262298</v>
      </c>
      <c r="AO91" s="59">
        <f t="shared" si="90"/>
        <v>286.28916368940605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27.621283495532353</v>
      </c>
      <c r="AV91" s="21">
        <f>EXP(-LN(2)/25)*AV90+(1-EXP(-LN(2)/25))/(LN(2)/25)*Calculateur!AQ91*Calculateur!AS91*VLOOKUP('Données projet'!$B$10,Paramètres!$A$1:$I$89,3,0)*0.475*44/12</f>
        <v>41.975983088538143</v>
      </c>
      <c r="AW91" s="21">
        <f>EXP(-LN(2)/2)*AW90+(1-EXP(-LN(2)/2))/(LN(2)/2)*AQ91*AT91*VLOOKUP('Données projet'!$B$10,Paramètres!$A$1:$I$89,3,0)*0.475*44/12</f>
        <v>2.3401766097341437</v>
      </c>
      <c r="AX91" s="21">
        <f t="shared" si="60"/>
        <v>71.93744319380464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1.4210854715202004E-13</v>
      </c>
      <c r="BE91" s="13">
        <f>BD91*VLOOKUP('Données projet'!$B$11,Paramètres!$A$1:$I$89,3,0)*VLOOKUP('Données projet'!$B$11,Paramètres!$A$1:$I$89,5,0)</f>
        <v>7.7591266745002952E-14</v>
      </c>
      <c r="BF91" s="13">
        <f t="shared" si="91"/>
        <v>1.2005788606873384E-12</v>
      </c>
      <c r="BG91" s="20">
        <f t="shared" si="61"/>
        <v>2.226146305277994E-12</v>
      </c>
      <c r="BH91" s="59">
        <f t="shared" si="62"/>
        <v>293.33333333333553</v>
      </c>
      <c r="BI91" s="59">
        <f ca="1">AVERAGE(OFFSET($BH$3,0,0,'Données projet'!$E$11+1,1))-AVERAGE(OFFSET($H$3,0,0,'Données projet'!$E$11+1,1))</f>
        <v>165.87377022031535</v>
      </c>
      <c r="BJ91" s="59">
        <f t="shared" si="92"/>
        <v>272.91122662088929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43.454798978471572</v>
      </c>
      <c r="BQ91" s="21">
        <f>EXP(-LN(2)/25)*BQ90+(1-EXP(-LN(2)/25))/(LN(2)/25)*Calculateur!BL91*Calculateur!BN91*VLOOKUP('Données projet'!$B$11,Paramètres!$A$1:$I$89,3,0)*0.475*44/12</f>
        <v>10.197047216387615</v>
      </c>
      <c r="BR91" s="21">
        <f>EXP(-LN(2)/2)*BR90+(1-EXP(-LN(2)/2))/(LN(2)/2)*BL91*BO91*VLOOKUP('Données projet'!$B$11,Paramètres!$A$1:$I$89,3,0)*0.475*44/12</f>
        <v>1.5357274344238059E-6</v>
      </c>
      <c r="BS91" s="22">
        <f t="shared" si="63"/>
        <v>53.651847730586624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10.608750000000001</v>
      </c>
      <c r="BY91" s="12">
        <f>IF('Données projet'!$A$114&gt;35,BY90+BX91-CG90,IF(A91&lt;'Données projet'!$A$114,$BV$205^A91,IF(A91='Données projet'!$A$114,'Données projet'!$B$114,BY90+BX91-CG90)))</f>
        <v>410.49250000000001</v>
      </c>
      <c r="BZ91" s="13">
        <f>BY91*VLOOKUP('Données projet'!$B$12,Paramètres!$A$1:$I$89,3,0)*VLOOKUP('Données projet'!$B$12,Paramètres!$A$1:$I$89,5,0)</f>
        <v>371.413614</v>
      </c>
      <c r="CA91" s="13">
        <f t="shared" si="93"/>
        <v>85.956442581775292</v>
      </c>
      <c r="CB91" s="20">
        <f t="shared" si="64"/>
        <v>796.58618187992522</v>
      </c>
      <c r="CC91" s="59">
        <f t="shared" si="65"/>
        <v>1089.9195152132586</v>
      </c>
      <c r="CD91" s="59">
        <f ca="1">AVERAGE(OFFSET($CC$3,0,0,'Données projet'!$E$12+1,1))-AVERAGE(OFFSET($H$3,0,0,'Données projet'!$E$12+1,1))</f>
        <v>639.86968831634636</v>
      </c>
      <c r="CE91" s="59">
        <f t="shared" si="94"/>
        <v>218.1556771431184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14.724134943812745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14.724134943812745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1.1368683772161603E-13</v>
      </c>
      <c r="CU91" s="17">
        <f>CT91*VLOOKUP('Données projet'!$B$13,Paramètres!$A$1:$I$89,3,0)*VLOOKUP('Données projet'!$B$13,Paramètres!$A$1:$I$89,5,0)</f>
        <v>9.9316821433603781E-14</v>
      </c>
      <c r="CV91" s="13">
        <f t="shared" si="95"/>
        <v>1.4932118279712753E-12</v>
      </c>
      <c r="CW91" s="20">
        <f t="shared" si="67"/>
        <v>2.7736540643801645E-12</v>
      </c>
      <c r="CX91" s="59">
        <f t="shared" si="68"/>
        <v>293.3333333333361</v>
      </c>
      <c r="CY91" s="59">
        <f ca="1">AVERAGE(OFFSET($CX$3,0,0,'Données projet'!$E$13+1,1))-AVERAGE(OFFSET($H$3,0,0,'Données projet'!$E$13+1,1))</f>
        <v>218.76600554860482</v>
      </c>
      <c r="CZ91" s="59">
        <f t="shared" si="96"/>
        <v>264.34840059907702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32.3955506466773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32.3955506466773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9.4777777777777796</v>
      </c>
      <c r="DO91" s="12">
        <f>IF('Données projet'!$A$166&gt;35,DO90+DN91-DW90,IF(A91&lt;'Données projet'!$A$166,$DL$205^A91,IF(A91='Données projet'!$A$166,'Données projet'!$B$166,DO90+DN91-DW90)))</f>
        <v>343.02444444444416</v>
      </c>
      <c r="DP91" s="17">
        <f>DO91*VLOOKUP('Données projet'!$B$14,Paramètres!$A$1:$I$89,3,0)*VLOOKUP('Données projet'!$B$14,Paramètres!$A$1:$I$89,5,0)</f>
        <v>294.31497333333311</v>
      </c>
      <c r="DQ91" s="13">
        <f t="shared" si="97"/>
        <v>69.983339728294098</v>
      </c>
      <c r="DR91" s="20">
        <f t="shared" si="70"/>
        <v>634.48622858233398</v>
      </c>
      <c r="DS91" s="59">
        <f t="shared" si="71"/>
        <v>927.81956191566724</v>
      </c>
      <c r="DT91" s="59">
        <f ca="1">AVERAGE(OFFSET($DS$3,0,0,'Données projet'!$E$14+1,1))-AVERAGE(OFFSET($H$3,0,0,'Données projet'!$E$14+1,1))</f>
        <v>442.97490100035287</v>
      </c>
      <c r="DU91" s="59">
        <f t="shared" si="98"/>
        <v>334.36243356457049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12.482759935206618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12.482759935206618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5.6843418860808015E-14</v>
      </c>
      <c r="EK91" s="17">
        <f>EJ91*VLOOKUP('Données projet'!$B$15,Paramètres!$A$1:$I$89,3,0)*VLOOKUP('Données projet'!$B$15,Paramètres!$A$1:$I$89,5,0)</f>
        <v>4.4337866711430253E-14</v>
      </c>
      <c r="EL91" s="13">
        <f t="shared" si="99"/>
        <v>7.3222115536967035E-13</v>
      </c>
      <c r="EM91" s="20">
        <f t="shared" si="73"/>
        <v>1.3525069634579169E-12</v>
      </c>
      <c r="EN91" s="59">
        <f t="shared" si="74"/>
        <v>293.33333333333468</v>
      </c>
      <c r="EO91" s="59">
        <f ca="1">AVERAGE(OFFSET($EN$3,0,0,'Données projet'!$E$15+1,1))-AVERAGE(OFFSET($H$3,0,0,'Données projet'!$E$15+1,1))</f>
        <v>288.82868507674738</v>
      </c>
      <c r="EP91" s="59">
        <f t="shared" si="100"/>
        <v>283.48738729114024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56.711402946776772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56.711402946776772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328.55201074501201</v>
      </c>
      <c r="FK91" s="59">
        <f t="shared" si="102"/>
        <v>321.81422611044985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81.915932565216693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81.915932565216693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353.37024194969638</v>
      </c>
      <c r="GF91" s="59">
        <f t="shared" si="104"/>
        <v>345.4750813433123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109.55901322304834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109.55901322304834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1.2710188457276673E-13</v>
      </c>
      <c r="P92" s="13">
        <f t="shared" si="87"/>
        <v>1.856866851063998E-12</v>
      </c>
      <c r="Q92" s="20">
        <f t="shared" si="54"/>
        <v>3.4554122145673649E-12</v>
      </c>
      <c r="R92" s="59">
        <f t="shared" si="55"/>
        <v>293.33333333333678</v>
      </c>
      <c r="S92" s="59">
        <f ca="1">AVERAGE(OFFSET($R$3,0,0,'Données projet'!$E$9+1,1))-AVERAGE(OFFSET($H$3,0,0,'Données projet'!$E$9+1,1))</f>
        <v>404.65492118472037</v>
      </c>
      <c r="T92" s="59">
        <f t="shared" si="88"/>
        <v>534.22295841722166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140.45697911090278</v>
      </c>
      <c r="AA92" s="21">
        <f>EXP(-LN(2)/25)*AA91+(1-EXP(-LN(2)/25))/(LN(2)/25)*Calculateur!V92*Calculateur!X92*VLOOKUP('Données projet'!$B$9,Paramètres!$A$1:$I$89,3,0)*0.475*44/12</f>
        <v>27.853737017082825</v>
      </c>
      <c r="AB92" s="21">
        <f>EXP(-LN(2)/2)*AB91+(1-EXP(-LN(2)/2))/(LN(2)/2)*V92*Y92*VLOOKUP('Données projet'!$B$9,Paramètres!$A$1:$I$89,3,0)*0.475*44/12</f>
        <v>2.2671883814114822E-4</v>
      </c>
      <c r="AC92" s="22">
        <f t="shared" si="57"/>
        <v>168.31094284682376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13.193750000000001</v>
      </c>
      <c r="AI92" s="13">
        <f>IF('Données projet'!$A$62&gt;35,AI91+AH92-AQ91,IF(A92&lt;'Données projet'!$A$62,$AF$205^A92,IF(A92='Données projet'!$A$62,'Données projet'!$B$62,AI91+AH92-AQ91)))</f>
        <v>497.63250000000005</v>
      </c>
      <c r="AJ92" s="13">
        <f>AI92*VLOOKUP('Données projet'!$B$10,Paramètres!$A$1:$I$89,3,0)*VLOOKUP('Données projet'!$B$10,Paramètres!$A$1:$I$89,5,0)</f>
        <v>232.89201000000003</v>
      </c>
      <c r="AK92" s="13">
        <f t="shared" si="89"/>
        <v>56.90754622348863</v>
      </c>
      <c r="AL92" s="20">
        <f t="shared" si="58"/>
        <v>504.73422708924267</v>
      </c>
      <c r="AM92" s="59">
        <f t="shared" si="59"/>
        <v>798.06756042257598</v>
      </c>
      <c r="AN92" s="59">
        <f ca="1">AVERAGE(OFFSET($AM$3,0,0,'Données projet'!$E$10+1,1))-AVERAGE(OFFSET($H$3,0,0,'Données projet'!$E$10+1,1))</f>
        <v>331.17634116262298</v>
      </c>
      <c r="AO92" s="59">
        <f t="shared" si="90"/>
        <v>286.28916368940605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27.07964697350436</v>
      </c>
      <c r="AV92" s="21">
        <f>EXP(-LN(2)/25)*AV91+(1-EXP(-LN(2)/25))/(LN(2)/25)*Calculateur!AQ92*Calculateur!AS92*VLOOKUP('Données projet'!$B$10,Paramètres!$A$1:$I$89,3,0)*0.475*44/12</f>
        <v>40.828147623561051</v>
      </c>
      <c r="AW92" s="21">
        <f>EXP(-LN(2)/2)*AW91+(1-EXP(-LN(2)/2))/(LN(2)/2)*AQ92*AT92*VLOOKUP('Données projet'!$B$10,Paramètres!$A$1:$I$89,3,0)*0.475*44/12</f>
        <v>1.6547547499171578</v>
      </c>
      <c r="AX92" s="21">
        <f t="shared" si="60"/>
        <v>69.562549346982578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1.4210854715202004E-13</v>
      </c>
      <c r="BE92" s="13">
        <f>BD92*VLOOKUP('Données projet'!$B$11,Paramètres!$A$1:$I$89,3,0)*VLOOKUP('Données projet'!$B$11,Paramètres!$A$1:$I$89,5,0)</f>
        <v>7.7591266745002952E-14</v>
      </c>
      <c r="BF92" s="13">
        <f t="shared" si="91"/>
        <v>1.2005788606873384E-12</v>
      </c>
      <c r="BG92" s="20">
        <f t="shared" si="61"/>
        <v>2.226146305277994E-12</v>
      </c>
      <c r="BH92" s="59">
        <f t="shared" si="62"/>
        <v>293.33333333333553</v>
      </c>
      <c r="BI92" s="59">
        <f ca="1">AVERAGE(OFFSET($BH$3,0,0,'Données projet'!$E$11+1,1))-AVERAGE(OFFSET($H$3,0,0,'Données projet'!$E$11+1,1))</f>
        <v>165.87377022031535</v>
      </c>
      <c r="BJ92" s="59">
        <f t="shared" si="92"/>
        <v>272.91122662088929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42.602676875313989</v>
      </c>
      <c r="BQ92" s="21">
        <f>EXP(-LN(2)/25)*BQ91+(1-EXP(-LN(2)/25))/(LN(2)/25)*Calculateur!BL92*Calculateur!BN92*VLOOKUP('Données projet'!$B$11,Paramètres!$A$1:$I$89,3,0)*0.475*44/12</f>
        <v>9.9182084240160879</v>
      </c>
      <c r="BR92" s="21">
        <f>EXP(-LN(2)/2)*BR91+(1-EXP(-LN(2)/2))/(LN(2)/2)*BL92*BO92*VLOOKUP('Données projet'!$B$11,Paramètres!$A$1:$I$89,3,0)*0.475*44/12</f>
        <v>1.0859232829352921E-6</v>
      </c>
      <c r="BS92" s="22">
        <f t="shared" si="63"/>
        <v>52.520886385253355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10.608750000000001</v>
      </c>
      <c r="BY92" s="12">
        <f>IF('Données projet'!$A$114&gt;35,BY91+BX92-CG91,IF(A92&lt;'Données projet'!$A$114,$BV$205^A92,IF(A92='Données projet'!$A$114,'Données projet'!$B$114,BY91+BX92-CG91)))</f>
        <v>421.10124999999999</v>
      </c>
      <c r="BZ92" s="13">
        <f>BY92*VLOOKUP('Données projet'!$B$12,Paramètres!$A$1:$I$89,3,0)*VLOOKUP('Données projet'!$B$12,Paramètres!$A$1:$I$89,5,0)</f>
        <v>381.01241099999999</v>
      </c>
      <c r="CA92" s="13">
        <f t="shared" si="93"/>
        <v>87.916395388522361</v>
      </c>
      <c r="CB92" s="20">
        <f t="shared" si="64"/>
        <v>816.71767112667646</v>
      </c>
      <c r="CC92" s="59">
        <f t="shared" si="65"/>
        <v>1110.0510044600098</v>
      </c>
      <c r="CD92" s="59">
        <f ca="1">AVERAGE(OFFSET($CC$3,0,0,'Données projet'!$E$12+1,1))-AVERAGE(OFFSET($H$3,0,0,'Données projet'!$E$12+1,1))</f>
        <v>639.86968831634636</v>
      </c>
      <c r="CE92" s="59">
        <f t="shared" si="94"/>
        <v>218.1556771431184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14.435403638400109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14.435403638400109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1.1368683772161603E-13</v>
      </c>
      <c r="CU92" s="17">
        <f>CT92*VLOOKUP('Données projet'!$B$13,Paramètres!$A$1:$I$89,3,0)*VLOOKUP('Données projet'!$B$13,Paramètres!$A$1:$I$89,5,0)</f>
        <v>9.9316821433603781E-14</v>
      </c>
      <c r="CV92" s="13">
        <f t="shared" si="95"/>
        <v>1.4932118279712753E-12</v>
      </c>
      <c r="CW92" s="20">
        <f t="shared" si="67"/>
        <v>2.7736540643801645E-12</v>
      </c>
      <c r="CX92" s="59">
        <f t="shared" si="68"/>
        <v>293.3333333333361</v>
      </c>
      <c r="CY92" s="59">
        <f ca="1">AVERAGE(OFFSET($CX$3,0,0,'Données projet'!$E$13+1,1))-AVERAGE(OFFSET($H$3,0,0,'Données projet'!$E$13+1,1))</f>
        <v>218.76600554860482</v>
      </c>
      <c r="CZ92" s="59">
        <f t="shared" si="96"/>
        <v>264.34840059907702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31.760293657830779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31.760293657830779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9.4777777777777796</v>
      </c>
      <c r="DO92" s="12">
        <f>IF('Données projet'!$A$166&gt;35,DO91+DN92-DW91,IF(A92&lt;'Données projet'!$A$166,$DL$205^A92,IF(A92='Données projet'!$A$166,'Données projet'!$B$166,DO91+DN92-DW91)))</f>
        <v>352.50222222222192</v>
      </c>
      <c r="DP92" s="17">
        <f>DO92*VLOOKUP('Données projet'!$B$14,Paramètres!$A$1:$I$89,3,0)*VLOOKUP('Données projet'!$B$14,Paramètres!$A$1:$I$89,5,0)</f>
        <v>302.44690666666645</v>
      </c>
      <c r="DQ92" s="13">
        <f t="shared" si="97"/>
        <v>71.689186330941126</v>
      </c>
      <c r="DR92" s="20">
        <f t="shared" si="70"/>
        <v>651.62036197083319</v>
      </c>
      <c r="DS92" s="59">
        <f t="shared" si="71"/>
        <v>944.95369530416656</v>
      </c>
      <c r="DT92" s="59">
        <f ca="1">AVERAGE(OFFSET($DS$3,0,0,'Données projet'!$E$14+1,1))-AVERAGE(OFFSET($H$3,0,0,'Données projet'!$E$14+1,1))</f>
        <v>442.97490100035287</v>
      </c>
      <c r="DU92" s="59">
        <f t="shared" si="98"/>
        <v>334.36243356457049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12.237980626608982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12.237980626608982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5.6843418860808015E-14</v>
      </c>
      <c r="EK92" s="17">
        <f>EJ92*VLOOKUP('Données projet'!$B$15,Paramètres!$A$1:$I$89,3,0)*VLOOKUP('Données projet'!$B$15,Paramètres!$A$1:$I$89,5,0)</f>
        <v>4.4337866711430253E-14</v>
      </c>
      <c r="EL92" s="13">
        <f t="shared" si="99"/>
        <v>7.3222115536967035E-13</v>
      </c>
      <c r="EM92" s="20">
        <f t="shared" si="73"/>
        <v>1.3525069634579169E-12</v>
      </c>
      <c r="EN92" s="59">
        <f t="shared" si="74"/>
        <v>293.33333333333468</v>
      </c>
      <c r="EO92" s="59">
        <f ca="1">AVERAGE(OFFSET($EN$3,0,0,'Données projet'!$E$15+1,1))-AVERAGE(OFFSET($H$3,0,0,'Données projet'!$E$15+1,1))</f>
        <v>288.82868507674738</v>
      </c>
      <c r="EP92" s="59">
        <f t="shared" si="100"/>
        <v>283.48738729114024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55.599326925530747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55.599326925530747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328.55201074501201</v>
      </c>
      <c r="FK92" s="59">
        <f t="shared" si="102"/>
        <v>321.81422611044985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80.309611091398139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80.309611091398139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353.37024194969638</v>
      </c>
      <c r="GF92" s="59">
        <f t="shared" si="104"/>
        <v>345.4750813433123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107.41062779814406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107.41062779814406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1.2710188457276673E-13</v>
      </c>
      <c r="P93" s="13">
        <f t="shared" si="87"/>
        <v>1.856866851063998E-12</v>
      </c>
      <c r="Q93" s="20">
        <f t="shared" si="54"/>
        <v>3.4554122145673649E-12</v>
      </c>
      <c r="R93" s="59">
        <f t="shared" si="55"/>
        <v>293.33333333333678</v>
      </c>
      <c r="S93" s="59">
        <f ca="1">AVERAGE(OFFSET($R$3,0,0,'Données projet'!$E$9+1,1))-AVERAGE(OFFSET($H$3,0,0,'Données projet'!$E$9+1,1))</f>
        <v>404.65492118472037</v>
      </c>
      <c r="T93" s="59">
        <f t="shared" si="88"/>
        <v>534.22295841722166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137.702703420836</v>
      </c>
      <c r="AA93" s="21">
        <f>EXP(-LN(2)/25)*AA92+(1-EXP(-LN(2)/25))/(LN(2)/25)*Calculateur!V93*Calculateur!X93*VLOOKUP('Données projet'!$B$9,Paramètres!$A$1:$I$89,3,0)*0.475*44/12</f>
        <v>27.092075113586326</v>
      </c>
      <c r="AB93" s="21">
        <f>EXP(-LN(2)/2)*AB92+(1-EXP(-LN(2)/2))/(LN(2)/2)*V93*Y93*VLOOKUP('Données projet'!$B$9,Paramètres!$A$1:$I$89,3,0)*0.475*44/12</f>
        <v>1.6031442787234118E-4</v>
      </c>
      <c r="AC93" s="22">
        <f t="shared" si="57"/>
        <v>164.79493884885019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13.193750000000001</v>
      </c>
      <c r="AI93" s="13">
        <f>IF('Données projet'!$A$62&gt;35,AI92+AH93-AQ92,IF(A93&lt;'Données projet'!$A$62,$AF$205^A93,IF(A93='Données projet'!$A$62,'Données projet'!$B$62,AI92+AH93-AQ92)))</f>
        <v>510.82625000000007</v>
      </c>
      <c r="AJ93" s="13">
        <f>AI93*VLOOKUP('Données projet'!$B$10,Paramètres!$A$1:$I$89,3,0)*VLOOKUP('Données projet'!$B$10,Paramètres!$A$1:$I$89,5,0)</f>
        <v>239.06668500000004</v>
      </c>
      <c r="AK93" s="13">
        <f t="shared" si="89"/>
        <v>58.238677699028834</v>
      </c>
      <c r="AL93" s="20">
        <f t="shared" si="58"/>
        <v>517.80684003414194</v>
      </c>
      <c r="AM93" s="59">
        <f t="shared" si="59"/>
        <v>811.1401733674752</v>
      </c>
      <c r="AN93" s="59">
        <f ca="1">AVERAGE(OFFSET($AM$3,0,0,'Données projet'!$E$10+1,1))-AVERAGE(OFFSET($H$3,0,0,'Données projet'!$E$10+1,1))</f>
        <v>331.17634116262298</v>
      </c>
      <c r="AO93" s="59">
        <f t="shared" si="90"/>
        <v>286.28916368940605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26.548631613307681</v>
      </c>
      <c r="AV93" s="21">
        <f>EXP(-LN(2)/25)*AV92+(1-EXP(-LN(2)/25))/(LN(2)/25)*Calculateur!AQ93*Calculateur!AS93*VLOOKUP('Données projet'!$B$10,Paramètres!$A$1:$I$89,3,0)*0.475*44/12</f>
        <v>39.711699779735802</v>
      </c>
      <c r="AW93" s="21">
        <f>EXP(-LN(2)/2)*AW92+(1-EXP(-LN(2)/2))/(LN(2)/2)*AQ93*AT93*VLOOKUP('Données projet'!$B$10,Paramètres!$A$1:$I$89,3,0)*0.475*44/12</f>
        <v>1.1700883048670718</v>
      </c>
      <c r="AX93" s="21">
        <f t="shared" si="60"/>
        <v>67.430419697910565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1.4210854715202004E-13</v>
      </c>
      <c r="BE93" s="13">
        <f>BD93*VLOOKUP('Données projet'!$B$11,Paramètres!$A$1:$I$89,3,0)*VLOOKUP('Données projet'!$B$11,Paramètres!$A$1:$I$89,5,0)</f>
        <v>7.7591266745002952E-14</v>
      </c>
      <c r="BF93" s="13">
        <f t="shared" si="91"/>
        <v>1.2005788606873384E-12</v>
      </c>
      <c r="BG93" s="20">
        <f t="shared" si="61"/>
        <v>2.226146305277994E-12</v>
      </c>
      <c r="BH93" s="59">
        <f t="shared" si="62"/>
        <v>293.33333333333553</v>
      </c>
      <c r="BI93" s="59">
        <f ca="1">AVERAGE(OFFSET($BH$3,0,0,'Données projet'!$E$11+1,1))-AVERAGE(OFFSET($H$3,0,0,'Données projet'!$E$11+1,1))</f>
        <v>165.87377022031535</v>
      </c>
      <c r="BJ93" s="59">
        <f t="shared" si="92"/>
        <v>272.91122662088929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41.767264366856161</v>
      </c>
      <c r="BQ93" s="21">
        <f>EXP(-LN(2)/25)*BQ92+(1-EXP(-LN(2)/25))/(LN(2)/25)*Calculateur!BL93*Calculateur!BN93*VLOOKUP('Données projet'!$B$11,Paramètres!$A$1:$I$89,3,0)*0.475*44/12</f>
        <v>9.6469944930854545</v>
      </c>
      <c r="BR93" s="21">
        <f>EXP(-LN(2)/2)*BR92+(1-EXP(-LN(2)/2))/(LN(2)/2)*BL93*BO93*VLOOKUP('Données projet'!$B$11,Paramètres!$A$1:$I$89,3,0)*0.475*44/12</f>
        <v>7.6786371721190295E-7</v>
      </c>
      <c r="BS93" s="22">
        <f t="shared" si="63"/>
        <v>51.414259627805329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431.71</v>
      </c>
      <c r="BW93" s="12">
        <f>VLOOKUP(A93,'Données projet'!$A$113:$I$133,9,0)</f>
        <v>10.608750000000001</v>
      </c>
      <c r="BX93" s="12">
        <f t="array" ref="BX93">INDEX(BW:BW,MIN(IF(ISNUMBER(BW93:BW289),ROW(BW93:BW289),"")))</f>
        <v>10.608750000000001</v>
      </c>
      <c r="BY93" s="12">
        <f>IF('Données projet'!$A$114&gt;35,BY92+BX93-CG92,IF(A93&lt;'Données projet'!$A$114,$BV$205^A93,IF(A93='Données projet'!$A$114,'Données projet'!$B$114,BY92+BX93-CG92)))</f>
        <v>431.71</v>
      </c>
      <c r="BZ93" s="13">
        <f>BY93*VLOOKUP('Données projet'!$B$12,Paramètres!$A$1:$I$89,3,0)*VLOOKUP('Données projet'!$B$12,Paramètres!$A$1:$I$89,5,0)</f>
        <v>390.61120799999998</v>
      </c>
      <c r="CA93" s="13">
        <f t="shared" si="93"/>
        <v>89.87060850821986</v>
      </c>
      <c r="CB93" s="20">
        <f t="shared" si="64"/>
        <v>836.83916375181616</v>
      </c>
      <c r="CC93" s="59">
        <f t="shared" si="65"/>
        <v>1130.1724970851494</v>
      </c>
      <c r="CD93" s="59">
        <f ca="1">AVERAGE(OFFSET($CC$3,0,0,'Données projet'!$E$12+1,1))-AVERAGE(OFFSET($H$3,0,0,'Données projet'!$E$12+1,1))</f>
        <v>639.86968831634636</v>
      </c>
      <c r="CE93" s="59">
        <f t="shared" si="94"/>
        <v>218.1556771431184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63.25</v>
      </c>
      <c r="CH93" s="16">
        <f>IF(ISNA(VLOOKUP(A93,'Données projet'!$A$113:$I$133,5,0)),0%,VLOOKUP(A93,'Données projet'!$A$113:$I$133,5,0)*VLOOKUP('Données projet'!$B$12,Paramètres!$A$1:$I$89,7,0))</f>
        <v>0.129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22.313457536693889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22.313457536693889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1.1368683772161603E-13</v>
      </c>
      <c r="CU93" s="17">
        <f>CT93*VLOOKUP('Données projet'!$B$13,Paramètres!$A$1:$I$89,3,0)*VLOOKUP('Données projet'!$B$13,Paramètres!$A$1:$I$89,5,0)</f>
        <v>9.9316821433603781E-14</v>
      </c>
      <c r="CV93" s="13">
        <f t="shared" si="95"/>
        <v>1.4932118279712753E-12</v>
      </c>
      <c r="CW93" s="20">
        <f t="shared" si="67"/>
        <v>2.7736540643801645E-12</v>
      </c>
      <c r="CX93" s="59">
        <f t="shared" si="68"/>
        <v>293.3333333333361</v>
      </c>
      <c r="CY93" s="59">
        <f ca="1">AVERAGE(OFFSET($CX$3,0,0,'Données projet'!$E$13+1,1))-AVERAGE(OFFSET($H$3,0,0,'Données projet'!$E$13+1,1))</f>
        <v>218.76600554860482</v>
      </c>
      <c r="CZ93" s="59">
        <f t="shared" si="96"/>
        <v>264.34840059907702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31.137493671067038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31.137493671067038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361.98</v>
      </c>
      <c r="DM93" s="12">
        <f>VLOOKUP(A93,'Données projet'!$A$165:$I$185,9,0)</f>
        <v>9.4777777777777796</v>
      </c>
      <c r="DN93" s="12">
        <f t="array" ref="DN93">INDEX(DM:DM,MIN(IF(ISNUMBER(DM93:DM289),ROW(DM93:DM289),"")))</f>
        <v>9.4777777777777796</v>
      </c>
      <c r="DO93" s="12">
        <f>IF('Données projet'!$A$166&gt;35,DO92+DN93-DW92,IF(A93&lt;'Données projet'!$A$166,$DL$205^A93,IF(A93='Données projet'!$A$166,'Données projet'!$B$166,DO92+DN93-DW92)))</f>
        <v>361.97999999999968</v>
      </c>
      <c r="DP93" s="17">
        <f>DO93*VLOOKUP('Données projet'!$B$14,Paramètres!$A$1:$I$89,3,0)*VLOOKUP('Données projet'!$B$14,Paramètres!$A$1:$I$89,5,0)</f>
        <v>310.57883999999973</v>
      </c>
      <c r="DQ93" s="13">
        <f t="shared" si="97"/>
        <v>73.389701874504553</v>
      </c>
      <c r="DR93" s="20">
        <f t="shared" si="70"/>
        <v>668.74521043142829</v>
      </c>
      <c r="DS93" s="59">
        <f t="shared" si="71"/>
        <v>962.07854376476166</v>
      </c>
      <c r="DT93" s="59">
        <f ca="1">AVERAGE(OFFSET($DS$3,0,0,'Données projet'!$E$14+1,1))-AVERAGE(OFFSET($H$3,0,0,'Données projet'!$E$14+1,1))</f>
        <v>442.97490100035287</v>
      </c>
      <c r="DU93" s="59">
        <f t="shared" si="98"/>
        <v>334.36243356457049</v>
      </c>
      <c r="DV93" s="15">
        <f>IF(ISNA(VLOOKUP(A93,'Données projet'!$A$165:$I$185,3,0)),0,VLOOKUP(A93,'Données projet'!$A$165:$I$185,3,0))</f>
        <v>7</v>
      </c>
      <c r="DW93" s="15">
        <f>IF(ISNA(VLOOKUP(A93,'Données projet'!$A$165:$I$185,4,0)),0,VLOOKUP(A93,'Données projet'!$A$165:$I$185,4,0))</f>
        <v>69.36</v>
      </c>
      <c r="DX93" s="16">
        <f>IF(ISNA(VLOOKUP(A93,'Données projet'!$A$165:$I$185,5,0)),0%,VLOOKUP(A93,'Données projet'!$A$165:$I$185,5,0)*VLOOKUP('Données projet'!$B$14,Paramètres!$A$1:$I$89,7,0))</f>
        <v>0.159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22.458216191842748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22.458216191842748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5.6843418860808015E-14</v>
      </c>
      <c r="EK93" s="17">
        <f>EJ93*VLOOKUP('Données projet'!$B$15,Paramètres!$A$1:$I$89,3,0)*VLOOKUP('Données projet'!$B$15,Paramètres!$A$1:$I$89,5,0)</f>
        <v>4.4337866711430253E-14</v>
      </c>
      <c r="EL93" s="13">
        <f t="shared" si="99"/>
        <v>7.3222115536967035E-13</v>
      </c>
      <c r="EM93" s="20">
        <f t="shared" si="73"/>
        <v>1.3525069634579169E-12</v>
      </c>
      <c r="EN93" s="59">
        <f t="shared" si="74"/>
        <v>293.33333333333468</v>
      </c>
      <c r="EO93" s="59">
        <f ca="1">AVERAGE(OFFSET($EN$3,0,0,'Données projet'!$E$15+1,1))-AVERAGE(OFFSET($H$3,0,0,'Données projet'!$E$15+1,1))</f>
        <v>288.82868507674738</v>
      </c>
      <c r="EP93" s="59">
        <f t="shared" si="100"/>
        <v>283.48738729114024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54.509058036761957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54.509058036761957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328.55201074501201</v>
      </c>
      <c r="FK93" s="59">
        <f t="shared" si="102"/>
        <v>321.81422611044985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78.734788601921821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78.734788601921821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353.37024194969638</v>
      </c>
      <c r="GF93" s="59">
        <f t="shared" si="104"/>
        <v>345.4750813433123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105.30437090103645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105.30437090103645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1.2710188457276673E-13</v>
      </c>
      <c r="P94" s="13">
        <f t="shared" si="87"/>
        <v>1.856866851063998E-12</v>
      </c>
      <c r="Q94" s="20">
        <f t="shared" si="54"/>
        <v>3.4554122145673649E-12</v>
      </c>
      <c r="R94" s="59">
        <f t="shared" si="55"/>
        <v>293.33333333333678</v>
      </c>
      <c r="S94" s="59">
        <f ca="1">AVERAGE(OFFSET($R$3,0,0,'Données projet'!$E$9+1,1))-AVERAGE(OFFSET($H$3,0,0,'Données projet'!$E$9+1,1))</f>
        <v>404.65492118472037</v>
      </c>
      <c r="T94" s="59">
        <f t="shared" si="88"/>
        <v>534.22295841722166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135.00243739710913</v>
      </c>
      <c r="AA94" s="21">
        <f>EXP(-LN(2)/25)*AA93+(1-EXP(-LN(2)/25))/(LN(2)/25)*Calculateur!V94*Calculateur!X94*VLOOKUP('Données projet'!$B$9,Paramètres!$A$1:$I$89,3,0)*0.475*44/12</f>
        <v>26.351240894894996</v>
      </c>
      <c r="AB94" s="21">
        <f>EXP(-LN(2)/2)*AB93+(1-EXP(-LN(2)/2))/(LN(2)/2)*V94*Y94*VLOOKUP('Données projet'!$B$9,Paramètres!$A$1:$I$89,3,0)*0.475*44/12</f>
        <v>1.1335941907057411E-4</v>
      </c>
      <c r="AC94" s="22">
        <f t="shared" si="57"/>
        <v>161.35379165142319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524.02</v>
      </c>
      <c r="AG94" s="12">
        <f>VLOOKUP(A94,'Données projet'!$A$61:$I$81,9,0)</f>
        <v>13.193750000000001</v>
      </c>
      <c r="AH94" s="12">
        <f t="array" ref="AH94">INDEX(AG:AG,MIN(IF(ISNUMBER(AG94:AG290),ROW(AG94:AG290),"")))</f>
        <v>13.193750000000001</v>
      </c>
      <c r="AI94" s="13">
        <f>IF('Données projet'!$A$62&gt;35,AI93+AH94-AQ93,IF(A94&lt;'Données projet'!$A$62,$AF$205^A94,IF(A94='Données projet'!$A$62,'Données projet'!$B$62,AI93+AH94-AQ93)))</f>
        <v>524.0200000000001</v>
      </c>
      <c r="AJ94" s="13">
        <f>AI94*VLOOKUP('Données projet'!$B$10,Paramètres!$A$1:$I$89,3,0)*VLOOKUP('Données projet'!$B$10,Paramètres!$A$1:$I$89,5,0)</f>
        <v>245.24136000000004</v>
      </c>
      <c r="AK94" s="13">
        <f t="shared" si="89"/>
        <v>59.565812789401114</v>
      </c>
      <c r="AL94" s="20">
        <f t="shared" si="58"/>
        <v>530.87249260820693</v>
      </c>
      <c r="AM94" s="59">
        <f t="shared" si="59"/>
        <v>824.2058259415403</v>
      </c>
      <c r="AN94" s="59">
        <f ca="1">AVERAGE(OFFSET($AM$3,0,0,'Données projet'!$E$10+1,1))-AVERAGE(OFFSET($H$3,0,0,'Données projet'!$E$10+1,1))</f>
        <v>331.17634116262298</v>
      </c>
      <c r="AO94" s="59">
        <f t="shared" si="90"/>
        <v>286.28916368940605</v>
      </c>
      <c r="AP94" s="15">
        <f>IF(ISNA(VLOOKUP(A94,'Données projet'!$A$61:$I$81,3,0)),0,VLOOKUP(A94,'Données projet'!$A$61:$I$81,3,0))</f>
        <v>7</v>
      </c>
      <c r="AQ94" s="15">
        <f>IF(ISNA(VLOOKUP(A94,'Données projet'!$A$61:$I$81,4,0)),0,VLOOKUP(A94,'Données projet'!$A$61:$I$81,4,0))</f>
        <v>260.64</v>
      </c>
      <c r="AR94" s="16">
        <f>IF(ISNA(VLOOKUP(A94,'Données projet'!$A$61:$I$81,5,0)),0%,VLOOKUP(A94,'Données projet'!$A$61:$I$81,5,0)*VLOOKUP('Données projet'!$B$10,Paramètres!$A$1:$I$89,7,0))</f>
        <v>0.33</v>
      </c>
      <c r="AS94" s="16">
        <f>IF(ISNA(VLOOKUP(A94,'Données projet'!$A$61:$I$81,6,0)),0%,VLOOKUP(A94,'Données projet'!$A$61:$I$81,6,0)*VLOOKUP('Données projet'!$B$10,Paramètres!$A$1:$I$89,7,0))</f>
        <v>0.12100000000000001</v>
      </c>
      <c r="AT94" s="16">
        <f>IF(ISNA(VLOOKUP(A94,'Données projet'!$A$61:$I$81,7,0)),0%,VLOOKUP(A94,'Données projet'!$A$61:$I$81,7,0))</f>
        <v>0.18</v>
      </c>
      <c r="AU94" s="21">
        <f>EXP(-LN(2)/35)*AU93+(1-EXP(-LN(2)/35))/(LN(2)/35)*AQ94*AR94*VLOOKUP('Données projet'!$B$10,Paramètres!$A$1:$I$89,3,0)*0.475*44/12</f>
        <v>79.426548663217318</v>
      </c>
      <c r="AV94" s="21">
        <f>EXP(-LN(2)/25)*AV93+(1-EXP(-LN(2)/25))/(LN(2)/25)*Calculateur!AQ94*Calculateur!AS94*VLOOKUP('Données projet'!$B$10,Paramètres!$A$1:$I$89,3,0)*0.475*44/12</f>
        <v>58.128146636073652</v>
      </c>
      <c r="AW94" s="21">
        <f>EXP(-LN(2)/2)*AW93+(1-EXP(-LN(2)/2))/(LN(2)/2)*AQ94*AT94*VLOOKUP('Données projet'!$B$10,Paramètres!$A$1:$I$89,3,0)*0.475*44/12</f>
        <v>25.687024767498166</v>
      </c>
      <c r="AX94" s="21">
        <f t="shared" si="60"/>
        <v>163.24172006678916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1.4210854715202004E-13</v>
      </c>
      <c r="BE94" s="13">
        <f>BD94*VLOOKUP('Données projet'!$B$11,Paramètres!$A$1:$I$89,3,0)*VLOOKUP('Données projet'!$B$11,Paramètres!$A$1:$I$89,5,0)</f>
        <v>7.7591266745002952E-14</v>
      </c>
      <c r="BF94" s="13">
        <f t="shared" si="91"/>
        <v>1.2005788606873384E-12</v>
      </c>
      <c r="BG94" s="20">
        <f t="shared" si="61"/>
        <v>2.226146305277994E-12</v>
      </c>
      <c r="BH94" s="59">
        <f t="shared" si="62"/>
        <v>293.33333333333553</v>
      </c>
      <c r="BI94" s="59">
        <f ca="1">AVERAGE(OFFSET($BH$3,0,0,'Données projet'!$E$11+1,1))-AVERAGE(OFFSET($H$3,0,0,'Données projet'!$E$11+1,1))</f>
        <v>165.87377022031535</v>
      </c>
      <c r="BJ94" s="59">
        <f t="shared" si="92"/>
        <v>272.91122662088929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40.948233788137877</v>
      </c>
      <c r="BQ94" s="21">
        <f>EXP(-LN(2)/25)*BQ93+(1-EXP(-LN(2)/25))/(LN(2)/25)*Calculateur!BL94*Calculateur!BN94*VLOOKUP('Données projet'!$B$11,Paramètres!$A$1:$I$89,3,0)*0.475*44/12</f>
        <v>9.3831969213586408</v>
      </c>
      <c r="BR94" s="21">
        <f>EXP(-LN(2)/2)*BR93+(1-EXP(-LN(2)/2))/(LN(2)/2)*BL94*BO94*VLOOKUP('Données projet'!$B$11,Paramètres!$A$1:$I$89,3,0)*0.475*44/12</f>
        <v>5.4296164146764605E-7</v>
      </c>
      <c r="BS94" s="22">
        <f t="shared" si="63"/>
        <v>50.33143125245816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10.231999999999999</v>
      </c>
      <c r="BY94" s="12">
        <f>IF('Données projet'!$A$114&gt;35,BY93+BX94-CG93,IF(A94&lt;'Données projet'!$A$114,$BV$205^A94,IF(A94='Données projet'!$A$114,'Données projet'!$B$114,BY93+BX94-CG93)))</f>
        <v>378.69200000000001</v>
      </c>
      <c r="BZ94" s="13">
        <f>BY94*VLOOKUP('Données projet'!$B$12,Paramètres!$A$1:$I$89,3,0)*VLOOKUP('Données projet'!$B$12,Paramètres!$A$1:$I$89,5,0)</f>
        <v>342.6405216</v>
      </c>
      <c r="CA94" s="13">
        <f t="shared" si="93"/>
        <v>80.045249026875396</v>
      </c>
      <c r="CB94" s="20">
        <f t="shared" si="64"/>
        <v>736.17771717514131</v>
      </c>
      <c r="CC94" s="59">
        <f t="shared" si="65"/>
        <v>1029.5110505084747</v>
      </c>
      <c r="CD94" s="59">
        <f ca="1">AVERAGE(OFFSET($CC$3,0,0,'Données projet'!$E$12+1,1))-AVERAGE(OFFSET($H$3,0,0,'Données projet'!$E$12+1,1))</f>
        <v>639.86968831634636</v>
      </c>
      <c r="CE94" s="59">
        <f t="shared" si="94"/>
        <v>218.1556771431184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21.875904244264557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21.875904244264557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1.1368683772161603E-13</v>
      </c>
      <c r="CU94" s="17">
        <f>CT94*VLOOKUP('Données projet'!$B$13,Paramètres!$A$1:$I$89,3,0)*VLOOKUP('Données projet'!$B$13,Paramètres!$A$1:$I$89,5,0)</f>
        <v>9.9316821433603781E-14</v>
      </c>
      <c r="CV94" s="13">
        <f t="shared" si="95"/>
        <v>1.4932118279712753E-12</v>
      </c>
      <c r="CW94" s="20">
        <f t="shared" si="67"/>
        <v>2.7736540643801645E-12</v>
      </c>
      <c r="CX94" s="59">
        <f t="shared" si="68"/>
        <v>293.3333333333361</v>
      </c>
      <c r="CY94" s="59">
        <f ca="1">AVERAGE(OFFSET($CX$3,0,0,'Données projet'!$E$13+1,1))-AVERAGE(OFFSET($H$3,0,0,'Données projet'!$E$13+1,1))</f>
        <v>218.76600554860482</v>
      </c>
      <c r="CZ94" s="59">
        <f t="shared" si="96"/>
        <v>264.34840059907702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30.526906412173247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30.526906412173247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8.4077777777777793</v>
      </c>
      <c r="DO94" s="12">
        <f>IF('Données projet'!$A$166&gt;35,DO93+DN94-DW93,IF(A94&lt;'Données projet'!$A$166,$DL$205^A94,IF(A94='Données projet'!$A$166,'Données projet'!$B$166,DO93+DN94-DW93)))</f>
        <v>301.02777777777743</v>
      </c>
      <c r="DP94" s="17">
        <f>DO94*VLOOKUP('Données projet'!$B$14,Paramètres!$A$1:$I$89,3,0)*VLOOKUP('Données projet'!$B$14,Paramètres!$A$1:$I$89,5,0)</f>
        <v>258.28183333333305</v>
      </c>
      <c r="DQ94" s="13">
        <f t="shared" si="97"/>
        <v>62.355993048743798</v>
      </c>
      <c r="DR94" s="20">
        <f t="shared" si="70"/>
        <v>558.44421428211717</v>
      </c>
      <c r="DS94" s="59">
        <f t="shared" si="71"/>
        <v>851.77754761545043</v>
      </c>
      <c r="DT94" s="59">
        <f ca="1">AVERAGE(OFFSET($DS$3,0,0,'Données projet'!$E$14+1,1))-AVERAGE(OFFSET($H$3,0,0,'Données projet'!$E$14+1,1))</f>
        <v>442.97490100035287</v>
      </c>
      <c r="DU94" s="59">
        <f t="shared" si="98"/>
        <v>334.36243356457049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22.017824270480009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22.017824270480009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5.6843418860808015E-14</v>
      </c>
      <c r="EK94" s="17">
        <f>EJ94*VLOOKUP('Données projet'!$B$15,Paramètres!$A$1:$I$89,3,0)*VLOOKUP('Données projet'!$B$15,Paramètres!$A$1:$I$89,5,0)</f>
        <v>4.4337866711430253E-14</v>
      </c>
      <c r="EL94" s="13">
        <f t="shared" si="99"/>
        <v>7.3222115536967035E-13</v>
      </c>
      <c r="EM94" s="20">
        <f t="shared" si="73"/>
        <v>1.3525069634579169E-12</v>
      </c>
      <c r="EN94" s="59">
        <f t="shared" si="74"/>
        <v>293.33333333333468</v>
      </c>
      <c r="EO94" s="59">
        <f ca="1">AVERAGE(OFFSET($EN$3,0,0,'Données projet'!$E$15+1,1))-AVERAGE(OFFSET($H$3,0,0,'Données projet'!$E$15+1,1))</f>
        <v>288.82868507674738</v>
      </c>
      <c r="EP94" s="59">
        <f t="shared" si="100"/>
        <v>283.48738729114024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53.440168655903562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53.440168655903562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328.55201074501201</v>
      </c>
      <c r="FK94" s="59">
        <f t="shared" si="102"/>
        <v>321.81422611044985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77.190847420917251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77.190847420917251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353.37024194969638</v>
      </c>
      <c r="GF94" s="59">
        <f t="shared" si="104"/>
        <v>345.4750813433123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103.23941641699126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103.23941641699126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1.2710188457276673E-13</v>
      </c>
      <c r="P95" s="13">
        <f t="shared" si="87"/>
        <v>1.856866851063998E-12</v>
      </c>
      <c r="Q95" s="20">
        <f t="shared" si="54"/>
        <v>3.4554122145673649E-12</v>
      </c>
      <c r="R95" s="59">
        <f t="shared" si="55"/>
        <v>293.33333333333678</v>
      </c>
      <c r="S95" s="59">
        <f ca="1">AVERAGE(OFFSET($R$3,0,0,'Données projet'!$E$9+1,1))-AVERAGE(OFFSET($H$3,0,0,'Données projet'!$E$9+1,1))</f>
        <v>404.65492118472037</v>
      </c>
      <c r="T95" s="59">
        <f t="shared" si="88"/>
        <v>534.22295841722166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132.35512194310792</v>
      </c>
      <c r="AA95" s="21">
        <f>EXP(-LN(2)/25)*AA94+(1-EXP(-LN(2)/25))/(LN(2)/25)*Calculateur!V95*Calculateur!X95*VLOOKUP('Données projet'!$B$9,Paramètres!$A$1:$I$89,3,0)*0.475*44/12</f>
        <v>25.630664826872561</v>
      </c>
      <c r="AB95" s="21">
        <f>EXP(-LN(2)/2)*AB94+(1-EXP(-LN(2)/2))/(LN(2)/2)*V95*Y95*VLOOKUP('Données projet'!$B$9,Paramètres!$A$1:$I$89,3,0)*0.475*44/12</f>
        <v>8.0157213936170589E-5</v>
      </c>
      <c r="AC95" s="22">
        <f t="shared" si="57"/>
        <v>157.98586692719442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8.7800000000000011</v>
      </c>
      <c r="AI95" s="13">
        <f>IF('Données projet'!$A$62&gt;35,AI94+AH95-AQ94,IF(A95&lt;'Données projet'!$A$62,$AF$205^A95,IF(A95='Données projet'!$A$62,'Données projet'!$B$62,AI94+AH95-AQ94)))</f>
        <v>272.16000000000008</v>
      </c>
      <c r="AJ95" s="13">
        <f>AI95*VLOOKUP('Données projet'!$B$10,Paramètres!$A$1:$I$89,3,0)*VLOOKUP('Données projet'!$B$10,Paramètres!$A$1:$I$89,5,0)</f>
        <v>127.37088000000004</v>
      </c>
      <c r="AK95" s="13">
        <f t="shared" si="89"/>
        <v>33.388126388800522</v>
      </c>
      <c r="AL95" s="20">
        <f t="shared" si="58"/>
        <v>279.98860279382762</v>
      </c>
      <c r="AM95" s="59">
        <f t="shared" si="59"/>
        <v>573.32193612716094</v>
      </c>
      <c r="AN95" s="59">
        <f ca="1">AVERAGE(OFFSET($AM$3,0,0,'Données projet'!$E$10+1,1))-AVERAGE(OFFSET($H$3,0,0,'Données projet'!$E$10+1,1))</f>
        <v>331.17634116262298</v>
      </c>
      <c r="AO95" s="59">
        <f t="shared" si="90"/>
        <v>286.28916368940605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77.869042489342718</v>
      </c>
      <c r="AV95" s="21">
        <f>EXP(-LN(2)/25)*AV94+(1-EXP(-LN(2)/25))/(LN(2)/25)*Calculateur!AQ95*Calculateur!AS95*VLOOKUP('Données projet'!$B$10,Paramètres!$A$1:$I$89,3,0)*0.475*44/12</f>
        <v>56.538629409483839</v>
      </c>
      <c r="AW95" s="21">
        <f>EXP(-LN(2)/2)*AW94+(1-EXP(-LN(2)/2))/(LN(2)/2)*AQ95*AT95*VLOOKUP('Données projet'!$B$10,Paramètres!$A$1:$I$89,3,0)*0.475*44/12</f>
        <v>18.163469401604754</v>
      </c>
      <c r="AX95" s="21">
        <f t="shared" si="60"/>
        <v>152.57114130043129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1.4210854715202004E-13</v>
      </c>
      <c r="BE95" s="13">
        <f>BD95*VLOOKUP('Données projet'!$B$11,Paramètres!$A$1:$I$89,3,0)*VLOOKUP('Données projet'!$B$11,Paramètres!$A$1:$I$89,5,0)</f>
        <v>7.7591266745002952E-14</v>
      </c>
      <c r="BF95" s="13">
        <f t="shared" si="91"/>
        <v>1.2005788606873384E-12</v>
      </c>
      <c r="BG95" s="20">
        <f t="shared" si="61"/>
        <v>2.226146305277994E-12</v>
      </c>
      <c r="BH95" s="59">
        <f t="shared" si="62"/>
        <v>293.33333333333553</v>
      </c>
      <c r="BI95" s="59">
        <f ca="1">AVERAGE(OFFSET($BH$3,0,0,'Données projet'!$E$11+1,1))-AVERAGE(OFFSET($H$3,0,0,'Données projet'!$E$11+1,1))</f>
        <v>165.87377022031535</v>
      </c>
      <c r="BJ95" s="59">
        <f t="shared" si="92"/>
        <v>272.91122662088929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40.145263899508933</v>
      </c>
      <c r="BQ95" s="21">
        <f>EXP(-LN(2)/25)*BQ94+(1-EXP(-LN(2)/25))/(LN(2)/25)*Calculateur!BL95*Calculateur!BN95*VLOOKUP('Données projet'!$B$11,Paramètres!$A$1:$I$89,3,0)*0.475*44/12</f>
        <v>9.1266129081032084</v>
      </c>
      <c r="BR95" s="21">
        <f>EXP(-LN(2)/2)*BR94+(1-EXP(-LN(2)/2))/(LN(2)/2)*BL95*BO95*VLOOKUP('Données projet'!$B$11,Paramètres!$A$1:$I$89,3,0)*0.475*44/12</f>
        <v>3.8393185860595148E-7</v>
      </c>
      <c r="BS95" s="22">
        <f t="shared" si="63"/>
        <v>49.271877191544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10.231999999999999</v>
      </c>
      <c r="BY95" s="12">
        <f>IF('Données projet'!$A$114&gt;35,BY94+BX95-CG94,IF(A95&lt;'Données projet'!$A$114,$BV$205^A95,IF(A95='Données projet'!$A$114,'Données projet'!$B$114,BY94+BX95-CG94)))</f>
        <v>388.92399999999998</v>
      </c>
      <c r="BZ95" s="13">
        <f>BY95*VLOOKUP('Données projet'!$B$12,Paramètres!$A$1:$I$89,3,0)*VLOOKUP('Données projet'!$B$12,Paramètres!$A$1:$I$89,5,0)</f>
        <v>351.89843519999994</v>
      </c>
      <c r="CA95" s="13">
        <f t="shared" si="93"/>
        <v>81.953295607610755</v>
      </c>
      <c r="CB95" s="20">
        <f t="shared" si="64"/>
        <v>755.62509782325526</v>
      </c>
      <c r="CC95" s="59">
        <f t="shared" si="65"/>
        <v>1048.9584311565886</v>
      </c>
      <c r="CD95" s="59">
        <f ca="1">AVERAGE(OFFSET($CC$3,0,0,'Données projet'!$E$12+1,1))-AVERAGE(OFFSET($H$3,0,0,'Données projet'!$E$12+1,1))</f>
        <v>639.86968831634636</v>
      </c>
      <c r="CE95" s="59">
        <f t="shared" si="94"/>
        <v>218.1556771431184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21.446931105018606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21.446931105018606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1.1368683772161603E-13</v>
      </c>
      <c r="CU95" s="17">
        <f>CT95*VLOOKUP('Données projet'!$B$13,Paramètres!$A$1:$I$89,3,0)*VLOOKUP('Données projet'!$B$13,Paramètres!$A$1:$I$89,5,0)</f>
        <v>9.9316821433603781E-14</v>
      </c>
      <c r="CV95" s="13">
        <f t="shared" si="95"/>
        <v>1.4932118279712753E-12</v>
      </c>
      <c r="CW95" s="20">
        <f t="shared" si="67"/>
        <v>2.7736540643801645E-12</v>
      </c>
      <c r="CX95" s="59">
        <f t="shared" si="68"/>
        <v>293.3333333333361</v>
      </c>
      <c r="CY95" s="59">
        <f ca="1">AVERAGE(OFFSET($CX$3,0,0,'Données projet'!$E$13+1,1))-AVERAGE(OFFSET($H$3,0,0,'Données projet'!$E$13+1,1))</f>
        <v>218.76600554860482</v>
      </c>
      <c r="CZ95" s="59">
        <f t="shared" si="96"/>
        <v>264.34840059907702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29.92829239700491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29.92829239700491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8.4077777777777793</v>
      </c>
      <c r="DO95" s="12">
        <f>IF('Données projet'!$A$166&gt;35,DO94+DN95-DW94,IF(A95&lt;'Données projet'!$A$166,$DL$205^A95,IF(A95='Données projet'!$A$166,'Données projet'!$B$166,DO94+DN95-DW94)))</f>
        <v>309.4355555555552</v>
      </c>
      <c r="DP95" s="17">
        <f>DO95*VLOOKUP('Données projet'!$B$14,Paramètres!$A$1:$I$89,3,0)*VLOOKUP('Données projet'!$B$14,Paramètres!$A$1:$I$89,5,0)</f>
        <v>265.49570666666636</v>
      </c>
      <c r="DQ95" s="13">
        <f t="shared" si="97"/>
        <v>63.892410616758085</v>
      </c>
      <c r="DR95" s="20">
        <f t="shared" si="70"/>
        <v>573.68430426863085</v>
      </c>
      <c r="DS95" s="59">
        <f t="shared" si="71"/>
        <v>867.01763760196422</v>
      </c>
      <c r="DT95" s="59">
        <f ca="1">AVERAGE(OFFSET($DS$3,0,0,'Données projet'!$E$14+1,1))-AVERAGE(OFFSET($H$3,0,0,'Données projet'!$E$14+1,1))</f>
        <v>442.97490100035287</v>
      </c>
      <c r="DU95" s="59">
        <f t="shared" si="98"/>
        <v>334.36243356457049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21.586068166082644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21.586068166082644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5.6843418860808015E-14</v>
      </c>
      <c r="EK95" s="17">
        <f>EJ95*VLOOKUP('Données projet'!$B$15,Paramètres!$A$1:$I$89,3,0)*VLOOKUP('Données projet'!$B$15,Paramètres!$A$1:$I$89,5,0)</f>
        <v>4.4337866711430253E-14</v>
      </c>
      <c r="EL95" s="13">
        <f t="shared" si="99"/>
        <v>7.3222115536967035E-13</v>
      </c>
      <c r="EM95" s="20">
        <f t="shared" si="73"/>
        <v>1.3525069634579169E-12</v>
      </c>
      <c r="EN95" s="59">
        <f t="shared" si="74"/>
        <v>293.33333333333468</v>
      </c>
      <c r="EO95" s="59">
        <f ca="1">AVERAGE(OFFSET($EN$3,0,0,'Données projet'!$E$15+1,1))-AVERAGE(OFFSET($H$3,0,0,'Données projet'!$E$15+1,1))</f>
        <v>288.82868507674738</v>
      </c>
      <c r="EP95" s="59">
        <f t="shared" si="100"/>
        <v>283.48738729114024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52.392239543845655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52.392239543845655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328.55201074501201</v>
      </c>
      <c r="FK95" s="59">
        <f t="shared" si="102"/>
        <v>321.81422611044985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75.677181984761049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75.677181984761049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353.37024194969638</v>
      </c>
      <c r="GF95" s="59">
        <f t="shared" si="104"/>
        <v>345.4750813433123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101.21495443088033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101.21495443088033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1.2710188457276673E-13</v>
      </c>
      <c r="P96" s="13">
        <f t="shared" si="87"/>
        <v>1.856866851063998E-12</v>
      </c>
      <c r="Q96" s="20">
        <f t="shared" si="54"/>
        <v>3.4554122145673649E-12</v>
      </c>
      <c r="R96" s="59">
        <f t="shared" si="55"/>
        <v>293.33333333333678</v>
      </c>
      <c r="S96" s="59">
        <f ca="1">AVERAGE(OFFSET($R$3,0,0,'Données projet'!$E$9+1,1))-AVERAGE(OFFSET($H$3,0,0,'Données projet'!$E$9+1,1))</f>
        <v>404.65492118472037</v>
      </c>
      <c r="T96" s="59">
        <f t="shared" si="88"/>
        <v>534.22295841722166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129.75971873045665</v>
      </c>
      <c r="AA96" s="21">
        <f>EXP(-LN(2)/25)*AA95+(1-EXP(-LN(2)/25))/(LN(2)/25)*Calculateur!V96*Calculateur!X96*VLOOKUP('Données projet'!$B$9,Paramètres!$A$1:$I$89,3,0)*0.475*44/12</f>
        <v>24.929792949323648</v>
      </c>
      <c r="AB96" s="21">
        <f>EXP(-LN(2)/2)*AB95+(1-EXP(-LN(2)/2))/(LN(2)/2)*V96*Y96*VLOOKUP('Données projet'!$B$9,Paramètres!$A$1:$I$89,3,0)*0.475*44/12</f>
        <v>5.6679709535287055E-5</v>
      </c>
      <c r="AC96" s="22">
        <f t="shared" si="57"/>
        <v>154.68956835948984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8.7800000000000011</v>
      </c>
      <c r="AI96" s="13">
        <f>IF('Données projet'!$A$62&gt;35,AI95+AH96-AQ95,IF(A96&lt;'Données projet'!$A$62,$AF$205^A96,IF(A96='Données projet'!$A$62,'Données projet'!$B$62,AI95+AH96-AQ95)))</f>
        <v>280.94000000000005</v>
      </c>
      <c r="AJ96" s="13">
        <f>AI96*VLOOKUP('Données projet'!$B$10,Paramètres!$A$1:$I$89,3,0)*VLOOKUP('Données projet'!$B$10,Paramètres!$A$1:$I$89,5,0)</f>
        <v>131.47992000000002</v>
      </c>
      <c r="AK96" s="13">
        <f t="shared" si="89"/>
        <v>34.338099777715627</v>
      </c>
      <c r="AL96" s="20">
        <f t="shared" si="58"/>
        <v>288.79971777952142</v>
      </c>
      <c r="AM96" s="59">
        <f t="shared" si="59"/>
        <v>582.13305111285467</v>
      </c>
      <c r="AN96" s="59">
        <f ca="1">AVERAGE(OFFSET($AM$3,0,0,'Données projet'!$E$10+1,1))-AVERAGE(OFFSET($H$3,0,0,'Données projet'!$E$10+1,1))</f>
        <v>331.17634116262298</v>
      </c>
      <c r="AO96" s="59">
        <f t="shared" si="90"/>
        <v>286.28916368940605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76.34207806155284</v>
      </c>
      <c r="AV96" s="21">
        <f>EXP(-LN(2)/25)*AV95+(1-EXP(-LN(2)/25))/(LN(2)/25)*Calculateur!AQ96*Calculateur!AS96*VLOOKUP('Données projet'!$B$10,Paramètres!$A$1:$I$89,3,0)*0.475*44/12</f>
        <v>54.992577615044205</v>
      </c>
      <c r="AW96" s="21">
        <f>EXP(-LN(2)/2)*AW95+(1-EXP(-LN(2)/2))/(LN(2)/2)*AQ96*AT96*VLOOKUP('Données projet'!$B$10,Paramètres!$A$1:$I$89,3,0)*0.475*44/12</f>
        <v>12.843512383749085</v>
      </c>
      <c r="AX96" s="21">
        <f t="shared" si="60"/>
        <v>144.17816806034611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1.4210854715202004E-13</v>
      </c>
      <c r="BE96" s="13">
        <f>BD96*VLOOKUP('Données projet'!$B$11,Paramètres!$A$1:$I$89,3,0)*VLOOKUP('Données projet'!$B$11,Paramètres!$A$1:$I$89,5,0)</f>
        <v>7.7591266745002952E-14</v>
      </c>
      <c r="BF96" s="13">
        <f t="shared" si="91"/>
        <v>1.2005788606873384E-12</v>
      </c>
      <c r="BG96" s="20">
        <f t="shared" si="61"/>
        <v>2.226146305277994E-12</v>
      </c>
      <c r="BH96" s="59">
        <f t="shared" si="62"/>
        <v>293.33333333333553</v>
      </c>
      <c r="BI96" s="59">
        <f ca="1">AVERAGE(OFFSET($BH$3,0,0,'Données projet'!$E$11+1,1))-AVERAGE(OFFSET($H$3,0,0,'Données projet'!$E$11+1,1))</f>
        <v>165.87377022031535</v>
      </c>
      <c r="BJ96" s="59">
        <f t="shared" si="92"/>
        <v>272.91122662088929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39.358039760632728</v>
      </c>
      <c r="BQ96" s="21">
        <f>EXP(-LN(2)/25)*BQ95+(1-EXP(-LN(2)/25))/(LN(2)/25)*Calculateur!BL96*Calculateur!BN96*VLOOKUP('Données projet'!$B$11,Paramètres!$A$1:$I$89,3,0)*0.475*44/12</f>
        <v>8.8770451981834118</v>
      </c>
      <c r="BR96" s="21">
        <f>EXP(-LN(2)/2)*BR95+(1-EXP(-LN(2)/2))/(LN(2)/2)*BL96*BO96*VLOOKUP('Données projet'!$B$11,Paramètres!$A$1:$I$89,3,0)*0.475*44/12</f>
        <v>2.7148082073382303E-7</v>
      </c>
      <c r="BS96" s="22">
        <f t="shared" si="63"/>
        <v>48.23508523029696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10.231999999999999</v>
      </c>
      <c r="BY96" s="12">
        <f>IF('Données projet'!$A$114&gt;35,BY95+BX96-CG95,IF(A96&lt;'Données projet'!$A$114,$BV$205^A96,IF(A96='Données projet'!$A$114,'Données projet'!$B$114,BY95+BX96-CG95)))</f>
        <v>399.15599999999995</v>
      </c>
      <c r="BZ96" s="13">
        <f>BY96*VLOOKUP('Données projet'!$B$12,Paramètres!$A$1:$I$89,3,0)*VLOOKUP('Données projet'!$B$12,Paramètres!$A$1:$I$89,5,0)</f>
        <v>361.15634879999993</v>
      </c>
      <c r="CA96" s="13">
        <f t="shared" si="93"/>
        <v>83.855507389556294</v>
      </c>
      <c r="CB96" s="20">
        <f t="shared" si="64"/>
        <v>775.06231619681046</v>
      </c>
      <c r="CC96" s="59">
        <f t="shared" si="65"/>
        <v>1068.3956495301438</v>
      </c>
      <c r="CD96" s="59">
        <f ca="1">AVERAGE(OFFSET($CC$3,0,0,'Données projet'!$E$12+1,1))-AVERAGE(OFFSET($H$3,0,0,'Données projet'!$E$12+1,1))</f>
        <v>639.86968831634636</v>
      </c>
      <c r="CE96" s="59">
        <f t="shared" si="94"/>
        <v>218.1556771431184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21.02636986738549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21.02636986738549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1.1368683772161603E-13</v>
      </c>
      <c r="CU96" s="17">
        <f>CT96*VLOOKUP('Données projet'!$B$13,Paramètres!$A$1:$I$89,3,0)*VLOOKUP('Données projet'!$B$13,Paramètres!$A$1:$I$89,5,0)</f>
        <v>9.9316821433603781E-14</v>
      </c>
      <c r="CV96" s="13">
        <f t="shared" si="95"/>
        <v>1.4932118279712753E-12</v>
      </c>
      <c r="CW96" s="20">
        <f t="shared" si="67"/>
        <v>2.7736540643801645E-12</v>
      </c>
      <c r="CX96" s="59">
        <f t="shared" si="68"/>
        <v>293.3333333333361</v>
      </c>
      <c r="CY96" s="59">
        <f ca="1">AVERAGE(OFFSET($CX$3,0,0,'Données projet'!$E$13+1,1))-AVERAGE(OFFSET($H$3,0,0,'Données projet'!$E$13+1,1))</f>
        <v>218.76600554860482</v>
      </c>
      <c r="CZ96" s="59">
        <f t="shared" si="96"/>
        <v>264.34840059907702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29.341416837555528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29.341416837555528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8.4077777777777793</v>
      </c>
      <c r="DO96" s="12">
        <f>IF('Données projet'!$A$166&gt;35,DO95+DN96-DW95,IF(A96&lt;'Données projet'!$A$166,$DL$205^A96,IF(A96='Données projet'!$A$166,'Données projet'!$B$166,DO95+DN96-DW95)))</f>
        <v>317.84333333333296</v>
      </c>
      <c r="DP96" s="17">
        <f>DO96*VLOOKUP('Données projet'!$B$14,Paramètres!$A$1:$I$89,3,0)*VLOOKUP('Données projet'!$B$14,Paramètres!$A$1:$I$89,5,0)</f>
        <v>272.70957999999973</v>
      </c>
      <c r="DQ96" s="13">
        <f t="shared" si="97"/>
        <v>65.423975935230544</v>
      </c>
      <c r="DR96" s="20">
        <f t="shared" si="70"/>
        <v>588.91594325385938</v>
      </c>
      <c r="DS96" s="59">
        <f t="shared" si="71"/>
        <v>882.24927658719275</v>
      </c>
      <c r="DT96" s="59">
        <f ca="1">AVERAGE(OFFSET($DS$3,0,0,'Données projet'!$E$14+1,1))-AVERAGE(OFFSET($H$3,0,0,'Données projet'!$E$14+1,1))</f>
        <v>442.97490100035287</v>
      </c>
      <c r="DU96" s="59">
        <f t="shared" si="98"/>
        <v>334.36243356457049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21.162778535547289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21.162778535547289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5.6843418860808015E-14</v>
      </c>
      <c r="EK96" s="17">
        <f>EJ96*VLOOKUP('Données projet'!$B$15,Paramètres!$A$1:$I$89,3,0)*VLOOKUP('Données projet'!$B$15,Paramètres!$A$1:$I$89,5,0)</f>
        <v>4.4337866711430253E-14</v>
      </c>
      <c r="EL96" s="13">
        <f t="shared" si="99"/>
        <v>7.3222115536967035E-13</v>
      </c>
      <c r="EM96" s="20">
        <f t="shared" si="73"/>
        <v>1.3525069634579169E-12</v>
      </c>
      <c r="EN96" s="59">
        <f t="shared" si="74"/>
        <v>293.33333333333468</v>
      </c>
      <c r="EO96" s="59">
        <f ca="1">AVERAGE(OFFSET($EN$3,0,0,'Données projet'!$E$15+1,1))-AVERAGE(OFFSET($H$3,0,0,'Données projet'!$E$15+1,1))</f>
        <v>288.82868507674738</v>
      </c>
      <c r="EP96" s="59">
        <f t="shared" si="100"/>
        <v>283.48738729114024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51.36485968250156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51.36485968250156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328.55201074501201</v>
      </c>
      <c r="FK96" s="59">
        <f t="shared" si="102"/>
        <v>321.81422611044985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74.193198604563122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74.193198604563122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353.37024194969638</v>
      </c>
      <c r="GF96" s="59">
        <f t="shared" si="104"/>
        <v>345.4750813433123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99.230190909517134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99.230190909517134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1.2710188457276673E-13</v>
      </c>
      <c r="P97" s="13">
        <f t="shared" si="87"/>
        <v>1.856866851063998E-12</v>
      </c>
      <c r="Q97" s="20">
        <f t="shared" si="54"/>
        <v>3.4554122145673649E-12</v>
      </c>
      <c r="R97" s="59">
        <f t="shared" si="55"/>
        <v>293.33333333333678</v>
      </c>
      <c r="S97" s="59">
        <f ca="1">AVERAGE(OFFSET($R$3,0,0,'Données projet'!$E$9+1,1))-AVERAGE(OFFSET($H$3,0,0,'Données projet'!$E$9+1,1))</f>
        <v>404.65492118472037</v>
      </c>
      <c r="T97" s="59">
        <f t="shared" si="88"/>
        <v>534.22295841722166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127.21520979176584</v>
      </c>
      <c r="AA97" s="21">
        <f>EXP(-LN(2)/25)*AA96+(1-EXP(-LN(2)/25))/(LN(2)/25)*Calculateur!V97*Calculateur!X97*VLOOKUP('Données projet'!$B$9,Paramètres!$A$1:$I$89,3,0)*0.475*44/12</f>
        <v>24.248086450123559</v>
      </c>
      <c r="AB97" s="21">
        <f>EXP(-LN(2)/2)*AB96+(1-EXP(-LN(2)/2))/(LN(2)/2)*V97*Y97*VLOOKUP('Données projet'!$B$9,Paramètres!$A$1:$I$89,3,0)*0.475*44/12</f>
        <v>4.0078606968085295E-5</v>
      </c>
      <c r="AC97" s="22">
        <f t="shared" si="57"/>
        <v>151.46333632049635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8.7800000000000011</v>
      </c>
      <c r="AI97" s="13">
        <f>IF('Données projet'!$A$62&gt;35,AI96+AH97-AQ96,IF(A97&lt;'Données projet'!$A$62,$AF$205^A97,IF(A97='Données projet'!$A$62,'Données projet'!$B$62,AI96+AH97-AQ96)))</f>
        <v>289.72000000000003</v>
      </c>
      <c r="AJ97" s="13">
        <f>AI97*VLOOKUP('Données projet'!$B$10,Paramètres!$A$1:$I$89,3,0)*VLOOKUP('Données projet'!$B$10,Paramètres!$A$1:$I$89,5,0)</f>
        <v>135.58896000000001</v>
      </c>
      <c r="AK97" s="13">
        <f t="shared" si="89"/>
        <v>35.284623077088426</v>
      </c>
      <c r="AL97" s="20">
        <f t="shared" si="58"/>
        <v>297.6048238592623</v>
      </c>
      <c r="AM97" s="59">
        <f t="shared" si="59"/>
        <v>590.93815719259555</v>
      </c>
      <c r="AN97" s="59">
        <f ca="1">AVERAGE(OFFSET($AM$3,0,0,'Données projet'!$E$10+1,1))-AVERAGE(OFFSET($H$3,0,0,'Données projet'!$E$10+1,1))</f>
        <v>331.17634116262298</v>
      </c>
      <c r="AO97" s="59">
        <f t="shared" si="90"/>
        <v>286.28916368940605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74.845056474835587</v>
      </c>
      <c r="AV97" s="21">
        <f>EXP(-LN(2)/25)*AV96+(1-EXP(-LN(2)/25))/(LN(2)/25)*Calculateur!AQ97*Calculateur!AS97*VLOOKUP('Données projet'!$B$10,Paramètres!$A$1:$I$89,3,0)*0.475*44/12</f>
        <v>53.488802688226855</v>
      </c>
      <c r="AW97" s="21">
        <f>EXP(-LN(2)/2)*AW96+(1-EXP(-LN(2)/2))/(LN(2)/2)*AQ97*AT97*VLOOKUP('Données projet'!$B$10,Paramètres!$A$1:$I$89,3,0)*0.475*44/12</f>
        <v>9.0817347008023788</v>
      </c>
      <c r="AX97" s="21">
        <f t="shared" si="60"/>
        <v>137.41559386386481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1.4210854715202004E-13</v>
      </c>
      <c r="BE97" s="13">
        <f>BD97*VLOOKUP('Données projet'!$B$11,Paramètres!$A$1:$I$89,3,0)*VLOOKUP('Données projet'!$B$11,Paramètres!$A$1:$I$89,5,0)</f>
        <v>7.7591266745002952E-14</v>
      </c>
      <c r="BF97" s="13">
        <f t="shared" si="91"/>
        <v>1.2005788606873384E-12</v>
      </c>
      <c r="BG97" s="20">
        <f t="shared" si="61"/>
        <v>2.226146305277994E-12</v>
      </c>
      <c r="BH97" s="59">
        <f t="shared" si="62"/>
        <v>293.33333333333553</v>
      </c>
      <c r="BI97" s="59">
        <f ca="1">AVERAGE(OFFSET($BH$3,0,0,'Données projet'!$E$11+1,1))-AVERAGE(OFFSET($H$3,0,0,'Données projet'!$E$11+1,1))</f>
        <v>165.87377022031535</v>
      </c>
      <c r="BJ97" s="59">
        <f t="shared" si="92"/>
        <v>272.91122662088929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38.586252606960578</v>
      </c>
      <c r="BQ97" s="21">
        <f>EXP(-LN(2)/25)*BQ96+(1-EXP(-LN(2)/25))/(LN(2)/25)*Calculateur!BL97*Calculateur!BN97*VLOOKUP('Données projet'!$B$11,Paramètres!$A$1:$I$89,3,0)*0.475*44/12</f>
        <v>8.6343019304155675</v>
      </c>
      <c r="BR97" s="21">
        <f>EXP(-LN(2)/2)*BR96+(1-EXP(-LN(2)/2))/(LN(2)/2)*BL97*BO97*VLOOKUP('Données projet'!$B$11,Paramètres!$A$1:$I$89,3,0)*0.475*44/12</f>
        <v>1.9196592930297574E-7</v>
      </c>
      <c r="BS97" s="22">
        <f t="shared" si="63"/>
        <v>47.220554729342076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10.231999999999999</v>
      </c>
      <c r="BY97" s="12">
        <f>IF('Données projet'!$A$114&gt;35,BY96+BX97-CG96,IF(A97&lt;'Données projet'!$A$114,$BV$205^A97,IF(A97='Données projet'!$A$114,'Données projet'!$B$114,BY96+BX97-CG96)))</f>
        <v>409.38799999999992</v>
      </c>
      <c r="BZ97" s="13">
        <f>BY97*VLOOKUP('Données projet'!$B$12,Paramètres!$A$1:$I$89,3,0)*VLOOKUP('Données projet'!$B$12,Paramètres!$A$1:$I$89,5,0)</f>
        <v>370.41426239999993</v>
      </c>
      <c r="CA97" s="13">
        <f t="shared" si="93"/>
        <v>85.752051140465099</v>
      </c>
      <c r="CB97" s="20">
        <f t="shared" si="64"/>
        <v>794.48966274964323</v>
      </c>
      <c r="CC97" s="59">
        <f t="shared" si="65"/>
        <v>1087.8229960829765</v>
      </c>
      <c r="CD97" s="59">
        <f ca="1">AVERAGE(OFFSET($CC$3,0,0,'Données projet'!$E$12+1,1))-AVERAGE(OFFSET($H$3,0,0,'Données projet'!$E$12+1,1))</f>
        <v>639.86968831634636</v>
      </c>
      <c r="CE97" s="59">
        <f t="shared" si="94"/>
        <v>218.1556771431184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20.614055579105333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20.614055579105333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1.1368683772161603E-13</v>
      </c>
      <c r="CU97" s="17">
        <f>CT97*VLOOKUP('Données projet'!$B$13,Paramètres!$A$1:$I$89,3,0)*VLOOKUP('Données projet'!$B$13,Paramètres!$A$1:$I$89,5,0)</f>
        <v>9.9316821433603781E-14</v>
      </c>
      <c r="CV97" s="13">
        <f t="shared" si="95"/>
        <v>1.4932118279712753E-12</v>
      </c>
      <c r="CW97" s="20">
        <f t="shared" si="67"/>
        <v>2.7736540643801645E-12</v>
      </c>
      <c r="CX97" s="59">
        <f t="shared" si="68"/>
        <v>293.3333333333361</v>
      </c>
      <c r="CY97" s="59">
        <f ca="1">AVERAGE(OFFSET($CX$3,0,0,'Données projet'!$E$13+1,1))-AVERAGE(OFFSET($H$3,0,0,'Données projet'!$E$13+1,1))</f>
        <v>218.76600554860482</v>
      </c>
      <c r="CZ97" s="59">
        <f t="shared" si="96"/>
        <v>264.34840059907702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28.766049549868203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28.766049549868203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8.4077777777777793</v>
      </c>
      <c r="DO97" s="12">
        <f>IF('Données projet'!$A$166&gt;35,DO96+DN97-DW96,IF(A97&lt;'Données projet'!$A$166,$DL$205^A97,IF(A97='Données projet'!$A$166,'Données projet'!$B$166,DO96+DN97-DW96)))</f>
        <v>326.25111111111073</v>
      </c>
      <c r="DP97" s="17">
        <f>DO97*VLOOKUP('Données projet'!$B$14,Paramètres!$A$1:$I$89,3,0)*VLOOKUP('Données projet'!$B$14,Paramètres!$A$1:$I$89,5,0)</f>
        <v>279.92345333333304</v>
      </c>
      <c r="DQ97" s="13">
        <f t="shared" si="97"/>
        <v>66.950832112578084</v>
      </c>
      <c r="DR97" s="20">
        <f t="shared" si="70"/>
        <v>604.13938048496186</v>
      </c>
      <c r="DS97" s="59">
        <f t="shared" si="71"/>
        <v>897.47271381829523</v>
      </c>
      <c r="DT97" s="59">
        <f ca="1">AVERAGE(OFFSET($DS$3,0,0,'Données projet'!$E$14+1,1))-AVERAGE(OFFSET($H$3,0,0,'Données projet'!$E$14+1,1))</f>
        <v>442.97490100035287</v>
      </c>
      <c r="DU97" s="59">
        <f t="shared" si="98"/>
        <v>334.36243356457049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20.747789356485551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20.747789356485551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5.6843418860808015E-14</v>
      </c>
      <c r="EK97" s="17">
        <f>EJ97*VLOOKUP('Données projet'!$B$15,Paramètres!$A$1:$I$89,3,0)*VLOOKUP('Données projet'!$B$15,Paramètres!$A$1:$I$89,5,0)</f>
        <v>4.4337866711430253E-14</v>
      </c>
      <c r="EL97" s="13">
        <f t="shared" si="99"/>
        <v>7.3222115536967035E-13</v>
      </c>
      <c r="EM97" s="20">
        <f t="shared" si="73"/>
        <v>1.3525069634579169E-12</v>
      </c>
      <c r="EN97" s="59">
        <f t="shared" si="74"/>
        <v>293.33333333333468</v>
      </c>
      <c r="EO97" s="59">
        <f ca="1">AVERAGE(OFFSET($EN$3,0,0,'Données projet'!$E$15+1,1))-AVERAGE(OFFSET($H$3,0,0,'Données projet'!$E$15+1,1))</f>
        <v>288.82868507674738</v>
      </c>
      <c r="EP97" s="59">
        <f t="shared" si="100"/>
        <v>283.48738729114024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50.357626113598585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50.357626113598585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328.55201074501201</v>
      </c>
      <c r="FK97" s="59">
        <f t="shared" si="102"/>
        <v>321.81422611044985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72.738315233310388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72.738315233310388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353.37024194969638</v>
      </c>
      <c r="GF97" s="59">
        <f t="shared" si="104"/>
        <v>345.4750813433123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97.284347390221669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97.284347390221669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1.2710188457276673E-13</v>
      </c>
      <c r="P98" s="13">
        <f t="shared" si="87"/>
        <v>1.856866851063998E-12</v>
      </c>
      <c r="Q98" s="20">
        <f t="shared" si="54"/>
        <v>3.4554122145673649E-12</v>
      </c>
      <c r="R98" s="59">
        <f t="shared" si="55"/>
        <v>293.33333333333678</v>
      </c>
      <c r="S98" s="59">
        <f ca="1">AVERAGE(OFFSET($R$3,0,0,'Données projet'!$E$9+1,1))-AVERAGE(OFFSET($H$3,0,0,'Données projet'!$E$9+1,1))</f>
        <v>404.65492118472037</v>
      </c>
      <c r="T98" s="59">
        <f t="shared" si="88"/>
        <v>534.22295841722166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124.72059712136556</v>
      </c>
      <c r="AA98" s="21">
        <f>EXP(-LN(2)/25)*AA97+(1-EXP(-LN(2)/25))/(LN(2)/25)*Calculateur!V98*Calculateur!X98*VLOOKUP('Données projet'!$B$9,Paramètres!$A$1:$I$89,3,0)*0.475*44/12</f>
        <v>23.585021250993485</v>
      </c>
      <c r="AB98" s="21">
        <f>EXP(-LN(2)/2)*AB97+(1-EXP(-LN(2)/2))/(LN(2)/2)*V98*Y98*VLOOKUP('Données projet'!$B$9,Paramètres!$A$1:$I$89,3,0)*0.475*44/12</f>
        <v>2.8339854767643528E-5</v>
      </c>
      <c r="AC98" s="22">
        <f t="shared" si="57"/>
        <v>148.30564671221381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8.7800000000000011</v>
      </c>
      <c r="AI98" s="13">
        <f>IF('Données projet'!$A$62&gt;35,AI97+AH98-AQ97,IF(A98&lt;'Données projet'!$A$62,$AF$205^A98,IF(A98='Données projet'!$A$62,'Données projet'!$B$62,AI97+AH98-AQ97)))</f>
        <v>298.5</v>
      </c>
      <c r="AJ98" s="13">
        <f>AI98*VLOOKUP('Données projet'!$B$10,Paramètres!$A$1:$I$89,3,0)*VLOOKUP('Données projet'!$B$10,Paramètres!$A$1:$I$89,5,0)</f>
        <v>139.69800000000001</v>
      </c>
      <c r="AK98" s="13">
        <f t="shared" si="89"/>
        <v>36.227812843101376</v>
      </c>
      <c r="AL98" s="20">
        <f t="shared" si="58"/>
        <v>306.40412403506821</v>
      </c>
      <c r="AM98" s="59">
        <f t="shared" si="59"/>
        <v>599.73745736840146</v>
      </c>
      <c r="AN98" s="59">
        <f ca="1">AVERAGE(OFFSET($AM$3,0,0,'Données projet'!$E$10+1,1))-AVERAGE(OFFSET($H$3,0,0,'Données projet'!$E$10+1,1))</f>
        <v>331.17634116262298</v>
      </c>
      <c r="AO98" s="59">
        <f t="shared" si="90"/>
        <v>286.28916368940605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73.377390568340857</v>
      </c>
      <c r="AV98" s="21">
        <f>EXP(-LN(2)/25)*AV97+(1-EXP(-LN(2)/25))/(LN(2)/25)*Calculateur!AQ98*Calculateur!AS98*VLOOKUP('Données projet'!$B$10,Paramètres!$A$1:$I$89,3,0)*0.475*44/12</f>
        <v>52.026148565863409</v>
      </c>
      <c r="AW98" s="21">
        <f>EXP(-LN(2)/2)*AW97+(1-EXP(-LN(2)/2))/(LN(2)/2)*AQ98*AT98*VLOOKUP('Données projet'!$B$10,Paramètres!$A$1:$I$89,3,0)*0.475*44/12</f>
        <v>6.4217561918745441</v>
      </c>
      <c r="AX98" s="21">
        <f t="shared" si="60"/>
        <v>131.82529532607882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1.4210854715202004E-13</v>
      </c>
      <c r="BE98" s="13">
        <f>BD98*VLOOKUP('Données projet'!$B$11,Paramètres!$A$1:$I$89,3,0)*VLOOKUP('Données projet'!$B$11,Paramètres!$A$1:$I$89,5,0)</f>
        <v>7.7591266745002952E-14</v>
      </c>
      <c r="BF98" s="13">
        <f t="shared" si="91"/>
        <v>1.2005788606873384E-12</v>
      </c>
      <c r="BG98" s="20">
        <f t="shared" si="61"/>
        <v>2.226146305277994E-12</v>
      </c>
      <c r="BH98" s="59">
        <f t="shared" si="62"/>
        <v>293.33333333333553</v>
      </c>
      <c r="BI98" s="59">
        <f ca="1">AVERAGE(OFFSET($BH$3,0,0,'Données projet'!$E$11+1,1))-AVERAGE(OFFSET($H$3,0,0,'Données projet'!$E$11+1,1))</f>
        <v>165.87377022031535</v>
      </c>
      <c r="BJ98" s="59">
        <f t="shared" si="92"/>
        <v>272.91122662088929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37.829599728628253</v>
      </c>
      <c r="BQ98" s="21">
        <f>EXP(-LN(2)/25)*BQ97+(1-EXP(-LN(2)/25))/(LN(2)/25)*Calculateur!BL98*Calculateur!BN98*VLOOKUP('Données projet'!$B$11,Paramètres!$A$1:$I$89,3,0)*0.475*44/12</f>
        <v>8.3981964900701485</v>
      </c>
      <c r="BR98" s="21">
        <f>EXP(-LN(2)/2)*BR97+(1-EXP(-LN(2)/2))/(LN(2)/2)*BL98*BO98*VLOOKUP('Données projet'!$B$11,Paramètres!$A$1:$I$89,3,0)*0.475*44/12</f>
        <v>1.3574041036691151E-7</v>
      </c>
      <c r="BS98" s="22">
        <f t="shared" si="63"/>
        <v>46.227796354438809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10.231999999999999</v>
      </c>
      <c r="BY98" s="12">
        <f>IF('Données projet'!$A$114&gt;35,BY97+BX98-CG97,IF(A98&lt;'Données projet'!$A$114,$BV$205^A98,IF(A98='Données projet'!$A$114,'Données projet'!$B$114,BY97+BX98-CG97)))</f>
        <v>419.61999999999989</v>
      </c>
      <c r="BZ98" s="13">
        <f>BY98*VLOOKUP('Données projet'!$B$12,Paramètres!$A$1:$I$89,3,0)*VLOOKUP('Données projet'!$B$12,Paramètres!$A$1:$I$89,5,0)</f>
        <v>379.67217599999992</v>
      </c>
      <c r="CA98" s="13">
        <f t="shared" si="93"/>
        <v>87.643084816789937</v>
      </c>
      <c r="CB98" s="20">
        <f t="shared" si="64"/>
        <v>813.90741258924243</v>
      </c>
      <c r="CC98" s="59">
        <f t="shared" si="65"/>
        <v>1107.2407459225758</v>
      </c>
      <c r="CD98" s="59">
        <f ca="1">AVERAGE(OFFSET($CC$3,0,0,'Données projet'!$E$12+1,1))-AVERAGE(OFFSET($H$3,0,0,'Données projet'!$E$12+1,1))</f>
        <v>639.86968831634636</v>
      </c>
      <c r="CE98" s="59">
        <f t="shared" si="94"/>
        <v>218.1556771431184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20.209826522531468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20.209826522531468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1.1368683772161603E-13</v>
      </c>
      <c r="CU98" s="17">
        <f>CT98*VLOOKUP('Données projet'!$B$13,Paramètres!$A$1:$I$89,3,0)*VLOOKUP('Données projet'!$B$13,Paramètres!$A$1:$I$89,5,0)</f>
        <v>9.9316821433603781E-14</v>
      </c>
      <c r="CV98" s="13">
        <f t="shared" si="95"/>
        <v>1.4932118279712753E-12</v>
      </c>
      <c r="CW98" s="20">
        <f t="shared" si="67"/>
        <v>2.7736540643801645E-12</v>
      </c>
      <c r="CX98" s="59">
        <f t="shared" si="68"/>
        <v>293.3333333333361</v>
      </c>
      <c r="CY98" s="59">
        <f ca="1">AVERAGE(OFFSET($CX$3,0,0,'Données projet'!$E$13+1,1))-AVERAGE(OFFSET($H$3,0,0,'Données projet'!$E$13+1,1))</f>
        <v>218.76600554860482</v>
      </c>
      <c r="CZ98" s="59">
        <f t="shared" si="96"/>
        <v>264.34840059907702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28.201964863753034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28.201964863753034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8.4077777777777793</v>
      </c>
      <c r="DO98" s="12">
        <f>IF('Données projet'!$A$166&gt;35,DO97+DN98-DW97,IF(A98&lt;'Données projet'!$A$166,$DL$205^A98,IF(A98='Données projet'!$A$166,'Données projet'!$B$166,DO97+DN98-DW97)))</f>
        <v>334.6588888888885</v>
      </c>
      <c r="DP98" s="17">
        <f>DO98*VLOOKUP('Données projet'!$B$14,Paramètres!$A$1:$I$89,3,0)*VLOOKUP('Données projet'!$B$14,Paramètres!$A$1:$I$89,5,0)</f>
        <v>287.13732666666635</v>
      </c>
      <c r="DQ98" s="13">
        <f t="shared" si="97"/>
        <v>68.473114460963259</v>
      </c>
      <c r="DR98" s="20">
        <f t="shared" si="70"/>
        <v>619.35485163062151</v>
      </c>
      <c r="DS98" s="59">
        <f t="shared" si="71"/>
        <v>912.68818496395488</v>
      </c>
      <c r="DT98" s="59">
        <f ca="1">AVERAGE(OFFSET($DS$3,0,0,'Données projet'!$E$14+1,1))-AVERAGE(OFFSET($H$3,0,0,'Données projet'!$E$14+1,1))</f>
        <v>442.97490100035287</v>
      </c>
      <c r="DU98" s="59">
        <f t="shared" si="98"/>
        <v>334.36243356457049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20.340937862106809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20.340937862106809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5.6843418860808015E-14</v>
      </c>
      <c r="EK98" s="17">
        <f>EJ98*VLOOKUP('Données projet'!$B$15,Paramètres!$A$1:$I$89,3,0)*VLOOKUP('Données projet'!$B$15,Paramètres!$A$1:$I$89,5,0)</f>
        <v>4.4337866711430253E-14</v>
      </c>
      <c r="EL98" s="13">
        <f t="shared" si="99"/>
        <v>7.3222115536967035E-13</v>
      </c>
      <c r="EM98" s="20">
        <f t="shared" si="73"/>
        <v>1.3525069634579169E-12</v>
      </c>
      <c r="EN98" s="59">
        <f t="shared" si="74"/>
        <v>293.33333333333468</v>
      </c>
      <c r="EO98" s="59">
        <f ca="1">AVERAGE(OFFSET($EN$3,0,0,'Données projet'!$E$15+1,1))-AVERAGE(OFFSET($H$3,0,0,'Données projet'!$E$15+1,1))</f>
        <v>288.82868507674738</v>
      </c>
      <c r="EP98" s="59">
        <f t="shared" si="100"/>
        <v>283.48738729114024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49.370143780629981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49.370143780629981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328.55201074501201</v>
      </c>
      <c r="FK98" s="59">
        <f t="shared" si="102"/>
        <v>321.81422611044985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71.311961237576682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71.311961237576682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353.37024194969638</v>
      </c>
      <c r="GF98" s="59">
        <f t="shared" si="104"/>
        <v>345.4750813433123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95.376660675492232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95.376660675492232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1.2710188457276673E-13</v>
      </c>
      <c r="P99" s="13">
        <f t="shared" si="87"/>
        <v>1.856866851063998E-12</v>
      </c>
      <c r="Q99" s="20">
        <f t="shared" ref="Q99:Q130" si="107">(O99+P99)*0.475*44/12</f>
        <v>3.4554122145673649E-12</v>
      </c>
      <c r="R99" s="59">
        <f t="shared" si="55"/>
        <v>293.33333333333678</v>
      </c>
      <c r="S99" s="59">
        <f ca="1">AVERAGE(OFFSET($R$3,0,0,'Données projet'!$E$9+1,1))-AVERAGE(OFFSET($H$3,0,0,'Données projet'!$E$9+1,1))</f>
        <v>404.65492118472037</v>
      </c>
      <c r="T99" s="59">
        <f t="shared" si="88"/>
        <v>534.22295841722166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122.27490228386833</v>
      </c>
      <c r="AA99" s="21">
        <f>EXP(-LN(2)/25)*AA98+(1-EXP(-LN(2)/25))/(LN(2)/25)*Calculateur!V99*Calculateur!X99*VLOOKUP('Données projet'!$B$9,Paramètres!$A$1:$I$89,3,0)*0.475*44/12</f>
        <v>22.940087604602706</v>
      </c>
      <c r="AB99" s="21">
        <f>EXP(-LN(2)/2)*AB98+(1-EXP(-LN(2)/2))/(LN(2)/2)*V99*Y99*VLOOKUP('Données projet'!$B$9,Paramètres!$A$1:$I$89,3,0)*0.475*44/12</f>
        <v>2.0039303484042647E-5</v>
      </c>
      <c r="AC99" s="22">
        <f t="shared" si="57"/>
        <v>145.2150099277745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8.7800000000000011</v>
      </c>
      <c r="AI99" s="13">
        <f>IF('Données projet'!$A$62&gt;35,AI98+AH99-AQ98,IF(A99&lt;'Données projet'!$A$62,$AF$205^A99,IF(A99='Données projet'!$A$62,'Données projet'!$B$62,AI98+AH99-AQ98)))</f>
        <v>307.27999999999997</v>
      </c>
      <c r="AJ99" s="13">
        <f>AI99*VLOOKUP('Données projet'!$B$10,Paramètres!$A$1:$I$89,3,0)*VLOOKUP('Données projet'!$B$10,Paramètres!$A$1:$I$89,5,0)</f>
        <v>143.80704</v>
      </c>
      <c r="AK99" s="13">
        <f t="shared" si="89"/>
        <v>37.167778385413669</v>
      </c>
      <c r="AL99" s="20">
        <f t="shared" si="58"/>
        <v>315.19780868792878</v>
      </c>
      <c r="AM99" s="59">
        <f t="shared" si="59"/>
        <v>608.5311420212621</v>
      </c>
      <c r="AN99" s="59">
        <f ca="1">AVERAGE(OFFSET($AM$3,0,0,'Données projet'!$E$10+1,1))-AVERAGE(OFFSET($H$3,0,0,'Données projet'!$E$10+1,1))</f>
        <v>331.17634116262298</v>
      </c>
      <c r="AO99" s="59">
        <f t="shared" si="90"/>
        <v>286.28916368940605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71.938504695084674</v>
      </c>
      <c r="AV99" s="21">
        <f>EXP(-LN(2)/25)*AV98+(1-EXP(-LN(2)/25))/(LN(2)/25)*Calculateur!AQ99*Calculateur!AS99*VLOOKUP('Données projet'!$B$10,Paramètres!$A$1:$I$89,3,0)*0.475*44/12</f>
        <v>50.603490797393626</v>
      </c>
      <c r="AW99" s="21">
        <f>EXP(-LN(2)/2)*AW98+(1-EXP(-LN(2)/2))/(LN(2)/2)*AQ99*AT99*VLOOKUP('Données projet'!$B$10,Paramètres!$A$1:$I$89,3,0)*0.475*44/12</f>
        <v>4.5408673504011903</v>
      </c>
      <c r="AX99" s="21">
        <f t="shared" si="60"/>
        <v>127.08286284287948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1.4210854715202004E-13</v>
      </c>
      <c r="BE99" s="13">
        <f>BD99*VLOOKUP('Données projet'!$B$11,Paramètres!$A$1:$I$89,3,0)*VLOOKUP('Données projet'!$B$11,Paramètres!$A$1:$I$89,5,0)</f>
        <v>7.7591266745002952E-14</v>
      </c>
      <c r="BF99" s="13">
        <f t="shared" si="91"/>
        <v>1.2005788606873384E-12</v>
      </c>
      <c r="BG99" s="20">
        <f t="shared" si="61"/>
        <v>2.226146305277994E-12</v>
      </c>
      <c r="BH99" s="59">
        <f t="shared" si="62"/>
        <v>293.33333333333553</v>
      </c>
      <c r="BI99" s="59">
        <f ca="1">AVERAGE(OFFSET($BH$3,0,0,'Données projet'!$E$11+1,1))-AVERAGE(OFFSET($H$3,0,0,'Données projet'!$E$11+1,1))</f>
        <v>165.87377022031535</v>
      </c>
      <c r="BJ99" s="59">
        <f t="shared" si="92"/>
        <v>272.91122662088929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37.087784351727343</v>
      </c>
      <c r="BQ99" s="21">
        <f>EXP(-LN(2)/25)*BQ98+(1-EXP(-LN(2)/25))/(LN(2)/25)*Calculateur!BL99*Calculateur!BN99*VLOOKUP('Données projet'!$B$11,Paramètres!$A$1:$I$89,3,0)*0.475*44/12</f>
        <v>8.1685473654072212</v>
      </c>
      <c r="BR99" s="21">
        <f>EXP(-LN(2)/2)*BR98+(1-EXP(-LN(2)/2))/(LN(2)/2)*BL99*BO99*VLOOKUP('Données projet'!$B$11,Paramètres!$A$1:$I$89,3,0)*0.475*44/12</f>
        <v>9.5982964651487869E-8</v>
      </c>
      <c r="BS99" s="22">
        <f t="shared" si="63"/>
        <v>45.256331813117527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10.231999999999999</v>
      </c>
      <c r="BY99" s="12">
        <f>IF('Données projet'!$A$114&gt;35,BY98+BX99-CG98,IF(A99&lt;'Données projet'!$A$114,$BV$205^A99,IF(A99='Données projet'!$A$114,'Données projet'!$B$114,BY98+BX99-CG98)))</f>
        <v>429.85199999999986</v>
      </c>
      <c r="BZ99" s="13">
        <f>BY99*VLOOKUP('Données projet'!$B$12,Paramètres!$A$1:$I$89,3,0)*VLOOKUP('Données projet'!$B$12,Paramètres!$A$1:$I$89,5,0)</f>
        <v>388.93008959999986</v>
      </c>
      <c r="CA99" s="13">
        <f t="shared" si="93"/>
        <v>89.528758232573395</v>
      </c>
      <c r="CB99" s="20">
        <f t="shared" si="64"/>
        <v>833.31582664173175</v>
      </c>
      <c r="CC99" s="59">
        <f t="shared" si="65"/>
        <v>1126.649159975065</v>
      </c>
      <c r="CD99" s="59">
        <f ca="1">AVERAGE(OFFSET($CC$3,0,0,'Données projet'!$E$12+1,1))-AVERAGE(OFFSET($H$3,0,0,'Données projet'!$E$12+1,1))</f>
        <v>639.86968831634636</v>
      </c>
      <c r="CE99" s="59">
        <f t="shared" si="94"/>
        <v>218.1556771431184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19.813524151201637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19.813524151201637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1.1368683772161603E-13</v>
      </c>
      <c r="CU99" s="17">
        <f>CT99*VLOOKUP('Données projet'!$B$13,Paramètres!$A$1:$I$89,3,0)*VLOOKUP('Données projet'!$B$13,Paramètres!$A$1:$I$89,5,0)</f>
        <v>9.9316821433603781E-14</v>
      </c>
      <c r="CV99" s="13">
        <f t="shared" si="95"/>
        <v>1.4932118279712753E-12</v>
      </c>
      <c r="CW99" s="20">
        <f t="shared" si="67"/>
        <v>2.7736540643801645E-12</v>
      </c>
      <c r="CX99" s="59">
        <f t="shared" si="68"/>
        <v>293.3333333333361</v>
      </c>
      <c r="CY99" s="59">
        <f ca="1">AVERAGE(OFFSET($CX$3,0,0,'Données projet'!$E$13+1,1))-AVERAGE(OFFSET($H$3,0,0,'Données projet'!$E$13+1,1))</f>
        <v>218.76600554860482</v>
      </c>
      <c r="CZ99" s="59">
        <f t="shared" si="96"/>
        <v>264.34840059907702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27.648941534274897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27.648941534274897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8.4077777777777793</v>
      </c>
      <c r="DO99" s="12">
        <f>IF('Données projet'!$A$166&gt;35,DO98+DN99-DW98,IF(A99&lt;'Données projet'!$A$166,$DL$205^A99,IF(A99='Données projet'!$A$166,'Données projet'!$B$166,DO98+DN99-DW98)))</f>
        <v>343.06666666666626</v>
      </c>
      <c r="DP99" s="17">
        <f>DO99*VLOOKUP('Données projet'!$B$14,Paramètres!$A$1:$I$89,3,0)*VLOOKUP('Données projet'!$B$14,Paramètres!$A$1:$I$89,5,0)</f>
        <v>294.35119999999972</v>
      </c>
      <c r="DQ99" s="13">
        <f t="shared" si="97"/>
        <v>69.990951106066689</v>
      </c>
      <c r="DR99" s="20">
        <f t="shared" si="70"/>
        <v>634.56257984306558</v>
      </c>
      <c r="DS99" s="59">
        <f t="shared" si="71"/>
        <v>927.89591317639884</v>
      </c>
      <c r="DT99" s="59">
        <f ca="1">AVERAGE(OFFSET($DS$3,0,0,'Données projet'!$E$14+1,1))-AVERAGE(OFFSET($H$3,0,0,'Données projet'!$E$14+1,1))</f>
        <v>442.97490100035287</v>
      </c>
      <c r="DU99" s="59">
        <f t="shared" si="98"/>
        <v>334.36243356457049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19.942064477377926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19.942064477377926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5.6843418860808015E-14</v>
      </c>
      <c r="EK99" s="17">
        <f>EJ99*VLOOKUP('Données projet'!$B$15,Paramètres!$A$1:$I$89,3,0)*VLOOKUP('Données projet'!$B$15,Paramètres!$A$1:$I$89,5,0)</f>
        <v>4.4337866711430253E-14</v>
      </c>
      <c r="EL99" s="13">
        <f t="shared" si="99"/>
        <v>7.3222115536967035E-13</v>
      </c>
      <c r="EM99" s="20">
        <f t="shared" si="73"/>
        <v>1.3525069634579169E-12</v>
      </c>
      <c r="EN99" s="59">
        <f t="shared" si="74"/>
        <v>293.33333333333468</v>
      </c>
      <c r="EO99" s="59">
        <f ca="1">AVERAGE(OFFSET($EN$3,0,0,'Données projet'!$E$15+1,1))-AVERAGE(OFFSET($H$3,0,0,'Données projet'!$E$15+1,1))</f>
        <v>288.82868507674738</v>
      </c>
      <c r="EP99" s="59">
        <f t="shared" si="100"/>
        <v>283.48738729114024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48.402025373906142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48.402025373906142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328.55201074501201</v>
      </c>
      <c r="FK99" s="59">
        <f t="shared" si="102"/>
        <v>321.81422611044985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69.913577173709285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69.913577173709285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353.37024194969638</v>
      </c>
      <c r="GF99" s="59">
        <f t="shared" si="104"/>
        <v>345.4750813433123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93.506382533664635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93.506382533664635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1.2710188457276673E-13</v>
      </c>
      <c r="P100" s="13">
        <f t="shared" si="87"/>
        <v>1.856866851063998E-12</v>
      </c>
      <c r="Q100" s="20">
        <f t="shared" si="107"/>
        <v>3.4554122145673649E-12</v>
      </c>
      <c r="R100" s="59">
        <f t="shared" si="55"/>
        <v>293.33333333333678</v>
      </c>
      <c r="S100" s="59">
        <f ca="1">AVERAGE(OFFSET($R$3,0,0,'Données projet'!$E$9+1,1))-AVERAGE(OFFSET($H$3,0,0,'Données projet'!$E$9+1,1))</f>
        <v>404.65492118472037</v>
      </c>
      <c r="T100" s="59">
        <f t="shared" si="88"/>
        <v>534.22295841722166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119.87716603040786</v>
      </c>
      <c r="AA100" s="21">
        <f>EXP(-LN(2)/25)*AA99+(1-EXP(-LN(2)/25))/(LN(2)/25)*Calculateur!V100*Calculateur!X100*VLOOKUP('Données projet'!$B$9,Paramètres!$A$1:$I$89,3,0)*0.475*44/12</f>
        <v>22.312789702688068</v>
      </c>
      <c r="AB100" s="21">
        <f>EXP(-LN(2)/2)*AB99+(1-EXP(-LN(2)/2))/(LN(2)/2)*V100*Y100*VLOOKUP('Données projet'!$B$9,Paramètres!$A$1:$I$89,3,0)*0.475*44/12</f>
        <v>1.4169927383821764E-5</v>
      </c>
      <c r="AC100" s="22">
        <f t="shared" si="57"/>
        <v>142.18996990302333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8.7800000000000011</v>
      </c>
      <c r="AI100" s="13">
        <f>IF('Données projet'!$A$62&gt;35,AI99+AH100-AQ99,IF(A100&lt;'Données projet'!$A$62,$AF$205^A100,IF(A100='Données projet'!$A$62,'Données projet'!$B$62,AI99+AH100-AQ99)))</f>
        <v>316.05999999999995</v>
      </c>
      <c r="AJ100" s="13">
        <f>AI100*VLOOKUP('Données projet'!$B$10,Paramètres!$A$1:$I$89,3,0)*VLOOKUP('Données projet'!$B$10,Paramètres!$A$1:$I$89,5,0)</f>
        <v>147.91607999999999</v>
      </c>
      <c r="AK100" s="13">
        <f t="shared" si="89"/>
        <v>38.10462241171755</v>
      </c>
      <c r="AL100" s="20">
        <f t="shared" si="58"/>
        <v>323.98605670040803</v>
      </c>
      <c r="AM100" s="59">
        <f t="shared" si="59"/>
        <v>617.31939003374134</v>
      </c>
      <c r="AN100" s="59">
        <f ca="1">AVERAGE(OFFSET($AM$3,0,0,'Données projet'!$E$10+1,1))-AVERAGE(OFFSET($H$3,0,0,'Données projet'!$E$10+1,1))</f>
        <v>331.17634116262298</v>
      </c>
      <c r="AO100" s="59">
        <f t="shared" si="90"/>
        <v>286.28916368940605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70.527834496169319</v>
      </c>
      <c r="AV100" s="21">
        <f>EXP(-LN(2)/25)*AV99+(1-EXP(-LN(2)/25))/(LN(2)/25)*Calculateur!AQ100*Calculateur!AS100*VLOOKUP('Données projet'!$B$10,Paramètres!$A$1:$I$89,3,0)*0.475*44/12</f>
        <v>49.219735680416974</v>
      </c>
      <c r="AW100" s="21">
        <f>EXP(-LN(2)/2)*AW99+(1-EXP(-LN(2)/2))/(LN(2)/2)*AQ100*AT100*VLOOKUP('Données projet'!$B$10,Paramètres!$A$1:$I$89,3,0)*0.475*44/12</f>
        <v>3.2108780959372725</v>
      </c>
      <c r="AX100" s="21">
        <f t="shared" si="60"/>
        <v>122.95844827252357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1.4210854715202004E-13</v>
      </c>
      <c r="BE100" s="13">
        <f>BD100*VLOOKUP('Données projet'!$B$11,Paramètres!$A$1:$I$89,3,0)*VLOOKUP('Données projet'!$B$11,Paramètres!$A$1:$I$89,5,0)</f>
        <v>7.7591266745002952E-14</v>
      </c>
      <c r="BF100" s="13">
        <f t="shared" si="91"/>
        <v>1.2005788606873384E-12</v>
      </c>
      <c r="BG100" s="20">
        <f t="shared" si="61"/>
        <v>2.226146305277994E-12</v>
      </c>
      <c r="BH100" s="59">
        <f t="shared" si="62"/>
        <v>293.33333333333553</v>
      </c>
      <c r="BI100" s="59">
        <f ca="1">AVERAGE(OFFSET($BH$3,0,0,'Données projet'!$E$11+1,1))-AVERAGE(OFFSET($H$3,0,0,'Données projet'!$E$11+1,1))</f>
        <v>165.87377022031535</v>
      </c>
      <c r="BJ100" s="59">
        <f t="shared" si="92"/>
        <v>272.91122662088929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36.360515521904759</v>
      </c>
      <c r="BQ100" s="21">
        <f>EXP(-LN(2)/25)*BQ99+(1-EXP(-LN(2)/25))/(LN(2)/25)*Calculateur!BL100*Calculateur!BN100*VLOOKUP('Données projet'!$B$11,Paramètres!$A$1:$I$89,3,0)*0.475*44/12</f>
        <v>7.9451780081349241</v>
      </c>
      <c r="BR100" s="21">
        <f>EXP(-LN(2)/2)*BR99+(1-EXP(-LN(2)/2))/(LN(2)/2)*BL100*BO100*VLOOKUP('Données projet'!$B$11,Paramètres!$A$1:$I$89,3,0)*0.475*44/12</f>
        <v>6.7870205183455757E-8</v>
      </c>
      <c r="BS100" s="22">
        <f t="shared" si="63"/>
        <v>44.305693597909887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10.231999999999999</v>
      </c>
      <c r="BY100" s="12">
        <f>IF('Données projet'!$A$114&gt;35,BY99+BX100-CG99,IF(A100&lt;'Données projet'!$A$114,$BV$205^A100,IF(A100='Données projet'!$A$114,'Données projet'!$B$114,BY99+BX100-CG99)))</f>
        <v>440.08399999999983</v>
      </c>
      <c r="BZ100" s="13">
        <f>BY100*VLOOKUP('Données projet'!$B$12,Paramètres!$A$1:$I$89,3,0)*VLOOKUP('Données projet'!$B$12,Paramètres!$A$1:$I$89,5,0)</f>
        <v>398.1880031999998</v>
      </c>
      <c r="CA100" s="13">
        <f t="shared" si="93"/>
        <v>91.409213662856459</v>
      </c>
      <c r="CB100" s="20">
        <f t="shared" si="64"/>
        <v>852.71515270280804</v>
      </c>
      <c r="CC100" s="59">
        <f t="shared" si="65"/>
        <v>1146.0484860361414</v>
      </c>
      <c r="CD100" s="59">
        <f ca="1">AVERAGE(OFFSET($CC$3,0,0,'Données projet'!$E$12+1,1))-AVERAGE(OFFSET($H$3,0,0,'Données projet'!$E$12+1,1))</f>
        <v>639.86968831634636</v>
      </c>
      <c r="CE100" s="59">
        <f t="shared" si="94"/>
        <v>218.1556771431184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19.424993027653006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19.424993027653006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1.1368683772161603E-13</v>
      </c>
      <c r="CU100" s="17">
        <f>CT100*VLOOKUP('Données projet'!$B$13,Paramètres!$A$1:$I$89,3,0)*VLOOKUP('Données projet'!$B$13,Paramètres!$A$1:$I$89,5,0)</f>
        <v>9.9316821433603781E-14</v>
      </c>
      <c r="CV100" s="13">
        <f t="shared" si="95"/>
        <v>1.4932118279712753E-12</v>
      </c>
      <c r="CW100" s="20">
        <f t="shared" si="67"/>
        <v>2.7736540643801645E-12</v>
      </c>
      <c r="CX100" s="59">
        <f t="shared" si="68"/>
        <v>293.3333333333361</v>
      </c>
      <c r="CY100" s="59">
        <f ca="1">AVERAGE(OFFSET($CX$3,0,0,'Données projet'!$E$13+1,1))-AVERAGE(OFFSET($H$3,0,0,'Données projet'!$E$13+1,1))</f>
        <v>218.76600554860482</v>
      </c>
      <c r="CZ100" s="59">
        <f t="shared" si="96"/>
        <v>264.34840059907702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27.106762654976901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27.106762654976901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8.4077777777777793</v>
      </c>
      <c r="DO100" s="12">
        <f>IF('Données projet'!$A$166&gt;35,DO99+DN100-DW99,IF(A100&lt;'Données projet'!$A$166,$DL$205^A100,IF(A100='Données projet'!$A$166,'Données projet'!$B$166,DO99+DN100-DW99)))</f>
        <v>351.47444444444403</v>
      </c>
      <c r="DP100" s="17">
        <f>DO100*VLOOKUP('Données projet'!$B$14,Paramètres!$A$1:$I$89,3,0)*VLOOKUP('Données projet'!$B$14,Paramètres!$A$1:$I$89,5,0)</f>
        <v>301.56507333333303</v>
      </c>
      <c r="DQ100" s="13">
        <f t="shared" si="97"/>
        <v>71.504463535398941</v>
      </c>
      <c r="DR100" s="20">
        <f t="shared" si="70"/>
        <v>649.76277671304149</v>
      </c>
      <c r="DS100" s="59">
        <f t="shared" si="71"/>
        <v>943.09611004637486</v>
      </c>
      <c r="DT100" s="59">
        <f ca="1">AVERAGE(OFFSET($DS$3,0,0,'Données projet'!$E$14+1,1))-AVERAGE(OFFSET($H$3,0,0,'Données projet'!$E$14+1,1))</f>
        <v>442.97490100035287</v>
      </c>
      <c r="DU100" s="59">
        <f t="shared" si="98"/>
        <v>334.36243356457049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19.551012756434833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19.551012756434833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5.6843418860808015E-14</v>
      </c>
      <c r="EK100" s="17">
        <f>EJ100*VLOOKUP('Données projet'!$B$15,Paramètres!$A$1:$I$89,3,0)*VLOOKUP('Données projet'!$B$15,Paramètres!$A$1:$I$89,5,0)</f>
        <v>4.4337866711430253E-14</v>
      </c>
      <c r="EL100" s="13">
        <f t="shared" si="99"/>
        <v>7.3222115536967035E-13</v>
      </c>
      <c r="EM100" s="20">
        <f t="shared" si="73"/>
        <v>1.3525069634579169E-12</v>
      </c>
      <c r="EN100" s="59">
        <f t="shared" si="74"/>
        <v>293.33333333333468</v>
      </c>
      <c r="EO100" s="59">
        <f ca="1">AVERAGE(OFFSET($EN$3,0,0,'Données projet'!$E$15+1,1))-AVERAGE(OFFSET($H$3,0,0,'Données projet'!$E$15+1,1))</f>
        <v>288.82868507674738</v>
      </c>
      <c r="EP100" s="59">
        <f t="shared" si="100"/>
        <v>283.48738729114024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47.452891178644236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47.452891178644236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328.55201074501201</v>
      </c>
      <c r="FK100" s="59">
        <f t="shared" si="102"/>
        <v>321.81422611044985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68.542614568404275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68.542614568404275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353.37024194969638</v>
      </c>
      <c r="GF100" s="59">
        <f t="shared" si="104"/>
        <v>345.4750813433123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91.672779405441247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91.672779405441247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1.2710188457276673E-13</v>
      </c>
      <c r="P101" s="13">
        <f t="shared" si="87"/>
        <v>1.856866851063998E-12</v>
      </c>
      <c r="Q101" s="20">
        <f t="shared" si="107"/>
        <v>3.4554122145673649E-12</v>
      </c>
      <c r="R101" s="59">
        <f t="shared" si="55"/>
        <v>293.33333333333678</v>
      </c>
      <c r="S101" s="59">
        <f ca="1">AVERAGE(OFFSET($R$3,0,0,'Données projet'!$E$9+1,1))-AVERAGE(OFFSET($H$3,0,0,'Données projet'!$E$9+1,1))</f>
        <v>404.65492118472037</v>
      </c>
      <c r="T101" s="59">
        <f t="shared" si="88"/>
        <v>534.22295841722166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117.52644792240305</v>
      </c>
      <c r="AA101" s="21">
        <f>EXP(-LN(2)/25)*AA100+(1-EXP(-LN(2)/25))/(LN(2)/25)*Calculateur!V101*Calculateur!X101*VLOOKUP('Données projet'!$B$9,Paramètres!$A$1:$I$89,3,0)*0.475*44/12</f>
        <v>21.70264529488945</v>
      </c>
      <c r="AB101" s="21">
        <f>EXP(-LN(2)/2)*AB100+(1-EXP(-LN(2)/2))/(LN(2)/2)*V101*Y101*VLOOKUP('Données projet'!$B$9,Paramètres!$A$1:$I$89,3,0)*0.475*44/12</f>
        <v>1.0019651742021324E-5</v>
      </c>
      <c r="AC101" s="22">
        <f t="shared" si="57"/>
        <v>139.22910323694424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8.7800000000000011</v>
      </c>
      <c r="AI101" s="13">
        <f>IF('Données projet'!$A$62&gt;35,AI100+AH101-AQ100,IF(A101&lt;'Données projet'!$A$62,$AF$205^A101,IF(A101='Données projet'!$A$62,'Données projet'!$B$62,AI100+AH101-AQ100)))</f>
        <v>324.83999999999992</v>
      </c>
      <c r="AJ101" s="13">
        <f>AI101*VLOOKUP('Données projet'!$B$10,Paramètres!$A$1:$I$89,3,0)*VLOOKUP('Données projet'!$B$10,Paramètres!$A$1:$I$89,5,0)</f>
        <v>152.02511999999996</v>
      </c>
      <c r="AK101" s="13">
        <f t="shared" si="89"/>
        <v>39.038441598659134</v>
      </c>
      <c r="AL101" s="20">
        <f t="shared" si="58"/>
        <v>332.76903645099787</v>
      </c>
      <c r="AM101" s="59">
        <f t="shared" si="59"/>
        <v>626.10236978433113</v>
      </c>
      <c r="AN101" s="59">
        <f ca="1">AVERAGE(OFFSET($AM$3,0,0,'Données projet'!$E$10+1,1))-AVERAGE(OFFSET($H$3,0,0,'Données projet'!$E$10+1,1))</f>
        <v>331.17634116262298</v>
      </c>
      <c r="AO101" s="59">
        <f t="shared" si="90"/>
        <v>286.28916368940605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69.144826679430835</v>
      </c>
      <c r="AV101" s="21">
        <f>EXP(-LN(2)/25)*AV100+(1-EXP(-LN(2)/25))/(LN(2)/25)*Calculateur!AQ101*Calculateur!AS101*VLOOKUP('Données projet'!$B$10,Paramètres!$A$1:$I$89,3,0)*0.475*44/12</f>
        <v>47.873819419882565</v>
      </c>
      <c r="AW101" s="21">
        <f>EXP(-LN(2)/2)*AW100+(1-EXP(-LN(2)/2))/(LN(2)/2)*AQ101*AT101*VLOOKUP('Données projet'!$B$10,Paramètres!$A$1:$I$89,3,0)*0.475*44/12</f>
        <v>2.2704336752005956</v>
      </c>
      <c r="AX101" s="21">
        <f t="shared" si="60"/>
        <v>119.28907977451399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1.4210854715202004E-13</v>
      </c>
      <c r="BE101" s="13">
        <f>BD101*VLOOKUP('Données projet'!$B$11,Paramètres!$A$1:$I$89,3,0)*VLOOKUP('Données projet'!$B$11,Paramètres!$A$1:$I$89,5,0)</f>
        <v>7.7591266745002952E-14</v>
      </c>
      <c r="BF101" s="13">
        <f t="shared" si="91"/>
        <v>1.2005788606873384E-12</v>
      </c>
      <c r="BG101" s="20">
        <f t="shared" si="61"/>
        <v>2.226146305277994E-12</v>
      </c>
      <c r="BH101" s="59">
        <f t="shared" si="62"/>
        <v>293.33333333333553</v>
      </c>
      <c r="BI101" s="59">
        <f ca="1">AVERAGE(OFFSET($BH$3,0,0,'Données projet'!$E$11+1,1))-AVERAGE(OFFSET($H$3,0,0,'Données projet'!$E$11+1,1))</f>
        <v>165.87377022031535</v>
      </c>
      <c r="BJ101" s="59">
        <f t="shared" si="92"/>
        <v>272.91122662088929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35.647507990244804</v>
      </c>
      <c r="BQ101" s="21">
        <f>EXP(-LN(2)/25)*BQ100+(1-EXP(-LN(2)/25))/(LN(2)/25)*Calculateur!BL101*Calculateur!BN101*VLOOKUP('Données projet'!$B$11,Paramètres!$A$1:$I$89,3,0)*0.475*44/12</f>
        <v>7.7279166976837219</v>
      </c>
      <c r="BR101" s="21">
        <f>EXP(-LN(2)/2)*BR100+(1-EXP(-LN(2)/2))/(LN(2)/2)*BL101*BO101*VLOOKUP('Données projet'!$B$11,Paramètres!$A$1:$I$89,3,0)*0.475*44/12</f>
        <v>4.7991482325743935E-8</v>
      </c>
      <c r="BS101" s="22">
        <f t="shared" si="63"/>
        <v>43.375424735920014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10.231999999999999</v>
      </c>
      <c r="BY101" s="12">
        <f>IF('Données projet'!$A$114&gt;35,BY100+BX101-CG100,IF(A101&lt;'Données projet'!$A$114,$BV$205^A101,IF(A101='Données projet'!$A$114,'Données projet'!$B$114,BY100+BX101-CG100)))</f>
        <v>450.3159999999998</v>
      </c>
      <c r="BZ101" s="13">
        <f>BY101*VLOOKUP('Données projet'!$B$12,Paramètres!$A$1:$I$89,3,0)*VLOOKUP('Données projet'!$B$12,Paramètres!$A$1:$I$89,5,0)</f>
        <v>407.44591679999979</v>
      </c>
      <c r="CA101" s="13">
        <f t="shared" si="93"/>
        <v>93.284586389388039</v>
      </c>
      <c r="CB101" s="20">
        <f t="shared" si="64"/>
        <v>872.10562638818374</v>
      </c>
      <c r="CC101" s="59">
        <f t="shared" si="65"/>
        <v>1165.438959721517</v>
      </c>
      <c r="CD101" s="59">
        <f ca="1">AVERAGE(OFFSET($CC$3,0,0,'Données projet'!$E$12+1,1))-AVERAGE(OFFSET($H$3,0,0,'Données projet'!$E$12+1,1))</f>
        <v>639.86968831634636</v>
      </c>
      <c r="CE101" s="59">
        <f t="shared" si="94"/>
        <v>218.1556771431184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19.044080762456577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19.044080762456577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1.1368683772161603E-13</v>
      </c>
      <c r="CU101" s="17">
        <f>CT101*VLOOKUP('Données projet'!$B$13,Paramètres!$A$1:$I$89,3,0)*VLOOKUP('Données projet'!$B$13,Paramètres!$A$1:$I$89,5,0)</f>
        <v>9.9316821433603781E-14</v>
      </c>
      <c r="CV101" s="13">
        <f t="shared" si="95"/>
        <v>1.4932118279712753E-12</v>
      </c>
      <c r="CW101" s="20">
        <f t="shared" si="67"/>
        <v>2.7736540643801645E-12</v>
      </c>
      <c r="CX101" s="59">
        <f t="shared" si="68"/>
        <v>293.3333333333361</v>
      </c>
      <c r="CY101" s="59">
        <f ca="1">AVERAGE(OFFSET($CX$3,0,0,'Données projet'!$E$13+1,1))-AVERAGE(OFFSET($H$3,0,0,'Données projet'!$E$13+1,1))</f>
        <v>218.76600554860482</v>
      </c>
      <c r="CZ101" s="59">
        <f t="shared" si="96"/>
        <v>264.34840059907702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26.575215572805476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26.575215572805476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8.4077777777777793</v>
      </c>
      <c r="DO101" s="12">
        <f>IF('Données projet'!$A$166&gt;35,DO100+DN101-DW100,IF(A101&lt;'Données projet'!$A$166,$DL$205^A101,IF(A101='Données projet'!$A$166,'Données projet'!$B$166,DO100+DN101-DW100)))</f>
        <v>359.8822222222218</v>
      </c>
      <c r="DP101" s="17">
        <f>DO101*VLOOKUP('Données projet'!$B$14,Paramètres!$A$1:$I$89,3,0)*VLOOKUP('Données projet'!$B$14,Paramètres!$A$1:$I$89,5,0)</f>
        <v>308.77894666666634</v>
      </c>
      <c r="DQ101" s="13">
        <f t="shared" si="97"/>
        <v>73.013767092670278</v>
      </c>
      <c r="DR101" s="20">
        <f t="shared" si="70"/>
        <v>664.95564313084458</v>
      </c>
      <c r="DS101" s="59">
        <f t="shared" si="71"/>
        <v>958.28897646417795</v>
      </c>
      <c r="DT101" s="59">
        <f ca="1">AVERAGE(OFFSET($DS$3,0,0,'Données projet'!$E$14+1,1))-AVERAGE(OFFSET($H$3,0,0,'Données projet'!$E$14+1,1))</f>
        <v>442.97490100035287</v>
      </c>
      <c r="DU101" s="59">
        <f t="shared" si="98"/>
        <v>334.36243356457049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19.167629321221437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19.167629321221437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5.6843418860808015E-14</v>
      </c>
      <c r="EK101" s="17">
        <f>EJ101*VLOOKUP('Données projet'!$B$15,Paramètres!$A$1:$I$89,3,0)*VLOOKUP('Données projet'!$B$15,Paramètres!$A$1:$I$89,5,0)</f>
        <v>4.4337866711430253E-14</v>
      </c>
      <c r="EL101" s="13">
        <f t="shared" si="99"/>
        <v>7.3222115536967035E-13</v>
      </c>
      <c r="EM101" s="20">
        <f t="shared" si="73"/>
        <v>1.3525069634579169E-12</v>
      </c>
      <c r="EN101" s="59">
        <f t="shared" si="74"/>
        <v>293.33333333333468</v>
      </c>
      <c r="EO101" s="59">
        <f ca="1">AVERAGE(OFFSET($EN$3,0,0,'Données projet'!$E$15+1,1))-AVERAGE(OFFSET($H$3,0,0,'Données projet'!$E$15+1,1))</f>
        <v>288.82868507674738</v>
      </c>
      <c r="EP101" s="59">
        <f t="shared" si="100"/>
        <v>283.48738729114024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46.522368926036719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46.522368926036719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328.55201074501201</v>
      </c>
      <c r="FK101" s="59">
        <f t="shared" si="102"/>
        <v>321.81422611044985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67.198535703584668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67.198535703584668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353.37024194969638</v>
      </c>
      <c r="GF101" s="59">
        <f t="shared" si="104"/>
        <v>345.4750813433123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89.875132116174839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89.875132116174839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1.2710188457276673E-13</v>
      </c>
      <c r="P102" s="13">
        <f t="shared" si="87"/>
        <v>1.856866851063998E-12</v>
      </c>
      <c r="Q102" s="20">
        <f t="shared" si="107"/>
        <v>3.4554122145673649E-12</v>
      </c>
      <c r="R102" s="59">
        <f t="shared" si="55"/>
        <v>293.33333333333678</v>
      </c>
      <c r="S102" s="59">
        <f ca="1">AVERAGE(OFFSET($R$3,0,0,'Données projet'!$E$9+1,1))-AVERAGE(OFFSET($H$3,0,0,'Données projet'!$E$9+1,1))</f>
        <v>404.65492118472037</v>
      </c>
      <c r="T102" s="59">
        <f t="shared" si="88"/>
        <v>534.22295841722166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115.22182596269975</v>
      </c>
      <c r="AA102" s="21">
        <f>EXP(-LN(2)/25)*AA101+(1-EXP(-LN(2)/25))/(LN(2)/25)*Calculateur!V102*Calculateur!X102*VLOOKUP('Données projet'!$B$9,Paramètres!$A$1:$I$89,3,0)*0.475*44/12</f>
        <v>21.109185318008183</v>
      </c>
      <c r="AB102" s="21">
        <f>EXP(-LN(2)/2)*AB101+(1-EXP(-LN(2)/2))/(LN(2)/2)*V102*Y102*VLOOKUP('Données projet'!$B$9,Paramètres!$A$1:$I$89,3,0)*0.475*44/12</f>
        <v>7.0849636919108819E-6</v>
      </c>
      <c r="AC102" s="22">
        <f t="shared" si="57"/>
        <v>136.33101836567164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8.7800000000000011</v>
      </c>
      <c r="AI102" s="13">
        <f>IF('Données projet'!$A$62&gt;35,AI101+AH102-AQ101,IF(A102&lt;'Données projet'!$A$62,$AF$205^A102,IF(A102='Données projet'!$A$62,'Données projet'!$B$62,AI101+AH102-AQ101)))</f>
        <v>333.61999999999989</v>
      </c>
      <c r="AJ102" s="13">
        <f>AI102*VLOOKUP('Données projet'!$B$10,Paramètres!$A$1:$I$89,3,0)*VLOOKUP('Données projet'!$B$10,Paramètres!$A$1:$I$89,5,0)</f>
        <v>156.13415999999995</v>
      </c>
      <c r="AK102" s="13">
        <f t="shared" si="89"/>
        <v>39.969327099298738</v>
      </c>
      <c r="AL102" s="20">
        <f t="shared" si="58"/>
        <v>341.54690669794519</v>
      </c>
      <c r="AM102" s="59">
        <f t="shared" si="59"/>
        <v>634.8802400312785</v>
      </c>
      <c r="AN102" s="59">
        <f ca="1">AVERAGE(OFFSET($AM$3,0,0,'Données projet'!$E$10+1,1))-AVERAGE(OFFSET($H$3,0,0,'Données projet'!$E$10+1,1))</f>
        <v>331.17634116262298</v>
      </c>
      <c r="AO102" s="59">
        <f t="shared" si="90"/>
        <v>286.28916368940605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67.788938802427111</v>
      </c>
      <c r="AV102" s="21">
        <f>EXP(-LN(2)/25)*AV101+(1-EXP(-LN(2)/25))/(LN(2)/25)*Calculateur!AQ102*Calculateur!AS102*VLOOKUP('Données projet'!$B$10,Paramètres!$A$1:$I$89,3,0)*0.475*44/12</f>
        <v>46.564707310271132</v>
      </c>
      <c r="AW102" s="21">
        <f>EXP(-LN(2)/2)*AW101+(1-EXP(-LN(2)/2))/(LN(2)/2)*AQ102*AT102*VLOOKUP('Données projet'!$B$10,Paramètres!$A$1:$I$89,3,0)*0.475*44/12</f>
        <v>1.6054390479686365</v>
      </c>
      <c r="AX102" s="21">
        <f t="shared" si="60"/>
        <v>115.95908516066687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1.4210854715202004E-13</v>
      </c>
      <c r="BE102" s="13">
        <f>BD102*VLOOKUP('Données projet'!$B$11,Paramètres!$A$1:$I$89,3,0)*VLOOKUP('Données projet'!$B$11,Paramètres!$A$1:$I$89,5,0)</f>
        <v>7.7591266745002952E-14</v>
      </c>
      <c r="BF102" s="13">
        <f t="shared" si="91"/>
        <v>1.2005788606873384E-12</v>
      </c>
      <c r="BG102" s="20">
        <f t="shared" si="61"/>
        <v>2.226146305277994E-12</v>
      </c>
      <c r="BH102" s="59">
        <f t="shared" si="62"/>
        <v>293.33333333333553</v>
      </c>
      <c r="BI102" s="59">
        <f ca="1">AVERAGE(OFFSET($BH$3,0,0,'Données projet'!$E$11+1,1))-AVERAGE(OFFSET($H$3,0,0,'Données projet'!$E$11+1,1))</f>
        <v>165.87377022031535</v>
      </c>
      <c r="BJ102" s="59">
        <f t="shared" si="92"/>
        <v>272.91122662088929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34.948482101389054</v>
      </c>
      <c r="BQ102" s="21">
        <f>EXP(-LN(2)/25)*BQ101+(1-EXP(-LN(2)/25))/(LN(2)/25)*Calculateur!BL102*Calculateur!BN102*VLOOKUP('Données projet'!$B$11,Paramètres!$A$1:$I$89,3,0)*0.475*44/12</f>
        <v>7.5165964091920836</v>
      </c>
      <c r="BR102" s="21">
        <f>EXP(-LN(2)/2)*BR101+(1-EXP(-LN(2)/2))/(LN(2)/2)*BL102*BO102*VLOOKUP('Données projet'!$B$11,Paramètres!$A$1:$I$89,3,0)*0.475*44/12</f>
        <v>3.3935102591727878E-8</v>
      </c>
      <c r="BS102" s="22">
        <f t="shared" si="63"/>
        <v>42.465078544516238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10.231999999999999</v>
      </c>
      <c r="BY102" s="12">
        <f>IF('Données projet'!$A$114&gt;35,BY101+BX102-CG101,IF(A102&lt;'Données projet'!$A$114,$BV$205^A102,IF(A102='Données projet'!$A$114,'Données projet'!$B$114,BY101+BX102-CG101)))</f>
        <v>460.54799999999977</v>
      </c>
      <c r="BZ102" s="13">
        <f>BY102*VLOOKUP('Données projet'!$B$12,Paramètres!$A$1:$I$89,3,0)*VLOOKUP('Données projet'!$B$12,Paramètres!$A$1:$I$89,5,0)</f>
        <v>416.70383039999973</v>
      </c>
      <c r="CA102" s="13">
        <f t="shared" si="93"/>
        <v>95.155005195339001</v>
      </c>
      <c r="CB102" s="20">
        <f t="shared" si="64"/>
        <v>891.48747199521495</v>
      </c>
      <c r="CC102" s="59">
        <f t="shared" si="65"/>
        <v>1184.8208053285482</v>
      </c>
      <c r="CD102" s="59">
        <f ca="1">AVERAGE(OFFSET($CC$3,0,0,'Données projet'!$E$12+1,1))-AVERAGE(OFFSET($H$3,0,0,'Données projet'!$E$12+1,1))</f>
        <v>639.86968831634636</v>
      </c>
      <c r="CE102" s="59">
        <f t="shared" si="94"/>
        <v>218.1556771431184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18.670637954447109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18.670637954447109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1.1368683772161603E-13</v>
      </c>
      <c r="CU102" s="17">
        <f>CT102*VLOOKUP('Données projet'!$B$13,Paramètres!$A$1:$I$89,3,0)*VLOOKUP('Données projet'!$B$13,Paramètres!$A$1:$I$89,5,0)</f>
        <v>9.9316821433603781E-14</v>
      </c>
      <c r="CV102" s="13">
        <f t="shared" si="95"/>
        <v>1.4932118279712753E-12</v>
      </c>
      <c r="CW102" s="20">
        <f t="shared" si="67"/>
        <v>2.7736540643801645E-12</v>
      </c>
      <c r="CX102" s="59">
        <f t="shared" si="68"/>
        <v>293.3333333333361</v>
      </c>
      <c r="CY102" s="59">
        <f ca="1">AVERAGE(OFFSET($CX$3,0,0,'Données projet'!$E$13+1,1))-AVERAGE(OFFSET($H$3,0,0,'Données projet'!$E$13+1,1))</f>
        <v>218.76600554860482</v>
      </c>
      <c r="CZ102" s="59">
        <f t="shared" si="96"/>
        <v>264.34840059907702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26.054091804703727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26.054091804703727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368.29</v>
      </c>
      <c r="DM102" s="12">
        <f>VLOOKUP(A102,'Données projet'!$A$165:$I$185,9,0)</f>
        <v>8.4077777777777793</v>
      </c>
      <c r="DN102" s="12">
        <f t="array" ref="DN102">INDEX(DM:DM,MIN(IF(ISNUMBER(DM102:DM298),ROW(DM102:DM298),"")))</f>
        <v>8.4077777777777793</v>
      </c>
      <c r="DO102" s="12">
        <f>IF('Données projet'!$A$166&gt;35,DO101+DN102-DW101,IF(A102&lt;'Données projet'!$A$166,$DL$205^A102,IF(A102='Données projet'!$A$166,'Données projet'!$B$166,DO101+DN102-DW101)))</f>
        <v>368.28999999999957</v>
      </c>
      <c r="DP102" s="17">
        <f>DO102*VLOOKUP('Données projet'!$B$14,Paramètres!$A$1:$I$89,3,0)*VLOOKUP('Données projet'!$B$14,Paramètres!$A$1:$I$89,5,0)</f>
        <v>315.99281999999965</v>
      </c>
      <c r="DQ102" s="13">
        <f t="shared" si="97"/>
        <v>74.518971424658773</v>
      </c>
      <c r="DR102" s="20">
        <f t="shared" si="70"/>
        <v>680.1413700646134</v>
      </c>
      <c r="DS102" s="59">
        <f t="shared" si="71"/>
        <v>973.47470339794677</v>
      </c>
      <c r="DT102" s="59">
        <f ca="1">AVERAGE(OFFSET($DS$3,0,0,'Données projet'!$E$14+1,1))-AVERAGE(OFFSET($H$3,0,0,'Données projet'!$E$14+1,1))</f>
        <v>442.97490100035287</v>
      </c>
      <c r="DU102" s="59">
        <f t="shared" si="98"/>
        <v>334.36243356457049</v>
      </c>
      <c r="DV102" s="15">
        <f>IF(ISNA(VLOOKUP(A102,'Données projet'!$A$165:$I$185,3,0)),0,VLOOKUP(A102,'Données projet'!$A$165:$I$185,3,0))</f>
        <v>8</v>
      </c>
      <c r="DW102" s="15">
        <f>IF(ISNA(VLOOKUP(A102,'Données projet'!$A$165:$I$185,4,0)),0,VLOOKUP(A102,'Données projet'!$A$165:$I$185,4,0))</f>
        <v>70.61</v>
      </c>
      <c r="DX102" s="16">
        <f>IF(ISNA(VLOOKUP(A102,'Données projet'!$A$165:$I$185,5,0)),0%,VLOOKUP(A102,'Données projet'!$A$165:$I$185,5,0)*VLOOKUP('Données projet'!$B$14,Paramètres!$A$1:$I$89,7,0))</f>
        <v>0.159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29.440491802368008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29.440491802368008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5.6843418860808015E-14</v>
      </c>
      <c r="EK102" s="17">
        <f>EJ102*VLOOKUP('Données projet'!$B$15,Paramètres!$A$1:$I$89,3,0)*VLOOKUP('Données projet'!$B$15,Paramètres!$A$1:$I$89,5,0)</f>
        <v>4.4337866711430253E-14</v>
      </c>
      <c r="EL102" s="13">
        <f t="shared" si="99"/>
        <v>7.3222115536967035E-13</v>
      </c>
      <c r="EM102" s="20">
        <f t="shared" si="73"/>
        <v>1.3525069634579169E-12</v>
      </c>
      <c r="EN102" s="59">
        <f t="shared" si="74"/>
        <v>293.33333333333468</v>
      </c>
      <c r="EO102" s="59">
        <f ca="1">AVERAGE(OFFSET($EN$3,0,0,'Données projet'!$E$15+1,1))-AVERAGE(OFFSET($H$3,0,0,'Données projet'!$E$15+1,1))</f>
        <v>288.82868507674738</v>
      </c>
      <c r="EP102" s="59">
        <f t="shared" si="100"/>
        <v>283.48738729114024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45.610093647240305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45.610093647240305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328.55201074501201</v>
      </c>
      <c r="FK102" s="59">
        <f t="shared" si="102"/>
        <v>321.81422611044985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65.880813405497022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65.880813405497022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353.37024194969638</v>
      </c>
      <c r="GF102" s="59">
        <f t="shared" si="104"/>
        <v>345.4750813433123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88.112735593794369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88.112735593794369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1.2710188457276673E-13</v>
      </c>
      <c r="P103" s="13">
        <f t="shared" si="87"/>
        <v>1.856866851063998E-12</v>
      </c>
      <c r="Q103" s="20">
        <f t="shared" si="107"/>
        <v>3.4554122145673649E-12</v>
      </c>
      <c r="R103" s="59">
        <f t="shared" si="55"/>
        <v>293.33333333333678</v>
      </c>
      <c r="S103" s="59">
        <f ca="1">AVERAGE(OFFSET($R$3,0,0,'Données projet'!$E$9+1,1))-AVERAGE(OFFSET($H$3,0,0,'Données projet'!$E$9+1,1))</f>
        <v>404.65492118472037</v>
      </c>
      <c r="T103" s="59">
        <f t="shared" si="88"/>
        <v>534.22295841722166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112.96239623394564</v>
      </c>
      <c r="AA103" s="21">
        <f>EXP(-LN(2)/25)*AA102+(1-EXP(-LN(2)/25))/(LN(2)/25)*Calculateur!V103*Calculateur!X103*VLOOKUP('Données projet'!$B$9,Paramètres!$A$1:$I$89,3,0)*0.475*44/12</f>
        <v>20.531953535403439</v>
      </c>
      <c r="AB103" s="21">
        <f>EXP(-LN(2)/2)*AB102+(1-EXP(-LN(2)/2))/(LN(2)/2)*V103*Y103*VLOOKUP('Données projet'!$B$9,Paramètres!$A$1:$I$89,3,0)*0.475*44/12</f>
        <v>5.0098258710106618E-6</v>
      </c>
      <c r="AC103" s="22">
        <f t="shared" si="57"/>
        <v>133.49435477917496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8.7800000000000011</v>
      </c>
      <c r="AI103" s="13">
        <f>IF('Données projet'!$A$62&gt;35,AI102+AH103-AQ102,IF(A103&lt;'Données projet'!$A$62,$AF$205^A103,IF(A103='Données projet'!$A$62,'Données projet'!$B$62,AI102+AH103-AQ102)))</f>
        <v>342.39999999999986</v>
      </c>
      <c r="AJ103" s="13">
        <f>AI103*VLOOKUP('Données projet'!$B$10,Paramètres!$A$1:$I$89,3,0)*VLOOKUP('Données projet'!$B$10,Paramètres!$A$1:$I$89,5,0)</f>
        <v>160.24319999999994</v>
      </c>
      <c r="AK103" s="13">
        <f t="shared" si="89"/>
        <v>40.897364995647678</v>
      </c>
      <c r="AL103" s="20">
        <f t="shared" si="58"/>
        <v>350.3198173674196</v>
      </c>
      <c r="AM103" s="59">
        <f t="shared" si="59"/>
        <v>643.65315070075292</v>
      </c>
      <c r="AN103" s="59">
        <f ca="1">AVERAGE(OFFSET($AM$3,0,0,'Données projet'!$E$10+1,1))-AVERAGE(OFFSET($H$3,0,0,'Données projet'!$E$10+1,1))</f>
        <v>331.17634116262298</v>
      </c>
      <c r="AO103" s="59">
        <f t="shared" si="90"/>
        <v>286.28916368940605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66.459639059681493</v>
      </c>
      <c r="AV103" s="21">
        <f>EXP(-LN(2)/25)*AV102+(1-EXP(-LN(2)/25))/(LN(2)/25)*Calculateur!AQ103*Calculateur!AS103*VLOOKUP('Données projet'!$B$10,Paramètres!$A$1:$I$89,3,0)*0.475*44/12</f>
        <v>45.291392940140234</v>
      </c>
      <c r="AW103" s="21">
        <f>EXP(-LN(2)/2)*AW102+(1-EXP(-LN(2)/2))/(LN(2)/2)*AQ103*AT103*VLOOKUP('Données projet'!$B$10,Paramètres!$A$1:$I$89,3,0)*0.475*44/12</f>
        <v>1.1352168376002978</v>
      </c>
      <c r="AX103" s="21">
        <f t="shared" si="60"/>
        <v>112.88624883742202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1.4210854715202004E-13</v>
      </c>
      <c r="BE103" s="13">
        <f>BD103*VLOOKUP('Données projet'!$B$11,Paramètres!$A$1:$I$89,3,0)*VLOOKUP('Données projet'!$B$11,Paramètres!$A$1:$I$89,5,0)</f>
        <v>7.7591266745002952E-14</v>
      </c>
      <c r="BF103" s="13">
        <f t="shared" si="91"/>
        <v>1.2005788606873384E-12</v>
      </c>
      <c r="BG103" s="20">
        <f t="shared" si="61"/>
        <v>2.226146305277994E-12</v>
      </c>
      <c r="BH103" s="59">
        <f t="shared" si="62"/>
        <v>293.33333333333553</v>
      </c>
      <c r="BI103" s="59">
        <f ca="1">AVERAGE(OFFSET($BH$3,0,0,'Données projet'!$E$11+1,1))-AVERAGE(OFFSET($H$3,0,0,'Données projet'!$E$11+1,1))</f>
        <v>165.87377022031535</v>
      </c>
      <c r="BJ103" s="59">
        <f t="shared" si="92"/>
        <v>272.91122662088929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34.263163683850067</v>
      </c>
      <c r="BQ103" s="21">
        <f>EXP(-LN(2)/25)*BQ102+(1-EXP(-LN(2)/25))/(LN(2)/25)*Calculateur!BL103*Calculateur!BN103*VLOOKUP('Données projet'!$B$11,Paramètres!$A$1:$I$89,3,0)*0.475*44/12</f>
        <v>7.3110546851021008</v>
      </c>
      <c r="BR103" s="21">
        <f>EXP(-LN(2)/2)*BR102+(1-EXP(-LN(2)/2))/(LN(2)/2)*BL103*BO103*VLOOKUP('Données projet'!$B$11,Paramètres!$A$1:$I$89,3,0)*0.475*44/12</f>
        <v>2.3995741162871967E-8</v>
      </c>
      <c r="BS103" s="22">
        <f t="shared" si="63"/>
        <v>41.574218392947905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470.78</v>
      </c>
      <c r="BW103" s="12">
        <f>VLOOKUP(A103,'Données projet'!$A$113:$I$133,9,0)</f>
        <v>10.231999999999999</v>
      </c>
      <c r="BX103" s="12">
        <f t="array" ref="BX103">INDEX(BW:BW,MIN(IF(ISNUMBER(BW103:BW299),ROW(BW103:BW299),"")))</f>
        <v>10.231999999999999</v>
      </c>
      <c r="BY103" s="12">
        <f>IF('Données projet'!$A$114&gt;35,BY102+BX103-CG102,IF(A103&lt;'Données projet'!$A$114,$BV$205^A103,IF(A103='Données projet'!$A$114,'Données projet'!$B$114,BY102+BX103-CG102)))</f>
        <v>470.77999999999975</v>
      </c>
      <c r="BZ103" s="13">
        <f>BY103*VLOOKUP('Données projet'!$B$12,Paramètres!$A$1:$I$89,3,0)*VLOOKUP('Données projet'!$B$12,Paramètres!$A$1:$I$89,5,0)</f>
        <v>425.96174399999973</v>
      </c>
      <c r="CA103" s="13">
        <f t="shared" si="93"/>
        <v>97.020592814812289</v>
      </c>
      <c r="CB103" s="20">
        <f t="shared" si="64"/>
        <v>910.86090328579758</v>
      </c>
      <c r="CC103" s="59">
        <f t="shared" si="65"/>
        <v>1204.1942366191308</v>
      </c>
      <c r="CD103" s="59">
        <f ca="1">AVERAGE(OFFSET($CC$3,0,0,'Données projet'!$E$12+1,1))-AVERAGE(OFFSET($H$3,0,0,'Données projet'!$E$12+1,1))</f>
        <v>639.86968831634636</v>
      </c>
      <c r="CE103" s="59">
        <f t="shared" si="94"/>
        <v>218.1556771431184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85.23</v>
      </c>
      <c r="CH103" s="16">
        <f>IF(ISNA(VLOOKUP(A103,'Données projet'!$A$113:$I$133,5,0)),0%,VLOOKUP(A103,'Données projet'!$A$113:$I$133,5,0)*VLOOKUP('Données projet'!$B$12,Paramètres!$A$1:$I$89,7,0))</f>
        <v>0.17200000000000001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32.967443958326072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32.967443958326072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1.1368683772161603E-13</v>
      </c>
      <c r="CU103" s="17">
        <f>CT103*VLOOKUP('Données projet'!$B$13,Paramètres!$A$1:$I$89,3,0)*VLOOKUP('Données projet'!$B$13,Paramètres!$A$1:$I$89,5,0)</f>
        <v>9.9316821433603781E-14</v>
      </c>
      <c r="CV103" s="13">
        <f t="shared" si="95"/>
        <v>1.4932118279712753E-12</v>
      </c>
      <c r="CW103" s="20">
        <f t="shared" si="67"/>
        <v>2.7736540643801645E-12</v>
      </c>
      <c r="CX103" s="59">
        <f t="shared" si="68"/>
        <v>293.3333333333361</v>
      </c>
      <c r="CY103" s="59">
        <f ca="1">AVERAGE(OFFSET($CX$3,0,0,'Données projet'!$E$13+1,1))-AVERAGE(OFFSET($H$3,0,0,'Données projet'!$E$13+1,1))</f>
        <v>218.76600554860482</v>
      </c>
      <c r="CZ103" s="59">
        <f t="shared" si="96"/>
        <v>264.34840059907702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25.543186955840341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25.543186955840341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7.3508333333333313</v>
      </c>
      <c r="DO103" s="12">
        <f>IF('Données projet'!$A$166&gt;35,DO102+DN103-DW102,IF(A103&lt;'Données projet'!$A$166,$DL$205^A103,IF(A103='Données projet'!$A$166,'Données projet'!$B$166,DO102+DN103-DW102)))</f>
        <v>305.03083333333291</v>
      </c>
      <c r="DP103" s="17">
        <f>DO103*VLOOKUP('Données projet'!$B$14,Paramètres!$A$1:$I$89,3,0)*VLOOKUP('Données projet'!$B$14,Paramètres!$A$1:$I$89,5,0)</f>
        <v>261.71645499999966</v>
      </c>
      <c r="DQ103" s="13">
        <f t="shared" si="97"/>
        <v>63.088116564162071</v>
      </c>
      <c r="DR103" s="20">
        <f t="shared" si="70"/>
        <v>565.70129547424835</v>
      </c>
      <c r="DS103" s="59">
        <f t="shared" si="71"/>
        <v>859.03462880758161</v>
      </c>
      <c r="DT103" s="59">
        <f ca="1">AVERAGE(OFFSET($DS$3,0,0,'Données projet'!$E$14+1,1))-AVERAGE(OFFSET($H$3,0,0,'Données projet'!$E$14+1,1))</f>
        <v>442.97490100035287</v>
      </c>
      <c r="DU103" s="59">
        <f t="shared" si="98"/>
        <v>334.36243356457049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28.863181715050473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28.863181715050473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5.6843418860808015E-14</v>
      </c>
      <c r="EK103" s="17">
        <f>EJ103*VLOOKUP('Données projet'!$B$15,Paramètres!$A$1:$I$89,3,0)*VLOOKUP('Données projet'!$B$15,Paramètres!$A$1:$I$89,5,0)</f>
        <v>4.4337866711430253E-14</v>
      </c>
      <c r="EL103" s="13">
        <f t="shared" si="99"/>
        <v>7.3222115536967035E-13</v>
      </c>
      <c r="EM103" s="20">
        <f t="shared" si="73"/>
        <v>1.3525069634579169E-12</v>
      </c>
      <c r="EN103" s="59">
        <f t="shared" si="74"/>
        <v>293.33333333333468</v>
      </c>
      <c r="EO103" s="59">
        <f ca="1">AVERAGE(OFFSET($EN$3,0,0,'Données projet'!$E$15+1,1))-AVERAGE(OFFSET($H$3,0,0,'Données projet'!$E$15+1,1))</f>
        <v>288.82868507674738</v>
      </c>
      <c r="EP103" s="59">
        <f t="shared" si="100"/>
        <v>283.48738729114024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44.715707530228109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44.715707530228109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328.55201074501201</v>
      </c>
      <c r="FK103" s="59">
        <f t="shared" si="102"/>
        <v>321.81422611044985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64.588930837943636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64.588930837943636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353.37024194969638</v>
      </c>
      <c r="GF103" s="59">
        <f t="shared" si="104"/>
        <v>345.4750813433123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86.384898592262047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86.384898592262047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1.2710188457276673E-13</v>
      </c>
      <c r="P104" s="13">
        <f t="shared" si="87"/>
        <v>1.856866851063998E-12</v>
      </c>
      <c r="Q104" s="20">
        <f t="shared" si="107"/>
        <v>3.4554122145673649E-12</v>
      </c>
      <c r="R104" s="59">
        <f t="shared" si="55"/>
        <v>293.33333333333678</v>
      </c>
      <c r="S104" s="59">
        <f ca="1">AVERAGE(OFFSET($R$3,0,0,'Données projet'!$E$9+1,1))-AVERAGE(OFFSET($H$3,0,0,'Données projet'!$E$9+1,1))</f>
        <v>404.65492118472037</v>
      </c>
      <c r="T104" s="59">
        <f t="shared" si="88"/>
        <v>534.22295841722166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110.74727254405633</v>
      </c>
      <c r="AA104" s="21">
        <f>EXP(-LN(2)/25)*AA103+(1-EXP(-LN(2)/25))/(LN(2)/25)*Calculateur!V104*Calculateur!X104*VLOOKUP('Données projet'!$B$9,Paramètres!$A$1:$I$89,3,0)*0.475*44/12</f>
        <v>19.97050618624932</v>
      </c>
      <c r="AB104" s="21">
        <f>EXP(-LN(2)/2)*AB103+(1-EXP(-LN(2)/2))/(LN(2)/2)*V104*Y104*VLOOKUP('Données projet'!$B$9,Paramètres!$A$1:$I$89,3,0)*0.475*44/12</f>
        <v>3.542481845955441E-6</v>
      </c>
      <c r="AC104" s="22">
        <f t="shared" si="57"/>
        <v>130.71778227278747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351.18</v>
      </c>
      <c r="AG104" s="12">
        <f>VLOOKUP(A104,'Données projet'!$A$61:$I$81,9,0)</f>
        <v>8.7800000000000011</v>
      </c>
      <c r="AH104" s="12">
        <f t="array" ref="AH104">INDEX(AG:AG,MIN(IF(ISNUMBER(AG104:AG300),ROW(AG104:AG300),"")))</f>
        <v>8.7800000000000011</v>
      </c>
      <c r="AI104" s="13">
        <f>IF('Données projet'!$A$62&gt;35,AI103+AH104-AQ103,IF(A104&lt;'Données projet'!$A$62,$AF$205^A104,IF(A104='Données projet'!$A$62,'Données projet'!$B$62,AI103+AH104-AQ103)))</f>
        <v>351.17999999999984</v>
      </c>
      <c r="AJ104" s="13">
        <f>AI104*VLOOKUP('Données projet'!$B$10,Paramètres!$A$1:$I$89,3,0)*VLOOKUP('Données projet'!$B$10,Paramètres!$A$1:$I$89,5,0)</f>
        <v>164.35223999999991</v>
      </c>
      <c r="AK104" s="13">
        <f t="shared" si="89"/>
        <v>41.822636703483255</v>
      </c>
      <c r="AL104" s="20">
        <f t="shared" si="58"/>
        <v>359.08791025856652</v>
      </c>
      <c r="AM104" s="59">
        <f t="shared" si="59"/>
        <v>652.42124359189984</v>
      </c>
      <c r="AN104" s="59">
        <f ca="1">AVERAGE(OFFSET($AM$3,0,0,'Données projet'!$E$10+1,1))-AVERAGE(OFFSET($H$3,0,0,'Données projet'!$E$10+1,1))</f>
        <v>331.17634116262298</v>
      </c>
      <c r="AO104" s="59">
        <f t="shared" si="90"/>
        <v>286.28916368940605</v>
      </c>
      <c r="AP104" s="15">
        <f>IF(ISNA(VLOOKUP(A104,'Données projet'!$A$61:$I$81,3,0)),0,VLOOKUP(A104,'Données projet'!$A$61:$I$81,3,0))</f>
        <v>8</v>
      </c>
      <c r="AQ104" s="15">
        <f>IF(ISNA(VLOOKUP(A104,'Données projet'!$A$61:$I$81,4,0)),0,VLOOKUP(A104,'Données projet'!$A$61:$I$81,4,0))</f>
        <v>351.18</v>
      </c>
      <c r="AR104" s="16">
        <f>IF(ISNA(VLOOKUP(A104,'Données projet'!$A$61:$I$81,5,0)),0%,VLOOKUP(A104,'Données projet'!$A$61:$I$81,5,0)*VLOOKUP('Données projet'!$B$10,Paramètres!$A$1:$I$89,7,0))</f>
        <v>0.44000000000000006</v>
      </c>
      <c r="AS104" s="16">
        <f>IF(ISNA(VLOOKUP(A104,'Données projet'!$A$61:$I$81,6,0)),0%,VLOOKUP(A104,'Données projet'!$A$61:$I$81,6,0)*VLOOKUP('Données projet'!$B$10,Paramètres!$A$1:$I$89,7,0))</f>
        <v>6.0500000000000005E-2</v>
      </c>
      <c r="AT104" s="16">
        <f>IF(ISNA(VLOOKUP(A104,'Données projet'!$A$61:$I$81,7,0)),0%,VLOOKUP(A104,'Données projet'!$A$61:$I$81,7,0))</f>
        <v>0.09</v>
      </c>
      <c r="AU104" s="21">
        <f>EXP(-LN(2)/35)*AU103+(1-EXP(-LN(2)/35))/(LN(2)/35)*AQ104*AR104*VLOOKUP('Données projet'!$B$10,Paramètres!$A$1:$I$89,3,0)*0.475*44/12</f>
        <v>161.08689556668054</v>
      </c>
      <c r="AV104" s="21">
        <f>EXP(-LN(2)/25)*AV103+(1-EXP(-LN(2)/25))/(LN(2)/25)*Calculateur!AQ104*Calculateur!AS104*VLOOKUP('Données projet'!$B$10,Paramètres!$A$1:$I$89,3,0)*0.475*44/12</f>
        <v>57.191403926343071</v>
      </c>
      <c r="AW104" s="21">
        <f>EXP(-LN(2)/2)*AW103+(1-EXP(-LN(2)/2))/(LN(2)/2)*AQ104*AT104*VLOOKUP('Données projet'!$B$10,Paramètres!$A$1:$I$89,3,0)*0.475*44/12</f>
        <v>17.550361810878222</v>
      </c>
      <c r="AX104" s="21">
        <f t="shared" si="60"/>
        <v>235.82866130390184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1.4210854715202004E-13</v>
      </c>
      <c r="BE104" s="13">
        <f>BD104*VLOOKUP('Données projet'!$B$11,Paramètres!$A$1:$I$89,3,0)*VLOOKUP('Données projet'!$B$11,Paramètres!$A$1:$I$89,5,0)</f>
        <v>7.7591266745002952E-14</v>
      </c>
      <c r="BF104" s="13">
        <f t="shared" si="91"/>
        <v>1.2005788606873384E-12</v>
      </c>
      <c r="BG104" s="20">
        <f t="shared" si="61"/>
        <v>2.226146305277994E-12</v>
      </c>
      <c r="BH104" s="59">
        <f t="shared" si="62"/>
        <v>293.33333333333553</v>
      </c>
      <c r="BI104" s="59">
        <f ca="1">AVERAGE(OFFSET($BH$3,0,0,'Données projet'!$E$11+1,1))-AVERAGE(OFFSET($H$3,0,0,'Données projet'!$E$11+1,1))</f>
        <v>165.87377022031535</v>
      </c>
      <c r="BJ104" s="59">
        <f t="shared" si="92"/>
        <v>272.91122662088929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33.591283942476061</v>
      </c>
      <c r="BQ104" s="21">
        <f>EXP(-LN(2)/25)*BQ103+(1-EXP(-LN(2)/25))/(LN(2)/25)*Calculateur!BL104*Calculateur!BN104*VLOOKUP('Données projet'!$B$11,Paramètres!$A$1:$I$89,3,0)*0.475*44/12</f>
        <v>7.1111335102663276</v>
      </c>
      <c r="BR104" s="21">
        <f>EXP(-LN(2)/2)*BR103+(1-EXP(-LN(2)/2))/(LN(2)/2)*BL104*BO104*VLOOKUP('Données projet'!$B$11,Paramètres!$A$1:$I$89,3,0)*0.475*44/12</f>
        <v>1.6967551295863939E-8</v>
      </c>
      <c r="BS104" s="22">
        <f t="shared" si="63"/>
        <v>40.702417469709943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9.8020000000000032</v>
      </c>
      <c r="BY104" s="12">
        <f>IF('Données projet'!$A$114&gt;35,BY103+BX104-CG103,IF(A104&lt;'Données projet'!$A$114,$BV$205^A104,IF(A104='Données projet'!$A$114,'Données projet'!$B$114,BY103+BX104-CG103)))</f>
        <v>395.35199999999975</v>
      </c>
      <c r="BZ104" s="13">
        <f>BY104*VLOOKUP('Données projet'!$B$12,Paramètres!$A$1:$I$89,3,0)*VLOOKUP('Données projet'!$B$12,Paramètres!$A$1:$I$89,5,0)</f>
        <v>357.71448959999975</v>
      </c>
      <c r="CA104" s="13">
        <f t="shared" si="93"/>
        <v>83.148983553089764</v>
      </c>
      <c r="CB104" s="20">
        <f t="shared" si="64"/>
        <v>767.83721574163076</v>
      </c>
      <c r="CC104" s="59">
        <f t="shared" si="65"/>
        <v>1061.1705490749641</v>
      </c>
      <c r="CD104" s="59">
        <f ca="1">AVERAGE(OFFSET($CC$3,0,0,'Données projet'!$E$12+1,1))-AVERAGE(OFFSET($H$3,0,0,'Données projet'!$E$12+1,1))</f>
        <v>639.86968831634636</v>
      </c>
      <c r="CE104" s="59">
        <f t="shared" si="94"/>
        <v>218.1556771431184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32.320972490458594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32.320972490458594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1.1368683772161603E-13</v>
      </c>
      <c r="CU104" s="17">
        <f>CT104*VLOOKUP('Données projet'!$B$13,Paramètres!$A$1:$I$89,3,0)*VLOOKUP('Données projet'!$B$13,Paramètres!$A$1:$I$89,5,0)</f>
        <v>9.9316821433603781E-14</v>
      </c>
      <c r="CV104" s="13">
        <f t="shared" si="95"/>
        <v>1.4932118279712753E-12</v>
      </c>
      <c r="CW104" s="20">
        <f t="shared" si="67"/>
        <v>2.7736540643801645E-12</v>
      </c>
      <c r="CX104" s="59">
        <f t="shared" si="68"/>
        <v>293.3333333333361</v>
      </c>
      <c r="CY104" s="59">
        <f ca="1">AVERAGE(OFFSET($CX$3,0,0,'Données projet'!$E$13+1,1))-AVERAGE(OFFSET($H$3,0,0,'Données projet'!$E$13+1,1))</f>
        <v>218.76600554860482</v>
      </c>
      <c r="CZ104" s="59">
        <f t="shared" si="96"/>
        <v>264.34840059907702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25.042300639441976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25.042300639441976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7.3508333333333313</v>
      </c>
      <c r="DO104" s="12">
        <f>IF('Données projet'!$A$166&gt;35,DO103+DN104-DW103,IF(A104&lt;'Données projet'!$A$166,$DL$205^A104,IF(A104='Données projet'!$A$166,'Données projet'!$B$166,DO103+DN104-DW103)))</f>
        <v>312.38166666666626</v>
      </c>
      <c r="DP104" s="17">
        <f>DO104*VLOOKUP('Données projet'!$B$14,Paramètres!$A$1:$I$89,3,0)*VLOOKUP('Données projet'!$B$14,Paramètres!$A$1:$I$89,5,0)</f>
        <v>268.02346999999969</v>
      </c>
      <c r="DQ104" s="13">
        <f t="shared" si="97"/>
        <v>64.429620532967462</v>
      </c>
      <c r="DR104" s="20">
        <f t="shared" si="70"/>
        <v>579.02246601158447</v>
      </c>
      <c r="DS104" s="59">
        <f t="shared" si="71"/>
        <v>872.35579934491784</v>
      </c>
      <c r="DT104" s="59">
        <f ca="1">AVERAGE(OFFSET($DS$3,0,0,'Données projet'!$E$14+1,1))-AVERAGE(OFFSET($H$3,0,0,'Données projet'!$E$14+1,1))</f>
        <v>442.97490100035287</v>
      </c>
      <c r="DU104" s="59">
        <f t="shared" si="98"/>
        <v>334.36243356457049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28.297192326420848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28.297192326420848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5.6843418860808015E-14</v>
      </c>
      <c r="EK104" s="17">
        <f>EJ104*VLOOKUP('Données projet'!$B$15,Paramètres!$A$1:$I$89,3,0)*VLOOKUP('Données projet'!$B$15,Paramètres!$A$1:$I$89,5,0)</f>
        <v>4.4337866711430253E-14</v>
      </c>
      <c r="EL104" s="13">
        <f t="shared" si="99"/>
        <v>7.3222115536967035E-13</v>
      </c>
      <c r="EM104" s="20">
        <f t="shared" si="73"/>
        <v>1.3525069634579169E-12</v>
      </c>
      <c r="EN104" s="59">
        <f t="shared" si="74"/>
        <v>293.33333333333468</v>
      </c>
      <c r="EO104" s="59">
        <f ca="1">AVERAGE(OFFSET($EN$3,0,0,'Données projet'!$E$15+1,1))-AVERAGE(OFFSET($H$3,0,0,'Données projet'!$E$15+1,1))</f>
        <v>288.82868507674738</v>
      </c>
      <c r="EP104" s="59">
        <f t="shared" si="100"/>
        <v>283.48738729114024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43.838859779448853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43.838859779448853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328.55201074501201</v>
      </c>
      <c r="FK104" s="59">
        <f t="shared" si="102"/>
        <v>321.81422611044985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63.3223812995694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63.3223812995694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353.37024194969638</v>
      </c>
      <c r="GF104" s="59">
        <f t="shared" si="104"/>
        <v>345.4750813433123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84.690943420453266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84.690943420453266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1.2710188457276673E-13</v>
      </c>
      <c r="P105" s="13">
        <f t="shared" si="87"/>
        <v>1.856866851063998E-12</v>
      </c>
      <c r="Q105" s="20">
        <f t="shared" si="107"/>
        <v>3.4554122145673649E-12</v>
      </c>
      <c r="R105" s="59">
        <f t="shared" si="55"/>
        <v>293.33333333333678</v>
      </c>
      <c r="S105" s="59">
        <f ca="1">AVERAGE(OFFSET($R$3,0,0,'Données projet'!$E$9+1,1))-AVERAGE(OFFSET($H$3,0,0,'Données projet'!$E$9+1,1))</f>
        <v>404.65492118472037</v>
      </c>
      <c r="T105" s="59">
        <f t="shared" si="88"/>
        <v>534.22295841722166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108.57558607863371</v>
      </c>
      <c r="AA105" s="21">
        <f>EXP(-LN(2)/25)*AA104+(1-EXP(-LN(2)/25))/(LN(2)/25)*Calculateur!V105*Calculateur!X105*VLOOKUP('Données projet'!$B$9,Paramètres!$A$1:$I$89,3,0)*0.475*44/12</f>
        <v>19.424411644383056</v>
      </c>
      <c r="AB105" s="21">
        <f>EXP(-LN(2)/2)*AB104+(1-EXP(-LN(2)/2))/(LN(2)/2)*V105*Y105*VLOOKUP('Données projet'!$B$9,Paramètres!$A$1:$I$89,3,0)*0.475*44/12</f>
        <v>2.5049129355053309E-6</v>
      </c>
      <c r="AC105" s="22">
        <f t="shared" si="57"/>
        <v>128.00000022792969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-7.9808160080574461E-14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331.17634116262298</v>
      </c>
      <c r="AO105" s="59">
        <f t="shared" si="90"/>
        <v>286.28916368940605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157.92807979792252</v>
      </c>
      <c r="AV105" s="21">
        <f>EXP(-LN(2)/25)*AV104+(1-EXP(-LN(2)/25))/(LN(2)/25)*Calculateur!AQ105*Calculateur!AS105*VLOOKUP('Données projet'!$B$10,Paramètres!$A$1:$I$89,3,0)*0.475*44/12</f>
        <v>55.627501978411999</v>
      </c>
      <c r="AW105" s="21">
        <f>EXP(-LN(2)/2)*AW104+(1-EXP(-LN(2)/2))/(LN(2)/2)*AQ105*AT105*VLOOKUP('Données projet'!$B$10,Paramètres!$A$1:$I$89,3,0)*0.475*44/12</f>
        <v>12.409979848749408</v>
      </c>
      <c r="AX105" s="21">
        <f t="shared" si="60"/>
        <v>225.96556162508392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1.4210854715202004E-13</v>
      </c>
      <c r="BE105" s="13">
        <f>BD105*VLOOKUP('Données projet'!$B$11,Paramètres!$A$1:$I$89,3,0)*VLOOKUP('Données projet'!$B$11,Paramètres!$A$1:$I$89,5,0)</f>
        <v>7.7591266745002952E-14</v>
      </c>
      <c r="BF105" s="13">
        <f t="shared" si="91"/>
        <v>1.2005788606873384E-12</v>
      </c>
      <c r="BG105" s="20">
        <f t="shared" si="61"/>
        <v>2.226146305277994E-12</v>
      </c>
      <c r="BH105" s="59">
        <f t="shared" si="62"/>
        <v>293.33333333333553</v>
      </c>
      <c r="BI105" s="59">
        <f ca="1">AVERAGE(OFFSET($BH$3,0,0,'Données projet'!$E$11+1,1))-AVERAGE(OFFSET($H$3,0,0,'Données projet'!$E$11+1,1))</f>
        <v>165.87377022031535</v>
      </c>
      <c r="BJ105" s="59">
        <f t="shared" si="92"/>
        <v>272.91122662088929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32.932579353024224</v>
      </c>
      <c r="BQ105" s="21">
        <f>EXP(-LN(2)/25)*BQ104+(1-EXP(-LN(2)/25))/(LN(2)/25)*Calculateur!BL105*Calculateur!BN105*VLOOKUP('Données projet'!$B$11,Paramètres!$A$1:$I$89,3,0)*0.475*44/12</f>
        <v>6.9166791904698366</v>
      </c>
      <c r="BR105" s="21">
        <f>EXP(-LN(2)/2)*BR104+(1-EXP(-LN(2)/2))/(LN(2)/2)*BL105*BO105*VLOOKUP('Données projet'!$B$11,Paramètres!$A$1:$I$89,3,0)*0.475*44/12</f>
        <v>1.1997870581435984E-8</v>
      </c>
      <c r="BS105" s="22">
        <f t="shared" si="63"/>
        <v>39.849258555491929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9.8020000000000032</v>
      </c>
      <c r="BY105" s="12">
        <f>IF('Données projet'!$A$114&gt;35,BY104+BX105-CG104,IF(A105&lt;'Données projet'!$A$114,$BV$205^A105,IF(A105='Données projet'!$A$114,'Données projet'!$B$114,BY104+BX105-CG104)))</f>
        <v>405.15399999999977</v>
      </c>
      <c r="BZ105" s="13">
        <f>BY105*VLOOKUP('Données projet'!$B$12,Paramètres!$A$1:$I$89,3,0)*VLOOKUP('Données projet'!$B$12,Paramètres!$A$1:$I$89,5,0)</f>
        <v>366.58333919999978</v>
      </c>
      <c r="CA105" s="13">
        <f t="shared" si="93"/>
        <v>84.967938757859883</v>
      </c>
      <c r="CB105" s="20">
        <f t="shared" si="64"/>
        <v>786.45180910993884</v>
      </c>
      <c r="CC105" s="59">
        <f t="shared" si="65"/>
        <v>1079.7851424432722</v>
      </c>
      <c r="CD105" s="59">
        <f ca="1">AVERAGE(OFFSET($CC$3,0,0,'Données projet'!$E$12+1,1))-AVERAGE(OFFSET($H$3,0,0,'Données projet'!$E$12+1,1))</f>
        <v>639.86968831634636</v>
      </c>
      <c r="CE105" s="59">
        <f t="shared" si="94"/>
        <v>218.1556771431184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31.687177933767341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31.687177933767341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1.1368683772161603E-13</v>
      </c>
      <c r="CU105" s="17">
        <f>CT105*VLOOKUP('Données projet'!$B$13,Paramètres!$A$1:$I$89,3,0)*VLOOKUP('Données projet'!$B$13,Paramètres!$A$1:$I$89,5,0)</f>
        <v>9.9316821433603781E-14</v>
      </c>
      <c r="CV105" s="13">
        <f t="shared" si="95"/>
        <v>1.4932118279712753E-12</v>
      </c>
      <c r="CW105" s="20">
        <f t="shared" si="67"/>
        <v>2.7736540643801645E-12</v>
      </c>
      <c r="CX105" s="59">
        <f t="shared" si="68"/>
        <v>293.3333333333361</v>
      </c>
      <c r="CY105" s="59">
        <f ca="1">AVERAGE(OFFSET($CX$3,0,0,'Données projet'!$E$13+1,1))-AVERAGE(OFFSET($H$3,0,0,'Données projet'!$E$13+1,1))</f>
        <v>218.76600554860482</v>
      </c>
      <c r="CZ105" s="59">
        <f t="shared" si="96"/>
        <v>264.34840059907702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24.551236398197698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24.551236398197698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7.3508333333333313</v>
      </c>
      <c r="DO105" s="12">
        <f>IF('Données projet'!$A$166&gt;35,DO104+DN105-DW104,IF(A105&lt;'Données projet'!$A$166,$DL$205^A105,IF(A105='Données projet'!$A$166,'Données projet'!$B$166,DO104+DN105-DW104)))</f>
        <v>319.73249999999962</v>
      </c>
      <c r="DP105" s="17">
        <f>DO105*VLOOKUP('Données projet'!$B$14,Paramètres!$A$1:$I$89,3,0)*VLOOKUP('Données projet'!$B$14,Paramètres!$A$1:$I$89,5,0)</f>
        <v>274.33048499999973</v>
      </c>
      <c r="DQ105" s="13">
        <f t="shared" si="97"/>
        <v>65.767454690785215</v>
      </c>
      <c r="DR105" s="20">
        <f t="shared" si="70"/>
        <v>592.33724496145044</v>
      </c>
      <c r="DS105" s="59">
        <f t="shared" si="71"/>
        <v>885.67057829478381</v>
      </c>
      <c r="DT105" s="59">
        <f ca="1">AVERAGE(OFFSET($DS$3,0,0,'Données projet'!$E$14+1,1))-AVERAGE(OFFSET($H$3,0,0,'Données projet'!$E$14+1,1))</f>
        <v>442.97490100035287</v>
      </c>
      <c r="DU105" s="59">
        <f t="shared" si="98"/>
        <v>334.36243356457049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27.742301644482811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27.742301644482811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5.6843418860808015E-14</v>
      </c>
      <c r="EK105" s="17">
        <f>EJ105*VLOOKUP('Données projet'!$B$15,Paramètres!$A$1:$I$89,3,0)*VLOOKUP('Données projet'!$B$15,Paramètres!$A$1:$I$89,5,0)</f>
        <v>4.4337866711430253E-14</v>
      </c>
      <c r="EL105" s="13">
        <f t="shared" si="99"/>
        <v>7.3222115536967035E-13</v>
      </c>
      <c r="EM105" s="20">
        <f t="shared" si="73"/>
        <v>1.3525069634579169E-12</v>
      </c>
      <c r="EN105" s="59">
        <f t="shared" si="74"/>
        <v>293.33333333333468</v>
      </c>
      <c r="EO105" s="59">
        <f ca="1">AVERAGE(OFFSET($EN$3,0,0,'Données projet'!$E$15+1,1))-AVERAGE(OFFSET($H$3,0,0,'Données projet'!$E$15+1,1))</f>
        <v>288.82868507674738</v>
      </c>
      <c r="EP105" s="59">
        <f t="shared" si="100"/>
        <v>283.48738729114024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42.979206478238062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42.979206478238062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328.55201074501201</v>
      </c>
      <c r="FK105" s="59">
        <f t="shared" si="102"/>
        <v>321.81422611044985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62.080668025123749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62.080668025123749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353.37024194969638</v>
      </c>
      <c r="GF105" s="59">
        <f t="shared" si="104"/>
        <v>345.4750813433123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83.03020567635302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83.03020567635302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1.2710188457276673E-13</v>
      </c>
      <c r="P106" s="13">
        <f t="shared" si="87"/>
        <v>1.856866851063998E-12</v>
      </c>
      <c r="Q106" s="20">
        <f t="shared" si="107"/>
        <v>3.4554122145673649E-12</v>
      </c>
      <c r="R106" s="59">
        <f t="shared" si="55"/>
        <v>293.33333333333678</v>
      </c>
      <c r="S106" s="59">
        <f ca="1">AVERAGE(OFFSET($R$3,0,0,'Données projet'!$E$9+1,1))-AVERAGE(OFFSET($H$3,0,0,'Données projet'!$E$9+1,1))</f>
        <v>404.65492118472037</v>
      </c>
      <c r="T106" s="59">
        <f t="shared" si="88"/>
        <v>534.22295841722166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106.44648506020008</v>
      </c>
      <c r="AA106" s="21">
        <f>EXP(-LN(2)/25)*AA105+(1-EXP(-LN(2)/25))/(LN(2)/25)*Calculateur!V106*Calculateur!X106*VLOOKUP('Données projet'!$B$9,Paramètres!$A$1:$I$89,3,0)*0.475*44/12</f>
        <v>18.893250086481988</v>
      </c>
      <c r="AB106" s="21">
        <f>EXP(-LN(2)/2)*AB105+(1-EXP(-LN(2)/2))/(LN(2)/2)*V106*Y106*VLOOKUP('Données projet'!$B$9,Paramètres!$A$1:$I$89,3,0)*0.475*44/12</f>
        <v>1.7712409229777205E-6</v>
      </c>
      <c r="AC106" s="22">
        <f t="shared" si="57"/>
        <v>125.33973691792298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-7.9808160080574461E-14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331.17634116262298</v>
      </c>
      <c r="AO106" s="59">
        <f t="shared" si="90"/>
        <v>286.28916368940605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154.83120647970247</v>
      </c>
      <c r="AV106" s="21">
        <f>EXP(-LN(2)/25)*AV105+(1-EXP(-LN(2)/25))/(LN(2)/25)*Calculateur!AQ106*Calculateur!AS106*VLOOKUP('Données projet'!$B$10,Paramètres!$A$1:$I$89,3,0)*0.475*44/12</f>
        <v>54.106365011489132</v>
      </c>
      <c r="AW106" s="21">
        <f>EXP(-LN(2)/2)*AW105+(1-EXP(-LN(2)/2))/(LN(2)/2)*AQ106*AT106*VLOOKUP('Données projet'!$B$10,Paramètres!$A$1:$I$89,3,0)*0.475*44/12</f>
        <v>8.7751809054391128</v>
      </c>
      <c r="AX106" s="21">
        <f t="shared" si="60"/>
        <v>217.71275239663069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1.4210854715202004E-13</v>
      </c>
      <c r="BE106" s="13">
        <f>BD106*VLOOKUP('Données projet'!$B$11,Paramètres!$A$1:$I$89,3,0)*VLOOKUP('Données projet'!$B$11,Paramètres!$A$1:$I$89,5,0)</f>
        <v>7.7591266745002952E-14</v>
      </c>
      <c r="BF106" s="13">
        <f t="shared" si="91"/>
        <v>1.2005788606873384E-12</v>
      </c>
      <c r="BG106" s="20">
        <f t="shared" si="61"/>
        <v>2.226146305277994E-12</v>
      </c>
      <c r="BH106" s="59">
        <f t="shared" si="62"/>
        <v>293.33333333333553</v>
      </c>
      <c r="BI106" s="59">
        <f ca="1">AVERAGE(OFFSET($BH$3,0,0,'Données projet'!$E$11+1,1))-AVERAGE(OFFSET($H$3,0,0,'Données projet'!$E$11+1,1))</f>
        <v>165.87377022031535</v>
      </c>
      <c r="BJ106" s="59">
        <f t="shared" si="92"/>
        <v>272.91122662088929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32.286791558801411</v>
      </c>
      <c r="BQ106" s="21">
        <f>EXP(-LN(2)/25)*BQ105+(1-EXP(-LN(2)/25))/(LN(2)/25)*Calculateur!BL106*Calculateur!BN106*VLOOKUP('Données projet'!$B$11,Paramètres!$A$1:$I$89,3,0)*0.475*44/12</f>
        <v>6.7275422342740887</v>
      </c>
      <c r="BR106" s="21">
        <f>EXP(-LN(2)/2)*BR105+(1-EXP(-LN(2)/2))/(LN(2)/2)*BL106*BO106*VLOOKUP('Données projet'!$B$11,Paramètres!$A$1:$I$89,3,0)*0.475*44/12</f>
        <v>8.4837756479319696E-9</v>
      </c>
      <c r="BS106" s="22">
        <f t="shared" si="63"/>
        <v>39.014333801559275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9.8020000000000032</v>
      </c>
      <c r="BY106" s="12">
        <f>IF('Données projet'!$A$114&gt;35,BY105+BX106-CG105,IF(A106&lt;'Données projet'!$A$114,$BV$205^A106,IF(A106='Données projet'!$A$114,'Données projet'!$B$114,BY105+BX106-CG105)))</f>
        <v>414.95599999999979</v>
      </c>
      <c r="BZ106" s="13">
        <f>BY106*VLOOKUP('Données projet'!$B$12,Paramètres!$A$1:$I$89,3,0)*VLOOKUP('Données projet'!$B$12,Paramètres!$A$1:$I$89,5,0)</f>
        <v>375.45218879999982</v>
      </c>
      <c r="CA106" s="13">
        <f t="shared" si="93"/>
        <v>86.78177828740381</v>
      </c>
      <c r="CB106" s="20">
        <f t="shared" si="64"/>
        <v>805.05749267722797</v>
      </c>
      <c r="CC106" s="59">
        <f t="shared" si="65"/>
        <v>1098.3908260105613</v>
      </c>
      <c r="CD106" s="59">
        <f ca="1">AVERAGE(OFFSET($CC$3,0,0,'Données projet'!$E$12+1,1))-AVERAGE(OFFSET($H$3,0,0,'Données projet'!$E$12+1,1))</f>
        <v>639.86968831634636</v>
      </c>
      <c r="CE106" s="59">
        <f t="shared" si="94"/>
        <v>218.1556771431184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31.065811701756292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31.065811701756292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1.1368683772161603E-13</v>
      </c>
      <c r="CU106" s="17">
        <f>CT106*VLOOKUP('Données projet'!$B$13,Paramètres!$A$1:$I$89,3,0)*VLOOKUP('Données projet'!$B$13,Paramètres!$A$1:$I$89,5,0)</f>
        <v>9.9316821433603781E-14</v>
      </c>
      <c r="CV106" s="13">
        <f t="shared" si="95"/>
        <v>1.4932118279712753E-12</v>
      </c>
      <c r="CW106" s="20">
        <f t="shared" si="67"/>
        <v>2.7736540643801645E-12</v>
      </c>
      <c r="CX106" s="59">
        <f t="shared" si="68"/>
        <v>293.3333333333361</v>
      </c>
      <c r="CY106" s="59">
        <f ca="1">AVERAGE(OFFSET($CX$3,0,0,'Données projet'!$E$13+1,1))-AVERAGE(OFFSET($H$3,0,0,'Données projet'!$E$13+1,1))</f>
        <v>218.76600554860482</v>
      </c>
      <c r="CZ106" s="59">
        <f t="shared" si="96"/>
        <v>264.34840059907702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24.069801627204608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24.069801627204608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7.3508333333333313</v>
      </c>
      <c r="DO106" s="12">
        <f>IF('Données projet'!$A$166&gt;35,DO105+DN106-DW105,IF(A106&lt;'Données projet'!$A$166,$DL$205^A106,IF(A106='Données projet'!$A$166,'Données projet'!$B$166,DO105+DN106-DW105)))</f>
        <v>327.08333333333297</v>
      </c>
      <c r="DP106" s="17">
        <f>DO106*VLOOKUP('Données projet'!$B$14,Paramètres!$A$1:$I$89,3,0)*VLOOKUP('Données projet'!$B$14,Paramètres!$A$1:$I$89,5,0)</f>
        <v>280.6374999999997</v>
      </c>
      <c r="DQ106" s="13">
        <f t="shared" si="97"/>
        <v>67.101713120293155</v>
      </c>
      <c r="DR106" s="20">
        <f t="shared" si="70"/>
        <v>605.64579618451</v>
      </c>
      <c r="DS106" s="59">
        <f t="shared" si="71"/>
        <v>898.97912951784338</v>
      </c>
      <c r="DT106" s="59">
        <f ca="1">AVERAGE(OFFSET($DS$3,0,0,'Données projet'!$E$14+1,1))-AVERAGE(OFFSET($H$3,0,0,'Données projet'!$E$14+1,1))</f>
        <v>442.97490100035287</v>
      </c>
      <c r="DU106" s="59">
        <f t="shared" si="98"/>
        <v>334.36243356457049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27.198292030367682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27.198292030367682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5.6843418860808015E-14</v>
      </c>
      <c r="EK106" s="17">
        <f>EJ106*VLOOKUP('Données projet'!$B$15,Paramètres!$A$1:$I$89,3,0)*VLOOKUP('Données projet'!$B$15,Paramètres!$A$1:$I$89,5,0)</f>
        <v>4.4337866711430253E-14</v>
      </c>
      <c r="EL106" s="13">
        <f t="shared" si="99"/>
        <v>7.3222115536967035E-13</v>
      </c>
      <c r="EM106" s="20">
        <f t="shared" si="73"/>
        <v>1.3525069634579169E-12</v>
      </c>
      <c r="EN106" s="59">
        <f t="shared" si="74"/>
        <v>293.33333333333468</v>
      </c>
      <c r="EO106" s="59">
        <f ca="1">AVERAGE(OFFSET($EN$3,0,0,'Données projet'!$E$15+1,1))-AVERAGE(OFFSET($H$3,0,0,'Données projet'!$E$15+1,1))</f>
        <v>288.82868507674738</v>
      </c>
      <c r="EP106" s="59">
        <f t="shared" si="100"/>
        <v>283.48738729114024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42.136410453927276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42.136410453927276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328.55201074501201</v>
      </c>
      <c r="FK106" s="59">
        <f t="shared" si="102"/>
        <v>321.81422611044985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60.863303990619663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60.863303990619663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353.37024194969638</v>
      </c>
      <c r="GF106" s="59">
        <f t="shared" si="104"/>
        <v>345.4750813433123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81.402033986464573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81.402033986464573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1.2710188457276673E-13</v>
      </c>
      <c r="P107" s="13">
        <f t="shared" si="87"/>
        <v>1.856866851063998E-12</v>
      </c>
      <c r="Q107" s="20">
        <f t="shared" si="107"/>
        <v>3.4554122145673649E-12</v>
      </c>
      <c r="R107" s="59">
        <f t="shared" si="55"/>
        <v>293.33333333333678</v>
      </c>
      <c r="S107" s="59">
        <f ca="1">AVERAGE(OFFSET($R$3,0,0,'Données projet'!$E$9+1,1))-AVERAGE(OFFSET($H$3,0,0,'Données projet'!$E$9+1,1))</f>
        <v>404.65492118472037</v>
      </c>
      <c r="T107" s="59">
        <f t="shared" si="88"/>
        <v>534.22295841722166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104.35913441411454</v>
      </c>
      <c r="AA107" s="21">
        <f>EXP(-LN(2)/25)*AA106+(1-EXP(-LN(2)/25))/(LN(2)/25)*Calculateur!V107*Calculateur!X107*VLOOKUP('Données projet'!$B$9,Paramètres!$A$1:$I$89,3,0)*0.475*44/12</f>
        <v>18.376613169314297</v>
      </c>
      <c r="AB107" s="21">
        <f>EXP(-LN(2)/2)*AB106+(1-EXP(-LN(2)/2))/(LN(2)/2)*V107*Y107*VLOOKUP('Données projet'!$B$9,Paramètres!$A$1:$I$89,3,0)*0.475*44/12</f>
        <v>1.2524564677526655E-6</v>
      </c>
      <c r="AC107" s="22">
        <f t="shared" si="57"/>
        <v>122.7357488358853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-7.9808160080574461E-14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331.17634116262298</v>
      </c>
      <c r="AO107" s="59">
        <f t="shared" si="90"/>
        <v>286.28916368940605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151.79506095834651</v>
      </c>
      <c r="AV107" s="21">
        <f>EXP(-LN(2)/25)*AV106+(1-EXP(-LN(2)/25))/(LN(2)/25)*Calculateur!AQ107*Calculateur!AS107*VLOOKUP('Données projet'!$B$10,Paramètres!$A$1:$I$89,3,0)*0.475*44/12</f>
        <v>52.626823614919886</v>
      </c>
      <c r="AW107" s="21">
        <f>EXP(-LN(2)/2)*AW106+(1-EXP(-LN(2)/2))/(LN(2)/2)*AQ107*AT107*VLOOKUP('Données projet'!$B$10,Paramètres!$A$1:$I$89,3,0)*0.475*44/12</f>
        <v>6.2049899243747051</v>
      </c>
      <c r="AX107" s="21">
        <f t="shared" si="60"/>
        <v>210.6268744976411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1.4210854715202004E-13</v>
      </c>
      <c r="BE107" s="13">
        <f>BD107*VLOOKUP('Données projet'!$B$11,Paramètres!$A$1:$I$89,3,0)*VLOOKUP('Données projet'!$B$11,Paramètres!$A$1:$I$89,5,0)</f>
        <v>7.7591266745002952E-14</v>
      </c>
      <c r="BF107" s="13">
        <f t="shared" si="91"/>
        <v>1.2005788606873384E-12</v>
      </c>
      <c r="BG107" s="20">
        <f t="shared" si="61"/>
        <v>2.226146305277994E-12</v>
      </c>
      <c r="BH107" s="59">
        <f t="shared" si="62"/>
        <v>293.33333333333553</v>
      </c>
      <c r="BI107" s="59">
        <f ca="1">AVERAGE(OFFSET($BH$3,0,0,'Données projet'!$E$11+1,1))-AVERAGE(OFFSET($H$3,0,0,'Données projet'!$E$11+1,1))</f>
        <v>165.87377022031535</v>
      </c>
      <c r="BJ107" s="59">
        <f t="shared" si="92"/>
        <v>272.91122662088929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31.653667269331645</v>
      </c>
      <c r="BQ107" s="21">
        <f>EXP(-LN(2)/25)*BQ106+(1-EXP(-LN(2)/25))/(LN(2)/25)*Calculateur!BL107*Calculateur!BN107*VLOOKUP('Données projet'!$B$11,Paramètres!$A$1:$I$89,3,0)*0.475*44/12</f>
        <v>6.5435772380917934</v>
      </c>
      <c r="BR107" s="21">
        <f>EXP(-LN(2)/2)*BR106+(1-EXP(-LN(2)/2))/(LN(2)/2)*BL107*BO107*VLOOKUP('Données projet'!$B$11,Paramètres!$A$1:$I$89,3,0)*0.475*44/12</f>
        <v>5.9989352907179918E-9</v>
      </c>
      <c r="BS107" s="22">
        <f t="shared" si="63"/>
        <v>38.197244513422376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9.8020000000000032</v>
      </c>
      <c r="BY107" s="12">
        <f>IF('Données projet'!$A$114&gt;35,BY106+BX107-CG106,IF(A107&lt;'Données projet'!$A$114,$BV$205^A107,IF(A107='Données projet'!$A$114,'Données projet'!$B$114,BY106+BX107-CG106)))</f>
        <v>424.75799999999981</v>
      </c>
      <c r="BZ107" s="13">
        <f>BY107*VLOOKUP('Données projet'!$B$12,Paramètres!$A$1:$I$89,3,0)*VLOOKUP('Données projet'!$B$12,Paramètres!$A$1:$I$89,5,0)</f>
        <v>384.32103839999979</v>
      </c>
      <c r="CA107" s="13">
        <f t="shared" si="93"/>
        <v>88.590636889054565</v>
      </c>
      <c r="CB107" s="20">
        <f t="shared" si="64"/>
        <v>823.65450112843621</v>
      </c>
      <c r="CC107" s="59">
        <f t="shared" si="65"/>
        <v>1116.9878344617696</v>
      </c>
      <c r="CD107" s="59">
        <f ca="1">AVERAGE(OFFSET($CC$3,0,0,'Données projet'!$E$12+1,1))-AVERAGE(OFFSET($H$3,0,0,'Données projet'!$E$12+1,1))</f>
        <v>639.86968831634636</v>
      </c>
      <c r="CE107" s="59">
        <f t="shared" si="94"/>
        <v>218.1556771431184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30.456630082559002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30.456630082559002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1.1368683772161603E-13</v>
      </c>
      <c r="CU107" s="17">
        <f>CT107*VLOOKUP('Données projet'!$B$13,Paramètres!$A$1:$I$89,3,0)*VLOOKUP('Données projet'!$B$13,Paramètres!$A$1:$I$89,5,0)</f>
        <v>9.9316821433603781E-14</v>
      </c>
      <c r="CV107" s="13">
        <f t="shared" si="95"/>
        <v>1.4932118279712753E-12</v>
      </c>
      <c r="CW107" s="20">
        <f t="shared" si="67"/>
        <v>2.7736540643801645E-12</v>
      </c>
      <c r="CX107" s="59">
        <f t="shared" si="68"/>
        <v>293.3333333333361</v>
      </c>
      <c r="CY107" s="59">
        <f ca="1">AVERAGE(OFFSET($CX$3,0,0,'Données projet'!$E$13+1,1))-AVERAGE(OFFSET($H$3,0,0,'Données projet'!$E$13+1,1))</f>
        <v>218.76600554860482</v>
      </c>
      <c r="CZ107" s="59">
        <f t="shared" si="96"/>
        <v>264.34840059907702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23.597807498424476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23.597807498424476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7.3508333333333313</v>
      </c>
      <c r="DO107" s="12">
        <f>IF('Données projet'!$A$166&gt;35,DO106+DN107-DW106,IF(A107&lt;'Données projet'!$A$166,$DL$205^A107,IF(A107='Données projet'!$A$166,'Données projet'!$B$166,DO106+DN107-DW106)))</f>
        <v>334.43416666666633</v>
      </c>
      <c r="DP107" s="17">
        <f>DO107*VLOOKUP('Données projet'!$B$14,Paramètres!$A$1:$I$89,3,0)*VLOOKUP('Données projet'!$B$14,Paramètres!$A$1:$I$89,5,0)</f>
        <v>286.94451499999974</v>
      </c>
      <c r="DQ107" s="13">
        <f t="shared" si="97"/>
        <v>68.432485433962384</v>
      </c>
      <c r="DR107" s="20">
        <f t="shared" si="70"/>
        <v>618.94827575581724</v>
      </c>
      <c r="DS107" s="59">
        <f t="shared" si="71"/>
        <v>912.28160908915061</v>
      </c>
      <c r="DT107" s="59">
        <f ca="1">AVERAGE(OFFSET($DS$3,0,0,'Données projet'!$E$14+1,1))-AVERAGE(OFFSET($H$3,0,0,'Données projet'!$E$14+1,1))</f>
        <v>442.97490100035287</v>
      </c>
      <c r="DU107" s="59">
        <f t="shared" si="98"/>
        <v>334.36243356457049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26.664950112972249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26.664950112972249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5.6843418860808015E-14</v>
      </c>
      <c r="EK107" s="17">
        <f>EJ107*VLOOKUP('Données projet'!$B$15,Paramètres!$A$1:$I$89,3,0)*VLOOKUP('Données projet'!$B$15,Paramètres!$A$1:$I$89,5,0)</f>
        <v>4.4337866711430253E-14</v>
      </c>
      <c r="EL107" s="13">
        <f t="shared" si="99"/>
        <v>7.3222115536967035E-13</v>
      </c>
      <c r="EM107" s="20">
        <f t="shared" si="73"/>
        <v>1.3525069634579169E-12</v>
      </c>
      <c r="EN107" s="59">
        <f t="shared" si="74"/>
        <v>293.33333333333468</v>
      </c>
      <c r="EO107" s="59">
        <f ca="1">AVERAGE(OFFSET($EN$3,0,0,'Données projet'!$E$15+1,1))-AVERAGE(OFFSET($H$3,0,0,'Données projet'!$E$15+1,1))</f>
        <v>288.82868507674738</v>
      </c>
      <c r="EP107" s="59">
        <f t="shared" si="100"/>
        <v>283.48738729114024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41.310141145598408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41.310141145598408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328.55201074501201</v>
      </c>
      <c r="FK107" s="59">
        <f t="shared" si="102"/>
        <v>321.81422611044985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59.669811722313462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59.669811722313462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353.37024194969638</v>
      </c>
      <c r="GF107" s="59">
        <f t="shared" si="104"/>
        <v>345.4750813433123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79.805789750328174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79.805789750328174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1.2710188457276673E-13</v>
      </c>
      <c r="P108" s="13">
        <f t="shared" si="87"/>
        <v>1.856866851063998E-12</v>
      </c>
      <c r="Q108" s="20">
        <f t="shared" si="107"/>
        <v>3.4554122145673649E-12</v>
      </c>
      <c r="R108" s="59">
        <f t="shared" si="55"/>
        <v>293.33333333333678</v>
      </c>
      <c r="S108" s="59">
        <f ca="1">AVERAGE(OFFSET($R$3,0,0,'Données projet'!$E$9+1,1))-AVERAGE(OFFSET($H$3,0,0,'Données projet'!$E$9+1,1))</f>
        <v>404.65492118472037</v>
      </c>
      <c r="T108" s="59">
        <f t="shared" si="88"/>
        <v>534.22295841722166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102.31271544104055</v>
      </c>
      <c r="AA108" s="21">
        <f>EXP(-LN(2)/25)*AA107+(1-EXP(-LN(2)/25))/(LN(2)/25)*Calculateur!V108*Calculateur!X108*VLOOKUP('Données projet'!$B$9,Paramètres!$A$1:$I$89,3,0)*0.475*44/12</f>
        <v>17.874103715815313</v>
      </c>
      <c r="AB108" s="21">
        <f>EXP(-LN(2)/2)*AB107+(1-EXP(-LN(2)/2))/(LN(2)/2)*V108*Y108*VLOOKUP('Données projet'!$B$9,Paramètres!$A$1:$I$89,3,0)*0.475*44/12</f>
        <v>8.8562046148886024E-7</v>
      </c>
      <c r="AC108" s="22">
        <f t="shared" si="57"/>
        <v>120.18682004247633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-7.9808160080574461E-14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331.17634116262298</v>
      </c>
      <c r="AO108" s="59">
        <f t="shared" si="90"/>
        <v>286.28916368940605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148.81845239879843</v>
      </c>
      <c r="AV108" s="21">
        <f>EXP(-LN(2)/25)*AV107+(1-EXP(-LN(2)/25))/(LN(2)/25)*Calculateur!AQ108*Calculateur!AS108*VLOOKUP('Données projet'!$B$10,Paramètres!$A$1:$I$89,3,0)*0.475*44/12</f>
        <v>51.187740355645531</v>
      </c>
      <c r="AW108" s="21">
        <f>EXP(-LN(2)/2)*AW107+(1-EXP(-LN(2)/2))/(LN(2)/2)*AQ108*AT108*VLOOKUP('Données projet'!$B$10,Paramètres!$A$1:$I$89,3,0)*0.475*44/12</f>
        <v>4.3875904527195573</v>
      </c>
      <c r="AX108" s="21">
        <f t="shared" si="60"/>
        <v>204.39378320716352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1.4210854715202004E-13</v>
      </c>
      <c r="BE108" s="13">
        <f>BD108*VLOOKUP('Données projet'!$B$11,Paramètres!$A$1:$I$89,3,0)*VLOOKUP('Données projet'!$B$11,Paramètres!$A$1:$I$89,5,0)</f>
        <v>7.7591266745002952E-14</v>
      </c>
      <c r="BF108" s="13">
        <f t="shared" si="91"/>
        <v>1.2005788606873384E-12</v>
      </c>
      <c r="BG108" s="20">
        <f t="shared" si="61"/>
        <v>2.226146305277994E-12</v>
      </c>
      <c r="BH108" s="59">
        <f t="shared" si="62"/>
        <v>293.33333333333553</v>
      </c>
      <c r="BI108" s="59">
        <f ca="1">AVERAGE(OFFSET($BH$3,0,0,'Données projet'!$E$11+1,1))-AVERAGE(OFFSET($H$3,0,0,'Données projet'!$E$11+1,1))</f>
        <v>165.87377022031535</v>
      </c>
      <c r="BJ108" s="59">
        <f t="shared" si="92"/>
        <v>272.91122662088929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31.032958161010693</v>
      </c>
      <c r="BQ108" s="21">
        <f>EXP(-LN(2)/25)*BQ107+(1-EXP(-LN(2)/25))/(LN(2)/25)*Calculateur!BL108*Calculateur!BN108*VLOOKUP('Données projet'!$B$11,Paramètres!$A$1:$I$89,3,0)*0.475*44/12</f>
        <v>6.3646427744044018</v>
      </c>
      <c r="BR108" s="21">
        <f>EXP(-LN(2)/2)*BR107+(1-EXP(-LN(2)/2))/(LN(2)/2)*BL108*BO108*VLOOKUP('Données projet'!$B$11,Paramètres!$A$1:$I$89,3,0)*0.475*44/12</f>
        <v>4.2418878239659848E-9</v>
      </c>
      <c r="BS108" s="22">
        <f t="shared" si="63"/>
        <v>37.397600939656989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9.8020000000000032</v>
      </c>
      <c r="BY108" s="12">
        <f>IF('Données projet'!$A$114&gt;35,BY107+BX108-CG107,IF(A108&lt;'Données projet'!$A$114,$BV$205^A108,IF(A108='Données projet'!$A$114,'Données projet'!$B$114,BY107+BX108-CG107)))</f>
        <v>434.55999999999983</v>
      </c>
      <c r="BZ108" s="13">
        <f>BY108*VLOOKUP('Données projet'!$B$12,Paramètres!$A$1:$I$89,3,0)*VLOOKUP('Données projet'!$B$12,Paramètres!$A$1:$I$89,5,0)</f>
        <v>393.18988799999983</v>
      </c>
      <c r="CA108" s="13">
        <f t="shared" si="93"/>
        <v>90.394642736232541</v>
      </c>
      <c r="CB108" s="20">
        <f t="shared" si="64"/>
        <v>842.24305769893783</v>
      </c>
      <c r="CC108" s="59">
        <f t="shared" si="65"/>
        <v>1135.5763910322712</v>
      </c>
      <c r="CD108" s="59">
        <f ca="1">AVERAGE(OFFSET($CC$3,0,0,'Données projet'!$E$12+1,1))-AVERAGE(OFFSET($H$3,0,0,'Données projet'!$E$12+1,1))</f>
        <v>639.86968831634636</v>
      </c>
      <c r="CE108" s="59">
        <f t="shared" si="94"/>
        <v>218.1556771431184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29.859394143350073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29.859394143350073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1.1368683772161603E-13</v>
      </c>
      <c r="CU108" s="17">
        <f>CT108*VLOOKUP('Données projet'!$B$13,Paramètres!$A$1:$I$89,3,0)*VLOOKUP('Données projet'!$B$13,Paramètres!$A$1:$I$89,5,0)</f>
        <v>9.9316821433603781E-14</v>
      </c>
      <c r="CV108" s="13">
        <f t="shared" si="95"/>
        <v>1.4932118279712753E-12</v>
      </c>
      <c r="CW108" s="20">
        <f t="shared" si="67"/>
        <v>2.7736540643801645E-12</v>
      </c>
      <c r="CX108" s="59">
        <f t="shared" si="68"/>
        <v>293.3333333333361</v>
      </c>
      <c r="CY108" s="59">
        <f ca="1">AVERAGE(OFFSET($CX$3,0,0,'Données projet'!$E$13+1,1))-AVERAGE(OFFSET($H$3,0,0,'Données projet'!$E$13+1,1))</f>
        <v>218.76600554860482</v>
      </c>
      <c r="CZ108" s="59">
        <f t="shared" si="96"/>
        <v>264.34840059907702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23.135068886621731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23.135068886621731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7.3508333333333313</v>
      </c>
      <c r="DO108" s="12">
        <f>IF('Données projet'!$A$166&gt;35,DO107+DN108-DW107,IF(A108&lt;'Données projet'!$A$166,$DL$205^A108,IF(A108='Données projet'!$A$166,'Données projet'!$B$166,DO107+DN108-DW107)))</f>
        <v>341.78499999999968</v>
      </c>
      <c r="DP108" s="17">
        <f>DO108*VLOOKUP('Données projet'!$B$14,Paramètres!$A$1:$I$89,3,0)*VLOOKUP('Données projet'!$B$14,Paramètres!$A$1:$I$89,5,0)</f>
        <v>293.25152999999978</v>
      </c>
      <c r="DQ108" s="13">
        <f t="shared" si="97"/>
        <v>69.759857079965926</v>
      </c>
      <c r="DR108" s="20">
        <f t="shared" si="70"/>
        <v>632.24483249760681</v>
      </c>
      <c r="DS108" s="59">
        <f t="shared" si="71"/>
        <v>925.57816583094018</v>
      </c>
      <c r="DT108" s="59">
        <f ca="1">AVERAGE(OFFSET($DS$3,0,0,'Données projet'!$E$14+1,1))-AVERAGE(OFFSET($H$3,0,0,'Données projet'!$E$14+1,1))</f>
        <v>442.97490100035287</v>
      </c>
      <c r="DU108" s="59">
        <f t="shared" si="98"/>
        <v>334.36243356457049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26.142066705270494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26.142066705270494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5.6843418860808015E-14</v>
      </c>
      <c r="EK108" s="17">
        <f>EJ108*VLOOKUP('Données projet'!$B$15,Paramètres!$A$1:$I$89,3,0)*VLOOKUP('Données projet'!$B$15,Paramètres!$A$1:$I$89,5,0)</f>
        <v>4.4337866711430253E-14</v>
      </c>
      <c r="EL108" s="13">
        <f t="shared" si="99"/>
        <v>7.3222115536967035E-13</v>
      </c>
      <c r="EM108" s="20">
        <f t="shared" si="73"/>
        <v>1.3525069634579169E-12</v>
      </c>
      <c r="EN108" s="59">
        <f t="shared" si="74"/>
        <v>293.33333333333468</v>
      </c>
      <c r="EO108" s="59">
        <f ca="1">AVERAGE(OFFSET($EN$3,0,0,'Données projet'!$E$15+1,1))-AVERAGE(OFFSET($H$3,0,0,'Données projet'!$E$15+1,1))</f>
        <v>288.82868507674738</v>
      </c>
      <c r="EP108" s="59">
        <f t="shared" si="100"/>
        <v>283.48738729114024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40.500074474431358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40.500074474431358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328.55201074501201</v>
      </c>
      <c r="FK108" s="59">
        <f t="shared" si="102"/>
        <v>321.81422611044985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58.499723109430342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58.499723109430342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353.37024194969638</v>
      </c>
      <c r="GF108" s="59">
        <f t="shared" si="104"/>
        <v>345.4750813433123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78.240846890049554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78.240846890049554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1.2710188457276673E-13</v>
      </c>
      <c r="P109" s="13">
        <f t="shared" si="87"/>
        <v>1.856866851063998E-12</v>
      </c>
      <c r="Q109" s="20">
        <f t="shared" si="107"/>
        <v>3.4554122145673649E-12</v>
      </c>
      <c r="R109" s="59">
        <f t="shared" si="55"/>
        <v>293.33333333333678</v>
      </c>
      <c r="S109" s="59">
        <f ca="1">AVERAGE(OFFSET($R$3,0,0,'Données projet'!$E$9+1,1))-AVERAGE(OFFSET($H$3,0,0,'Données projet'!$E$9+1,1))</f>
        <v>404.65492118472037</v>
      </c>
      <c r="T109" s="59">
        <f t="shared" si="88"/>
        <v>534.22295841722166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100.30642549583622</v>
      </c>
      <c r="AA109" s="21">
        <f>EXP(-LN(2)/25)*AA108+(1-EXP(-LN(2)/25))/(LN(2)/25)*Calculateur!V109*Calculateur!X109*VLOOKUP('Données projet'!$B$9,Paramètres!$A$1:$I$89,3,0)*0.475*44/12</f>
        <v>17.38533540974808</v>
      </c>
      <c r="AB109" s="21">
        <f>EXP(-LN(2)/2)*AB108+(1-EXP(-LN(2)/2))/(LN(2)/2)*V109*Y109*VLOOKUP('Données projet'!$B$9,Paramètres!$A$1:$I$89,3,0)*0.475*44/12</f>
        <v>6.2622823387633273E-7</v>
      </c>
      <c r="AC109" s="22">
        <f t="shared" si="57"/>
        <v>117.69176153181253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-7.9808160080574461E-14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331.17634116262298</v>
      </c>
      <c r="AO109" s="59">
        <f t="shared" si="90"/>
        <v>286.28916368940605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145.90021331755113</v>
      </c>
      <c r="AV109" s="21">
        <f>EXP(-LN(2)/25)*AV108+(1-EXP(-LN(2)/25))/(LN(2)/25)*Calculateur!AQ109*Calculateur!AS109*VLOOKUP('Données projet'!$B$10,Paramètres!$A$1:$I$89,3,0)*0.475*44/12</f>
        <v>49.788008903774127</v>
      </c>
      <c r="AW109" s="21">
        <f>EXP(-LN(2)/2)*AW108+(1-EXP(-LN(2)/2))/(LN(2)/2)*AQ109*AT109*VLOOKUP('Données projet'!$B$10,Paramètres!$A$1:$I$89,3,0)*0.475*44/12</f>
        <v>3.102494962187353</v>
      </c>
      <c r="AX109" s="21">
        <f t="shared" si="60"/>
        <v>198.79071718351261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1.4210854715202004E-13</v>
      </c>
      <c r="BE109" s="13">
        <f>BD109*VLOOKUP('Données projet'!$B$11,Paramètres!$A$1:$I$89,3,0)*VLOOKUP('Données projet'!$B$11,Paramètres!$A$1:$I$89,5,0)</f>
        <v>7.7591266745002952E-14</v>
      </c>
      <c r="BF109" s="13">
        <f t="shared" si="91"/>
        <v>1.2005788606873384E-12</v>
      </c>
      <c r="BG109" s="20">
        <f t="shared" si="61"/>
        <v>2.226146305277994E-12</v>
      </c>
      <c r="BH109" s="59">
        <f t="shared" si="62"/>
        <v>293.33333333333553</v>
      </c>
      <c r="BI109" s="59">
        <f ca="1">AVERAGE(OFFSET($BH$3,0,0,'Données projet'!$E$11+1,1))-AVERAGE(OFFSET($H$3,0,0,'Données projet'!$E$11+1,1))</f>
        <v>165.87377022031535</v>
      </c>
      <c r="BJ109" s="59">
        <f t="shared" si="92"/>
        <v>272.91122662088929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30.424420779708743</v>
      </c>
      <c r="BQ109" s="21">
        <f>EXP(-LN(2)/25)*BQ108+(1-EXP(-LN(2)/25))/(LN(2)/25)*Calculateur!BL109*Calculateur!BN109*VLOOKUP('Données projet'!$B$11,Paramètres!$A$1:$I$89,3,0)*0.475*44/12</f>
        <v>6.1906012830362966</v>
      </c>
      <c r="BR109" s="21">
        <f>EXP(-LN(2)/2)*BR108+(1-EXP(-LN(2)/2))/(LN(2)/2)*BL109*BO109*VLOOKUP('Données projet'!$B$11,Paramètres!$A$1:$I$89,3,0)*0.475*44/12</f>
        <v>2.9994676453589959E-9</v>
      </c>
      <c r="BS109" s="22">
        <f t="shared" si="63"/>
        <v>36.615022065744512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9.8020000000000032</v>
      </c>
      <c r="BY109" s="12">
        <f>IF('Données projet'!$A$114&gt;35,BY108+BX109-CG108,IF(A109&lt;'Données projet'!$A$114,$BV$205^A109,IF(A109='Données projet'!$A$114,'Données projet'!$B$114,BY108+BX109-CG108)))</f>
        <v>444.36199999999985</v>
      </c>
      <c r="BZ109" s="13">
        <f>BY109*VLOOKUP('Données projet'!$B$12,Paramètres!$A$1:$I$89,3,0)*VLOOKUP('Données projet'!$B$12,Paramètres!$A$1:$I$89,5,0)</f>
        <v>402.05873759999986</v>
      </c>
      <c r="CA109" s="13">
        <f t="shared" si="93"/>
        <v>92.193917890103961</v>
      </c>
      <c r="CB109" s="20">
        <f t="shared" si="64"/>
        <v>860.8233749785976</v>
      </c>
      <c r="CC109" s="59">
        <f t="shared" si="65"/>
        <v>1154.156708311931</v>
      </c>
      <c r="CD109" s="59">
        <f ca="1">AVERAGE(OFFSET($CC$3,0,0,'Données projet'!$E$12+1,1))-AVERAGE(OFFSET($H$3,0,0,'Données projet'!$E$12+1,1))</f>
        <v>639.86968831634636</v>
      </c>
      <c r="CE109" s="59">
        <f t="shared" si="94"/>
        <v>218.1556771431184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29.273869636631076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29.273869636631076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1.1368683772161603E-13</v>
      </c>
      <c r="CU109" s="17">
        <f>CT109*VLOOKUP('Données projet'!$B$13,Paramètres!$A$1:$I$89,3,0)*VLOOKUP('Données projet'!$B$13,Paramètres!$A$1:$I$89,5,0)</f>
        <v>9.9316821433603781E-14</v>
      </c>
      <c r="CV109" s="13">
        <f t="shared" si="95"/>
        <v>1.4932118279712753E-12</v>
      </c>
      <c r="CW109" s="20">
        <f t="shared" si="67"/>
        <v>2.7736540643801645E-12</v>
      </c>
      <c r="CX109" s="59">
        <f t="shared" si="68"/>
        <v>293.3333333333361</v>
      </c>
      <c r="CY109" s="59">
        <f ca="1">AVERAGE(OFFSET($CX$3,0,0,'Données projet'!$E$13+1,1))-AVERAGE(OFFSET($H$3,0,0,'Données projet'!$E$13+1,1))</f>
        <v>218.76600554860482</v>
      </c>
      <c r="CZ109" s="59">
        <f t="shared" si="96"/>
        <v>264.34840059907702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22.681404296753755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22.681404296753755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7.3508333333333313</v>
      </c>
      <c r="DO109" s="12">
        <f>IF('Données projet'!$A$166&gt;35,DO108+DN109-DW108,IF(A109&lt;'Données projet'!$A$166,$DL$205^A109,IF(A109='Données projet'!$A$166,'Données projet'!$B$166,DO108+DN109-DW108)))</f>
        <v>349.13583333333304</v>
      </c>
      <c r="DP109" s="17">
        <f>DO109*VLOOKUP('Données projet'!$B$14,Paramètres!$A$1:$I$89,3,0)*VLOOKUP('Données projet'!$B$14,Paramètres!$A$1:$I$89,5,0)</f>
        <v>299.55854499999981</v>
      </c>
      <c r="DQ109" s="13">
        <f t="shared" si="97"/>
        <v>71.083909621028056</v>
      </c>
      <c r="DR109" s="20">
        <f t="shared" si="70"/>
        <v>645.53560846495691</v>
      </c>
      <c r="DS109" s="59">
        <f t="shared" si="71"/>
        <v>938.86894179829028</v>
      </c>
      <c r="DT109" s="59">
        <f ca="1">AVERAGE(OFFSET($DS$3,0,0,'Données projet'!$E$14+1,1))-AVERAGE(OFFSET($H$3,0,0,'Données projet'!$E$14+1,1))</f>
        <v>442.97490100035287</v>
      </c>
      <c r="DU109" s="59">
        <f t="shared" si="98"/>
        <v>334.36243356457049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25.629436722266384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25.629436722266384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5.6843418860808015E-14</v>
      </c>
      <c r="EK109" s="17">
        <f>EJ109*VLOOKUP('Données projet'!$B$15,Paramètres!$A$1:$I$89,3,0)*VLOOKUP('Données projet'!$B$15,Paramètres!$A$1:$I$89,5,0)</f>
        <v>4.4337866711430253E-14</v>
      </c>
      <c r="EL109" s="13">
        <f t="shared" si="99"/>
        <v>7.3222115536967035E-13</v>
      </c>
      <c r="EM109" s="20">
        <f t="shared" si="73"/>
        <v>1.3525069634579169E-12</v>
      </c>
      <c r="EN109" s="59">
        <f t="shared" si="74"/>
        <v>293.33333333333468</v>
      </c>
      <c r="EO109" s="59">
        <f ca="1">AVERAGE(OFFSET($EN$3,0,0,'Données projet'!$E$15+1,1))-AVERAGE(OFFSET($H$3,0,0,'Données projet'!$E$15+1,1))</f>
        <v>288.82868507674738</v>
      </c>
      <c r="EP109" s="59">
        <f t="shared" si="100"/>
        <v>283.48738729114024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39.705892716594008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39.705892716594008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328.55201074501201</v>
      </c>
      <c r="FK109" s="59">
        <f t="shared" si="102"/>
        <v>321.81422611044985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57.352579220562269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57.352579220562269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353.37024194969638</v>
      </c>
      <c r="GF109" s="59">
        <f t="shared" si="104"/>
        <v>345.4750813433123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76.706591604740112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76.706591604740112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1.2710188457276673E-13</v>
      </c>
      <c r="P110" s="13">
        <f t="shared" si="87"/>
        <v>1.856866851063998E-12</v>
      </c>
      <c r="Q110" s="20">
        <f t="shared" si="107"/>
        <v>3.4554122145673649E-12</v>
      </c>
      <c r="R110" s="59">
        <f t="shared" si="55"/>
        <v>293.33333333333678</v>
      </c>
      <c r="S110" s="59">
        <f ca="1">AVERAGE(OFFSET($R$3,0,0,'Données projet'!$E$9+1,1))-AVERAGE(OFFSET($H$3,0,0,'Données projet'!$E$9+1,1))</f>
        <v>404.65492118472037</v>
      </c>
      <c r="T110" s="59">
        <f t="shared" si="88"/>
        <v>534.22295841722166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98.33947767274131</v>
      </c>
      <c r="AA110" s="21">
        <f>EXP(-LN(2)/25)*AA109+(1-EXP(-LN(2)/25))/(LN(2)/25)*Calculateur!V110*Calculateur!X110*VLOOKUP('Données projet'!$B$9,Paramètres!$A$1:$I$89,3,0)*0.475*44/12</f>
        <v>16.909932498713463</v>
      </c>
      <c r="AB110" s="21">
        <f>EXP(-LN(2)/2)*AB109+(1-EXP(-LN(2)/2))/(LN(2)/2)*V110*Y110*VLOOKUP('Données projet'!$B$9,Paramètres!$A$1:$I$89,3,0)*0.475*44/12</f>
        <v>4.4281023074443012E-7</v>
      </c>
      <c r="AC110" s="22">
        <f t="shared" si="57"/>
        <v>115.249410614265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-7.9808160080574461E-14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331.17634116262298</v>
      </c>
      <c r="AO110" s="59">
        <f t="shared" si="90"/>
        <v>286.28916368940605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143.03919912473702</v>
      </c>
      <c r="AV110" s="21">
        <f>EXP(-LN(2)/25)*AV109+(1-EXP(-LN(2)/25))/(LN(2)/25)*Calculateur!AQ110*Calculateur!AS110*VLOOKUP('Données projet'!$B$10,Paramètres!$A$1:$I$89,3,0)*0.475*44/12</f>
        <v>48.426553182062825</v>
      </c>
      <c r="AW110" s="21">
        <f>EXP(-LN(2)/2)*AW109+(1-EXP(-LN(2)/2))/(LN(2)/2)*AQ110*AT110*VLOOKUP('Données projet'!$B$10,Paramètres!$A$1:$I$89,3,0)*0.475*44/12</f>
        <v>2.1937952263597786</v>
      </c>
      <c r="AX110" s="21">
        <f t="shared" si="60"/>
        <v>193.65954753315964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1.4210854715202004E-13</v>
      </c>
      <c r="BE110" s="13">
        <f>BD110*VLOOKUP('Données projet'!$B$11,Paramètres!$A$1:$I$89,3,0)*VLOOKUP('Données projet'!$B$11,Paramètres!$A$1:$I$89,5,0)</f>
        <v>7.7591266745002952E-14</v>
      </c>
      <c r="BF110" s="13">
        <f t="shared" si="91"/>
        <v>1.2005788606873384E-12</v>
      </c>
      <c r="BG110" s="20">
        <f t="shared" si="61"/>
        <v>2.226146305277994E-12</v>
      </c>
      <c r="BH110" s="59">
        <f t="shared" si="62"/>
        <v>293.33333333333553</v>
      </c>
      <c r="BI110" s="59">
        <f ca="1">AVERAGE(OFFSET($BH$3,0,0,'Données projet'!$E$11+1,1))-AVERAGE(OFFSET($H$3,0,0,'Données projet'!$E$11+1,1))</f>
        <v>165.87377022031535</v>
      </c>
      <c r="BJ110" s="59">
        <f t="shared" si="92"/>
        <v>272.91122662088929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29.827816445282973</v>
      </c>
      <c r="BQ110" s="21">
        <f>EXP(-LN(2)/25)*BQ109+(1-EXP(-LN(2)/25))/(LN(2)/25)*Calculateur!BL110*Calculateur!BN110*VLOOKUP('Données projet'!$B$11,Paramètres!$A$1:$I$89,3,0)*0.475*44/12</f>
        <v>6.0213189654020969</v>
      </c>
      <c r="BR110" s="21">
        <f>EXP(-LN(2)/2)*BR109+(1-EXP(-LN(2)/2))/(LN(2)/2)*BL110*BO110*VLOOKUP('Données projet'!$B$11,Paramètres!$A$1:$I$89,3,0)*0.475*44/12</f>
        <v>2.1209439119829924E-9</v>
      </c>
      <c r="BS110" s="22">
        <f t="shared" si="63"/>
        <v>35.849135412806014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9.8020000000000032</v>
      </c>
      <c r="BY110" s="12">
        <f>IF('Données projet'!$A$114&gt;35,BY109+BX110-CG109,IF(A110&lt;'Données projet'!$A$114,$BV$205^A110,IF(A110='Données projet'!$A$114,'Données projet'!$B$114,BY109+BX110-CG109)))</f>
        <v>454.16399999999987</v>
      </c>
      <c r="BZ110" s="13">
        <f>BY110*VLOOKUP('Données projet'!$B$12,Paramètres!$A$1:$I$89,3,0)*VLOOKUP('Données projet'!$B$12,Paramètres!$A$1:$I$89,5,0)</f>
        <v>410.92758719999983</v>
      </c>
      <c r="CA110" s="13">
        <f t="shared" si="93"/>
        <v>93.98857871935499</v>
      </c>
      <c r="CB110" s="20">
        <f t="shared" si="64"/>
        <v>879.39565564287625</v>
      </c>
      <c r="CC110" s="59">
        <f t="shared" si="65"/>
        <v>1172.7289889762096</v>
      </c>
      <c r="CD110" s="59">
        <f ca="1">AVERAGE(OFFSET($CC$3,0,0,'Données projet'!$E$12+1,1))-AVERAGE(OFFSET($H$3,0,0,'Données projet'!$E$12+1,1))</f>
        <v>639.86968831634636</v>
      </c>
      <c r="CE110" s="59">
        <f t="shared" si="94"/>
        <v>218.1556771431184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28.699826908354154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28.699826908354154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1.1368683772161603E-13</v>
      </c>
      <c r="CU110" s="17">
        <f>CT110*VLOOKUP('Données projet'!$B$13,Paramètres!$A$1:$I$89,3,0)*VLOOKUP('Données projet'!$B$13,Paramètres!$A$1:$I$89,5,0)</f>
        <v>9.9316821433603781E-14</v>
      </c>
      <c r="CV110" s="13">
        <f t="shared" si="95"/>
        <v>1.4932118279712753E-12</v>
      </c>
      <c r="CW110" s="20">
        <f t="shared" si="67"/>
        <v>2.7736540643801645E-12</v>
      </c>
      <c r="CX110" s="59">
        <f t="shared" si="68"/>
        <v>293.3333333333361</v>
      </c>
      <c r="CY110" s="59">
        <f ca="1">AVERAGE(OFFSET($CX$3,0,0,'Données projet'!$E$13+1,1))-AVERAGE(OFFSET($H$3,0,0,'Données projet'!$E$13+1,1))</f>
        <v>218.76600554860482</v>
      </c>
      <c r="CZ110" s="59">
        <f t="shared" si="96"/>
        <v>264.34840059907702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22.236635792785012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22.236635792785012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7.3508333333333313</v>
      </c>
      <c r="DO110" s="12">
        <f>IF('Données projet'!$A$166&gt;35,DO109+DN110-DW109,IF(A110&lt;'Données projet'!$A$166,$DL$205^A110,IF(A110='Données projet'!$A$166,'Données projet'!$B$166,DO109+DN110-DW109)))</f>
        <v>356.48666666666639</v>
      </c>
      <c r="DP110" s="17">
        <f>DO110*VLOOKUP('Données projet'!$B$14,Paramètres!$A$1:$I$89,3,0)*VLOOKUP('Données projet'!$B$14,Paramètres!$A$1:$I$89,5,0)</f>
        <v>305.86555999999979</v>
      </c>
      <c r="DQ110" s="13">
        <f t="shared" si="97"/>
        <v>72.404720989126318</v>
      </c>
      <c r="DR110" s="20">
        <f t="shared" si="70"/>
        <v>658.82073938939459</v>
      </c>
      <c r="DS110" s="59">
        <f t="shared" si="71"/>
        <v>952.15407272272796</v>
      </c>
      <c r="DT110" s="59">
        <f ca="1">AVERAGE(OFFSET($DS$3,0,0,'Données projet'!$E$14+1,1))-AVERAGE(OFFSET($H$3,0,0,'Données projet'!$E$14+1,1))</f>
        <v>442.97490100035287</v>
      </c>
      <c r="DU110" s="59">
        <f t="shared" si="98"/>
        <v>334.36243356457049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25.126859100555567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25.126859100555567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5.6843418860808015E-14</v>
      </c>
      <c r="EK110" s="17">
        <f>EJ110*VLOOKUP('Données projet'!$B$15,Paramètres!$A$1:$I$89,3,0)*VLOOKUP('Données projet'!$B$15,Paramètres!$A$1:$I$89,5,0)</f>
        <v>4.4337866711430253E-14</v>
      </c>
      <c r="EL110" s="13">
        <f t="shared" si="99"/>
        <v>7.3222115536967035E-13</v>
      </c>
      <c r="EM110" s="20">
        <f t="shared" si="73"/>
        <v>1.3525069634579169E-12</v>
      </c>
      <c r="EN110" s="59">
        <f t="shared" si="74"/>
        <v>293.33333333333468</v>
      </c>
      <c r="EO110" s="59">
        <f ca="1">AVERAGE(OFFSET($EN$3,0,0,'Données projet'!$E$15+1,1))-AVERAGE(OFFSET($H$3,0,0,'Données projet'!$E$15+1,1))</f>
        <v>288.82868507674738</v>
      </c>
      <c r="EP110" s="59">
        <f t="shared" si="100"/>
        <v>283.48738729114024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38.927284378624805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38.927284378624805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328.55201074501201</v>
      </c>
      <c r="FK110" s="59">
        <f t="shared" si="102"/>
        <v>321.81422611044985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56.227930123666219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56.227930123666219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353.37024194969638</v>
      </c>
      <c r="GF110" s="59">
        <f t="shared" si="104"/>
        <v>345.4750813433123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75.202422129772259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75.202422129772259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1.2710188457276673E-13</v>
      </c>
      <c r="P111" s="13">
        <f t="shared" si="87"/>
        <v>1.856866851063998E-12</v>
      </c>
      <c r="Q111" s="20">
        <f t="shared" si="107"/>
        <v>3.4554122145673649E-12</v>
      </c>
      <c r="R111" s="59">
        <f t="shared" si="55"/>
        <v>293.33333333333678</v>
      </c>
      <c r="S111" s="59">
        <f ca="1">AVERAGE(OFFSET($R$3,0,0,'Données projet'!$E$9+1,1))-AVERAGE(OFFSET($H$3,0,0,'Données projet'!$E$9+1,1))</f>
        <v>404.65492118472037</v>
      </c>
      <c r="T111" s="59">
        <f t="shared" si="88"/>
        <v>534.22295841722166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96.411100496737589</v>
      </c>
      <c r="AA111" s="21">
        <f>EXP(-LN(2)/25)*AA110+(1-EXP(-LN(2)/25))/(LN(2)/25)*Calculateur!V111*Calculateur!X111*VLOOKUP('Données projet'!$B$9,Paramètres!$A$1:$I$89,3,0)*0.475*44/12</f>
        <v>16.447529505281441</v>
      </c>
      <c r="AB111" s="21">
        <f>EXP(-LN(2)/2)*AB110+(1-EXP(-LN(2)/2))/(LN(2)/2)*V111*Y111*VLOOKUP('Données projet'!$B$9,Paramètres!$A$1:$I$89,3,0)*0.475*44/12</f>
        <v>3.1311411693816636E-7</v>
      </c>
      <c r="AC111" s="22">
        <f t="shared" si="57"/>
        <v>112.85863031513314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-7.9808160080574461E-14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331.17634116262298</v>
      </c>
      <c r="AO111" s="59">
        <f t="shared" si="90"/>
        <v>286.28916368940605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140.23428767519763</v>
      </c>
      <c r="AV111" s="21">
        <f>EXP(-LN(2)/25)*AV110+(1-EXP(-LN(2)/25))/(LN(2)/25)*Calculateur!AQ111*Calculateur!AS111*VLOOKUP('Données projet'!$B$10,Paramètres!$A$1:$I$89,3,0)*0.475*44/12</f>
        <v>47.102326538657564</v>
      </c>
      <c r="AW111" s="21">
        <f>EXP(-LN(2)/2)*AW110+(1-EXP(-LN(2)/2))/(LN(2)/2)*AQ111*AT111*VLOOKUP('Données projet'!$B$10,Paramètres!$A$1:$I$89,3,0)*0.475*44/12</f>
        <v>1.5512474810936765</v>
      </c>
      <c r="AX111" s="21">
        <f t="shared" si="60"/>
        <v>188.88786169494887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1.4210854715202004E-13</v>
      </c>
      <c r="BE111" s="13">
        <f>BD111*VLOOKUP('Données projet'!$B$11,Paramètres!$A$1:$I$89,3,0)*VLOOKUP('Données projet'!$B$11,Paramètres!$A$1:$I$89,5,0)</f>
        <v>7.7591266745002952E-14</v>
      </c>
      <c r="BF111" s="13">
        <f t="shared" si="91"/>
        <v>1.2005788606873384E-12</v>
      </c>
      <c r="BG111" s="20">
        <f t="shared" si="61"/>
        <v>2.226146305277994E-12</v>
      </c>
      <c r="BH111" s="59">
        <f t="shared" si="62"/>
        <v>293.33333333333553</v>
      </c>
      <c r="BI111" s="59">
        <f ca="1">AVERAGE(OFFSET($BH$3,0,0,'Données projet'!$E$11+1,1))-AVERAGE(OFFSET($H$3,0,0,'Données projet'!$E$11+1,1))</f>
        <v>165.87377022031535</v>
      </c>
      <c r="BJ111" s="59">
        <f t="shared" si="92"/>
        <v>272.91122662088929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29.242911157962581</v>
      </c>
      <c r="BQ111" s="21">
        <f>EXP(-LN(2)/25)*BQ110+(1-EXP(-LN(2)/25))/(LN(2)/25)*Calculateur!BL111*Calculateur!BN111*VLOOKUP('Données projet'!$B$11,Paramètres!$A$1:$I$89,3,0)*0.475*44/12</f>
        <v>5.8566656816457741</v>
      </c>
      <c r="BR111" s="21">
        <f>EXP(-LN(2)/2)*BR110+(1-EXP(-LN(2)/2))/(LN(2)/2)*BL111*BO111*VLOOKUP('Données projet'!$B$11,Paramètres!$A$1:$I$89,3,0)*0.475*44/12</f>
        <v>1.499733822679498E-9</v>
      </c>
      <c r="BS111" s="22">
        <f t="shared" si="63"/>
        <v>35.099576841108089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9.8020000000000032</v>
      </c>
      <c r="BY111" s="12">
        <f>IF('Données projet'!$A$114&gt;35,BY110+BX111-CG110,IF(A111&lt;'Données projet'!$A$114,$BV$205^A111,IF(A111='Données projet'!$A$114,'Données projet'!$B$114,BY110+BX111-CG110)))</f>
        <v>463.96599999999989</v>
      </c>
      <c r="BZ111" s="13">
        <f>BY111*VLOOKUP('Données projet'!$B$12,Paramètres!$A$1:$I$89,3,0)*VLOOKUP('Données projet'!$B$12,Paramètres!$A$1:$I$89,5,0)</f>
        <v>419.79643679999992</v>
      </c>
      <c r="CA111" s="13">
        <f t="shared" si="93"/>
        <v>95.778736282705594</v>
      </c>
      <c r="CB111" s="20">
        <f t="shared" si="64"/>
        <v>897.96009311904538</v>
      </c>
      <c r="CC111" s="59">
        <f t="shared" si="65"/>
        <v>1191.2934264523788</v>
      </c>
      <c r="CD111" s="59">
        <f ca="1">AVERAGE(OFFSET($CC$3,0,0,'Données projet'!$E$12+1,1))-AVERAGE(OFFSET($H$3,0,0,'Données projet'!$E$12+1,1))</f>
        <v>639.86968831634636</v>
      </c>
      <c r="CE111" s="59">
        <f t="shared" si="94"/>
        <v>218.1556771431184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28.137040807847253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28.137040807847253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1.1368683772161603E-13</v>
      </c>
      <c r="CU111" s="17">
        <f>CT111*VLOOKUP('Données projet'!$B$13,Paramètres!$A$1:$I$89,3,0)*VLOOKUP('Données projet'!$B$13,Paramètres!$A$1:$I$89,5,0)</f>
        <v>9.9316821433603781E-14</v>
      </c>
      <c r="CV111" s="13">
        <f t="shared" si="95"/>
        <v>1.4932118279712753E-12</v>
      </c>
      <c r="CW111" s="20">
        <f t="shared" si="67"/>
        <v>2.7736540643801645E-12</v>
      </c>
      <c r="CX111" s="59">
        <f t="shared" si="68"/>
        <v>293.3333333333361</v>
      </c>
      <c r="CY111" s="59">
        <f ca="1">AVERAGE(OFFSET($CX$3,0,0,'Données projet'!$E$13+1,1))-AVERAGE(OFFSET($H$3,0,0,'Données projet'!$E$13+1,1))</f>
        <v>218.76600554860482</v>
      </c>
      <c r="CZ111" s="59">
        <f t="shared" si="96"/>
        <v>264.34840059907702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21.800588927897095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21.800588927897095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7.3508333333333313</v>
      </c>
      <c r="DO111" s="12">
        <f>IF('Données projet'!$A$166&gt;35,DO110+DN111-DW110,IF(A111&lt;'Données projet'!$A$166,$DL$205^A111,IF(A111='Données projet'!$A$166,'Données projet'!$B$166,DO110+DN111-DW110)))</f>
        <v>363.83749999999975</v>
      </c>
      <c r="DP111" s="17">
        <f>DO111*VLOOKUP('Données projet'!$B$14,Paramètres!$A$1:$I$89,3,0)*VLOOKUP('Données projet'!$B$14,Paramètres!$A$1:$I$89,5,0)</f>
        <v>312.17257499999982</v>
      </c>
      <c r="DQ111" s="13">
        <f t="shared" si="97"/>
        <v>73.722365718593238</v>
      </c>
      <c r="DR111" s="20">
        <f t="shared" si="70"/>
        <v>672.10035508488284</v>
      </c>
      <c r="DS111" s="59">
        <f t="shared" si="71"/>
        <v>965.43368841821621</v>
      </c>
      <c r="DT111" s="59">
        <f ca="1">AVERAGE(OFFSET($DS$3,0,0,'Données projet'!$E$14+1,1))-AVERAGE(OFFSET($H$3,0,0,'Données projet'!$E$14+1,1))</f>
        <v>442.97490100035287</v>
      </c>
      <c r="DU111" s="59">
        <f t="shared" si="98"/>
        <v>334.36243356457049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24.634136719464419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24.634136719464419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5.6843418860808015E-14</v>
      </c>
      <c r="EK111" s="17">
        <f>EJ111*VLOOKUP('Données projet'!$B$15,Paramètres!$A$1:$I$89,3,0)*VLOOKUP('Données projet'!$B$15,Paramètres!$A$1:$I$89,5,0)</f>
        <v>4.4337866711430253E-14</v>
      </c>
      <c r="EL111" s="13">
        <f t="shared" si="99"/>
        <v>7.3222115536967035E-13</v>
      </c>
      <c r="EM111" s="20">
        <f t="shared" si="73"/>
        <v>1.3525069634579169E-12</v>
      </c>
      <c r="EN111" s="59">
        <f t="shared" si="74"/>
        <v>293.33333333333468</v>
      </c>
      <c r="EO111" s="59">
        <f ca="1">AVERAGE(OFFSET($EN$3,0,0,'Données projet'!$E$15+1,1))-AVERAGE(OFFSET($H$3,0,0,'Données projet'!$E$15+1,1))</f>
        <v>288.82868507674738</v>
      </c>
      <c r="EP111" s="59">
        <f t="shared" si="100"/>
        <v>283.48738729114024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38.163944075258989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38.163944075258989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328.55201074501201</v>
      </c>
      <c r="FK111" s="59">
        <f t="shared" si="102"/>
        <v>321.81422611044985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55.125334709592089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55.125334709592089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353.37024194969638</v>
      </c>
      <c r="GF111" s="59">
        <f t="shared" si="104"/>
        <v>345.4750813433123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73.727748500755737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73.727748500755737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1.2710188457276673E-13</v>
      </c>
      <c r="P112" s="13">
        <f t="shared" si="87"/>
        <v>1.856866851063998E-12</v>
      </c>
      <c r="Q112" s="20">
        <f t="shared" si="107"/>
        <v>3.4554122145673649E-12</v>
      </c>
      <c r="R112" s="59">
        <f t="shared" si="55"/>
        <v>293.33333333333678</v>
      </c>
      <c r="S112" s="59">
        <f ca="1">AVERAGE(OFFSET($R$3,0,0,'Données projet'!$E$9+1,1))-AVERAGE(OFFSET($H$3,0,0,'Données projet'!$E$9+1,1))</f>
        <v>404.65492118472037</v>
      </c>
      <c r="T112" s="59">
        <f t="shared" si="88"/>
        <v>534.22295841722166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94.520537620961363</v>
      </c>
      <c r="AA112" s="21">
        <f>EXP(-LN(2)/25)*AA111+(1-EXP(-LN(2)/25))/(LN(2)/25)*Calculateur!V112*Calculateur!X112*VLOOKUP('Données projet'!$B$9,Paramètres!$A$1:$I$89,3,0)*0.475*44/12</f>
        <v>15.997770946021534</v>
      </c>
      <c r="AB112" s="21">
        <f>EXP(-LN(2)/2)*AB111+(1-EXP(-LN(2)/2))/(LN(2)/2)*V112*Y112*VLOOKUP('Données projet'!$B$9,Paramètres!$A$1:$I$89,3,0)*0.475*44/12</f>
        <v>2.2140511537221506E-7</v>
      </c>
      <c r="AC112" s="22">
        <f t="shared" si="57"/>
        <v>110.51830878838801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-7.9808160080574461E-14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331.17634116262298</v>
      </c>
      <c r="AO112" s="59">
        <f t="shared" si="90"/>
        <v>286.28916368940605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137.48437882835665</v>
      </c>
      <c r="AV112" s="21">
        <f>EXP(-LN(2)/25)*AV111+(1-EXP(-LN(2)/25))/(LN(2)/25)*Calculateur!AQ112*Calculateur!AS112*VLOOKUP('Données projet'!$B$10,Paramètres!$A$1:$I$89,3,0)*0.475*44/12</f>
        <v>45.814310942454277</v>
      </c>
      <c r="AW112" s="21">
        <f>EXP(-LN(2)/2)*AW111+(1-EXP(-LN(2)/2))/(LN(2)/2)*AQ112*AT112*VLOOKUP('Données projet'!$B$10,Paramètres!$A$1:$I$89,3,0)*0.475*44/12</f>
        <v>1.0968976131798893</v>
      </c>
      <c r="AX112" s="21">
        <f t="shared" si="60"/>
        <v>184.39558738399083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1.4210854715202004E-13</v>
      </c>
      <c r="BE112" s="13">
        <f>BD112*VLOOKUP('Données projet'!$B$11,Paramètres!$A$1:$I$89,3,0)*VLOOKUP('Données projet'!$B$11,Paramètres!$A$1:$I$89,5,0)</f>
        <v>7.7591266745002952E-14</v>
      </c>
      <c r="BF112" s="13">
        <f t="shared" si="91"/>
        <v>1.2005788606873384E-12</v>
      </c>
      <c r="BG112" s="20">
        <f t="shared" si="61"/>
        <v>2.226146305277994E-12</v>
      </c>
      <c r="BH112" s="59">
        <f t="shared" si="62"/>
        <v>293.33333333333553</v>
      </c>
      <c r="BI112" s="59">
        <f ca="1">AVERAGE(OFFSET($BH$3,0,0,'Données projet'!$E$11+1,1))-AVERAGE(OFFSET($H$3,0,0,'Données projet'!$E$11+1,1))</f>
        <v>165.87377022031535</v>
      </c>
      <c r="BJ112" s="59">
        <f t="shared" si="92"/>
        <v>272.91122662088929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28.66947550656954</v>
      </c>
      <c r="BQ112" s="21">
        <f>EXP(-LN(2)/25)*BQ111+(1-EXP(-LN(2)/25))/(LN(2)/25)*Calculateur!BL112*Calculateur!BN112*VLOOKUP('Données projet'!$B$11,Paramètres!$A$1:$I$89,3,0)*0.475*44/12</f>
        <v>5.6965148505925081</v>
      </c>
      <c r="BR112" s="21">
        <f>EXP(-LN(2)/2)*BR111+(1-EXP(-LN(2)/2))/(LN(2)/2)*BL112*BO112*VLOOKUP('Données projet'!$B$11,Paramètres!$A$1:$I$89,3,0)*0.475*44/12</f>
        <v>1.0604719559914962E-9</v>
      </c>
      <c r="BS112" s="22">
        <f t="shared" si="63"/>
        <v>34.365990358222518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9.8020000000000032</v>
      </c>
      <c r="BY112" s="12">
        <f>IF('Données projet'!$A$114&gt;35,BY111+BX112-CG111,IF(A112&lt;'Données projet'!$A$114,$BV$205^A112,IF(A112='Données projet'!$A$114,'Données projet'!$B$114,BY111+BX112-CG111)))</f>
        <v>473.76799999999992</v>
      </c>
      <c r="BZ112" s="13">
        <f>BY112*VLOOKUP('Données projet'!$B$12,Paramètres!$A$1:$I$89,3,0)*VLOOKUP('Données projet'!$B$12,Paramètres!$A$1:$I$89,5,0)</f>
        <v>428.6652863999999</v>
      </c>
      <c r="CA112" s="13">
        <f t="shared" si="93"/>
        <v>97.564496678185307</v>
      </c>
      <c r="CB112" s="20">
        <f t="shared" si="64"/>
        <v>916.51687219450571</v>
      </c>
      <c r="CC112" s="59">
        <f t="shared" si="65"/>
        <v>1209.8502055278391</v>
      </c>
      <c r="CD112" s="59">
        <f ca="1">AVERAGE(OFFSET($CC$3,0,0,'Données projet'!$E$12+1,1))-AVERAGE(OFFSET($H$3,0,0,'Données projet'!$E$12+1,1))</f>
        <v>639.86968831634636</v>
      </c>
      <c r="CE112" s="59">
        <f t="shared" si="94"/>
        <v>218.1556771431184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27.585290599505665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27.585290599505665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1.1368683772161603E-13</v>
      </c>
      <c r="CU112" s="17">
        <f>CT112*VLOOKUP('Données projet'!$B$13,Paramètres!$A$1:$I$89,3,0)*VLOOKUP('Données projet'!$B$13,Paramètres!$A$1:$I$89,5,0)</f>
        <v>9.9316821433603781E-14</v>
      </c>
      <c r="CV112" s="13">
        <f t="shared" si="95"/>
        <v>1.4932118279712753E-12</v>
      </c>
      <c r="CW112" s="20">
        <f t="shared" si="67"/>
        <v>2.7736540643801645E-12</v>
      </c>
      <c r="CX112" s="59">
        <f t="shared" si="68"/>
        <v>293.3333333333361</v>
      </c>
      <c r="CY112" s="59">
        <f ca="1">AVERAGE(OFFSET($CX$3,0,0,'Données projet'!$E$13+1,1))-AVERAGE(OFFSET($H$3,0,0,'Données projet'!$E$13+1,1))</f>
        <v>218.76600554860482</v>
      </c>
      <c r="CZ112" s="59">
        <f t="shared" si="96"/>
        <v>264.34840059907702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21.373092676067305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21.373092676067305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7.3508333333333313</v>
      </c>
      <c r="DO112" s="12">
        <f>IF('Données projet'!$A$166&gt;35,DO111+DN112-DW111,IF(A112&lt;'Données projet'!$A$166,$DL$205^A112,IF(A112='Données projet'!$A$166,'Données projet'!$B$166,DO111+DN112-DW111)))</f>
        <v>371.18833333333311</v>
      </c>
      <c r="DP112" s="17">
        <f>DO112*VLOOKUP('Données projet'!$B$14,Paramètres!$A$1:$I$89,3,0)*VLOOKUP('Données projet'!$B$14,Paramètres!$A$1:$I$89,5,0)</f>
        <v>318.4795899999998</v>
      </c>
      <c r="DQ112" s="13">
        <f t="shared" si="97"/>
        <v>75.036915159847425</v>
      </c>
      <c r="DR112" s="20">
        <f t="shared" si="70"/>
        <v>685.3745798200672</v>
      </c>
      <c r="DS112" s="59">
        <f t="shared" si="71"/>
        <v>978.70791315340057</v>
      </c>
      <c r="DT112" s="59">
        <f ca="1">AVERAGE(OFFSET($DS$3,0,0,'Données projet'!$E$14+1,1))-AVERAGE(OFFSET($H$3,0,0,'Données projet'!$E$14+1,1))</f>
        <v>442.97490100035287</v>
      </c>
      <c r="DU112" s="59">
        <f t="shared" si="98"/>
        <v>334.36243356457049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24.151076323735492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24.151076323735492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5.6843418860808015E-14</v>
      </c>
      <c r="EK112" s="17">
        <f>EJ112*VLOOKUP('Données projet'!$B$15,Paramètres!$A$1:$I$89,3,0)*VLOOKUP('Données projet'!$B$15,Paramètres!$A$1:$I$89,5,0)</f>
        <v>4.4337866711430253E-14</v>
      </c>
      <c r="EL112" s="13">
        <f t="shared" si="99"/>
        <v>7.3222115536967035E-13</v>
      </c>
      <c r="EM112" s="20">
        <f t="shared" si="73"/>
        <v>1.3525069634579169E-12</v>
      </c>
      <c r="EN112" s="59">
        <f t="shared" si="74"/>
        <v>293.33333333333468</v>
      </c>
      <c r="EO112" s="59">
        <f ca="1">AVERAGE(OFFSET($EN$3,0,0,'Données projet'!$E$15+1,1))-AVERAGE(OFFSET($H$3,0,0,'Données projet'!$E$15+1,1))</f>
        <v>288.82868507674738</v>
      </c>
      <c r="EP112" s="59">
        <f t="shared" si="100"/>
        <v>283.48738729114024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37.415572409650565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37.415572409650565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328.55201074501201</v>
      </c>
      <c r="FK112" s="59">
        <f t="shared" si="102"/>
        <v>321.81422611044985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54.044360519071155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54.044360519071155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353.37024194969638</v>
      </c>
      <c r="GF112" s="59">
        <f t="shared" si="104"/>
        <v>345.4750813433123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72.281992322142131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72.281992322142131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1.2710188457276673E-13</v>
      </c>
      <c r="P113" s="13">
        <f t="shared" si="87"/>
        <v>1.856866851063998E-12</v>
      </c>
      <c r="Q113" s="20">
        <f t="shared" si="107"/>
        <v>3.4554122145673649E-12</v>
      </c>
      <c r="R113" s="59">
        <f t="shared" si="55"/>
        <v>293.33333333333678</v>
      </c>
      <c r="S113" s="59">
        <f ca="1">AVERAGE(OFFSET($R$3,0,0,'Données projet'!$E$9+1,1))-AVERAGE(OFFSET($H$3,0,0,'Données projet'!$E$9+1,1))</f>
        <v>404.65492118472037</v>
      </c>
      <c r="T113" s="59">
        <f t="shared" si="88"/>
        <v>534.22295841722166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92.667047530049615</v>
      </c>
      <c r="AA113" s="21">
        <f>EXP(-LN(2)/25)*AA112+(1-EXP(-LN(2)/25))/(LN(2)/25)*Calculateur!V113*Calculateur!X113*VLOOKUP('Données projet'!$B$9,Paramètres!$A$1:$I$89,3,0)*0.475*44/12</f>
        <v>15.560311058216364</v>
      </c>
      <c r="AB113" s="21">
        <f>EXP(-LN(2)/2)*AB112+(1-EXP(-LN(2)/2))/(LN(2)/2)*V113*Y113*VLOOKUP('Données projet'!$B$9,Paramètres!$A$1:$I$89,3,0)*0.475*44/12</f>
        <v>1.5655705846908318E-7</v>
      </c>
      <c r="AC113" s="22">
        <f t="shared" si="57"/>
        <v>108.22735874482305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-7.9808160080574461E-14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331.17634116262298</v>
      </c>
      <c r="AO113" s="59">
        <f t="shared" si="90"/>
        <v>286.28916368940605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134.78839401672346</v>
      </c>
      <c r="AV113" s="21">
        <f>EXP(-LN(2)/25)*AV112+(1-EXP(-LN(2)/25))/(LN(2)/25)*Calculateur!AQ113*Calculateur!AS113*VLOOKUP('Données projet'!$B$10,Paramètres!$A$1:$I$89,3,0)*0.475*44/12</f>
        <v>44.561516200462961</v>
      </c>
      <c r="AW113" s="21">
        <f>EXP(-LN(2)/2)*AW112+(1-EXP(-LN(2)/2))/(LN(2)/2)*AQ113*AT113*VLOOKUP('Données projet'!$B$10,Paramètres!$A$1:$I$89,3,0)*0.475*44/12</f>
        <v>0.77562374054683825</v>
      </c>
      <c r="AX113" s="21">
        <f t="shared" si="60"/>
        <v>180.12553395773327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1.4210854715202004E-13</v>
      </c>
      <c r="BE113" s="13">
        <f>BD113*VLOOKUP('Données projet'!$B$11,Paramètres!$A$1:$I$89,3,0)*VLOOKUP('Données projet'!$B$11,Paramètres!$A$1:$I$89,5,0)</f>
        <v>7.7591266745002952E-14</v>
      </c>
      <c r="BF113" s="13">
        <f t="shared" si="91"/>
        <v>1.2005788606873384E-12</v>
      </c>
      <c r="BG113" s="20">
        <f t="shared" si="61"/>
        <v>2.226146305277994E-12</v>
      </c>
      <c r="BH113" s="59">
        <f t="shared" si="62"/>
        <v>293.33333333333553</v>
      </c>
      <c r="BI113" s="59">
        <f ca="1">AVERAGE(OFFSET($BH$3,0,0,'Données projet'!$E$11+1,1))-AVERAGE(OFFSET($H$3,0,0,'Données projet'!$E$11+1,1))</f>
        <v>165.87377022031535</v>
      </c>
      <c r="BJ113" s="59">
        <f t="shared" si="92"/>
        <v>272.91122662088929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28.107284578539108</v>
      </c>
      <c r="BQ113" s="21">
        <f>EXP(-LN(2)/25)*BQ112+(1-EXP(-LN(2)/25))/(LN(2)/25)*Calculateur!BL113*Calculateur!BN113*VLOOKUP('Données projet'!$B$11,Paramètres!$A$1:$I$89,3,0)*0.475*44/12</f>
        <v>5.5407433524363592</v>
      </c>
      <c r="BR113" s="21">
        <f>EXP(-LN(2)/2)*BR112+(1-EXP(-LN(2)/2))/(LN(2)/2)*BL113*BO113*VLOOKUP('Données projet'!$B$11,Paramètres!$A$1:$I$89,3,0)*0.475*44/12</f>
        <v>7.4986691133974898E-10</v>
      </c>
      <c r="BS113" s="22">
        <f t="shared" si="63"/>
        <v>33.648027931725331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483.57</v>
      </c>
      <c r="BW113" s="12">
        <f>VLOOKUP(A113,'Données projet'!$A$113:$I$133,9,0)</f>
        <v>9.8020000000000032</v>
      </c>
      <c r="BX113" s="12">
        <f t="array" ref="BX113">INDEX(BW:BW,MIN(IF(ISNUMBER(BW113:BW309),ROW(BW113:BW309),"")))</f>
        <v>9.8020000000000032</v>
      </c>
      <c r="BY113" s="12">
        <f>IF('Données projet'!$A$114&gt;35,BY112+BX113-CG112,IF(A113&lt;'Données projet'!$A$114,$BV$205^A113,IF(A113='Données projet'!$A$114,'Données projet'!$B$114,BY112+BX113-CG112)))</f>
        <v>483.56999999999994</v>
      </c>
      <c r="BZ113" s="13">
        <f>BY113*VLOOKUP('Données projet'!$B$12,Paramètres!$A$1:$I$89,3,0)*VLOOKUP('Données projet'!$B$12,Paramètres!$A$1:$I$89,5,0)</f>
        <v>437.53413599999993</v>
      </c>
      <c r="CA113" s="13">
        <f t="shared" si="93"/>
        <v>99.345961362688982</v>
      </c>
      <c r="CB113" s="20">
        <f t="shared" si="64"/>
        <v>935.06616957334984</v>
      </c>
      <c r="CC113" s="59">
        <f t="shared" si="65"/>
        <v>1228.3995029066832</v>
      </c>
      <c r="CD113" s="59">
        <f ca="1">AVERAGE(OFFSET($CC$3,0,0,'Données projet'!$E$12+1,1))-AVERAGE(OFFSET($H$3,0,0,'Données projet'!$E$12+1,1))</f>
        <v>639.86968831634636</v>
      </c>
      <c r="CE113" s="59">
        <f t="shared" si="94"/>
        <v>218.1556771431184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67.22</v>
      </c>
      <c r="CH113" s="16">
        <f>IF(ISNA(VLOOKUP(A113,'Données projet'!$A$113:$I$133,5,0)),0%,VLOOKUP(A113,'Données projet'!$A$113:$I$133,5,0)*VLOOKUP('Données projet'!$B$12,Paramètres!$A$1:$I$89,7,0))</f>
        <v>0.17200000000000001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38.608854467758491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38.608854467758491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1.1368683772161603E-13</v>
      </c>
      <c r="CU113" s="17">
        <f>CT113*VLOOKUP('Données projet'!$B$13,Paramètres!$A$1:$I$89,3,0)*VLOOKUP('Données projet'!$B$13,Paramètres!$A$1:$I$89,5,0)</f>
        <v>9.9316821433603781E-14</v>
      </c>
      <c r="CV113" s="13">
        <f t="shared" si="95"/>
        <v>1.4932118279712753E-12</v>
      </c>
      <c r="CW113" s="20">
        <f t="shared" si="67"/>
        <v>2.7736540643801645E-12</v>
      </c>
      <c r="CX113" s="59">
        <f t="shared" si="68"/>
        <v>293.3333333333361</v>
      </c>
      <c r="CY113" s="59">
        <f ca="1">AVERAGE(OFFSET($CX$3,0,0,'Données projet'!$E$13+1,1))-AVERAGE(OFFSET($H$3,0,0,'Données projet'!$E$13+1,1))</f>
        <v>218.76600554860482</v>
      </c>
      <c r="CZ113" s="59">
        <f t="shared" si="96"/>
        <v>264.34840059907702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20.953979364988928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20.953979364988928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7.3508333333333313</v>
      </c>
      <c r="DO113" s="12">
        <f>IF('Données projet'!$A$166&gt;35,DO112+DN113-DW112,IF(A113&lt;'Données projet'!$A$166,$DL$205^A113,IF(A113='Données projet'!$A$166,'Données projet'!$B$166,DO112+DN113-DW112)))</f>
        <v>378.53916666666646</v>
      </c>
      <c r="DP113" s="17">
        <f>DO113*VLOOKUP('Données projet'!$B$14,Paramètres!$A$1:$I$89,3,0)*VLOOKUP('Données projet'!$B$14,Paramètres!$A$1:$I$89,5,0)</f>
        <v>324.78660499999989</v>
      </c>
      <c r="DQ113" s="13">
        <f t="shared" si="97"/>
        <v>76.348437675716028</v>
      </c>
      <c r="DR113" s="20">
        <f t="shared" si="70"/>
        <v>698.6435326602051</v>
      </c>
      <c r="DS113" s="59">
        <f t="shared" si="71"/>
        <v>991.97686599353847</v>
      </c>
      <c r="DT113" s="59">
        <f ca="1">AVERAGE(OFFSET($DS$3,0,0,'Données projet'!$E$14+1,1))-AVERAGE(OFFSET($H$3,0,0,'Données projet'!$E$14+1,1))</f>
        <v>442.97490100035287</v>
      </c>
      <c r="DU113" s="59">
        <f t="shared" si="98"/>
        <v>334.36243356457049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23.677488447729061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23.677488447729061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5.6843418860808015E-14</v>
      </c>
      <c r="EK113" s="17">
        <f>EJ113*VLOOKUP('Données projet'!$B$15,Paramètres!$A$1:$I$89,3,0)*VLOOKUP('Données projet'!$B$15,Paramètres!$A$1:$I$89,5,0)</f>
        <v>4.4337866711430253E-14</v>
      </c>
      <c r="EL113" s="13">
        <f t="shared" si="99"/>
        <v>7.3222115536967035E-13</v>
      </c>
      <c r="EM113" s="20">
        <f t="shared" si="73"/>
        <v>1.3525069634579169E-12</v>
      </c>
      <c r="EN113" s="59">
        <f t="shared" si="74"/>
        <v>293.33333333333468</v>
      </c>
      <c r="EO113" s="59">
        <f ca="1">AVERAGE(OFFSET($EN$3,0,0,'Données projet'!$E$15+1,1))-AVERAGE(OFFSET($H$3,0,0,'Données projet'!$E$15+1,1))</f>
        <v>288.82868507674738</v>
      </c>
      <c r="EP113" s="59">
        <f t="shared" si="100"/>
        <v>283.48738729114024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36.681875855943076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36.681875855943076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328.55201074501201</v>
      </c>
      <c r="FK113" s="59">
        <f t="shared" si="102"/>
        <v>321.81422611044985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52.984583573097183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52.984583573097183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353.37024194969638</v>
      </c>
      <c r="GF113" s="59">
        <f t="shared" si="104"/>
        <v>345.4750813433123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70.864586540366943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70.864586540366943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1.2710188457276673E-13</v>
      </c>
      <c r="P114" s="13">
        <f t="shared" si="87"/>
        <v>1.856866851063998E-12</v>
      </c>
      <c r="Q114" s="20">
        <f t="shared" si="107"/>
        <v>3.4554122145673649E-12</v>
      </c>
      <c r="R114" s="59">
        <f t="shared" si="55"/>
        <v>293.33333333333678</v>
      </c>
      <c r="S114" s="59">
        <f ca="1">AVERAGE(OFFSET($R$3,0,0,'Données projet'!$E$9+1,1))-AVERAGE(OFFSET($H$3,0,0,'Données projet'!$E$9+1,1))</f>
        <v>404.65492118472037</v>
      </c>
      <c r="T114" s="59">
        <f t="shared" si="88"/>
        <v>534.22295841722166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90.849903249303324</v>
      </c>
      <c r="AA114" s="21">
        <f>EXP(-LN(2)/25)*AA113+(1-EXP(-LN(2)/25))/(LN(2)/25)*Calculateur!V114*Calculateur!X114*VLOOKUP('Données projet'!$B$9,Paramètres!$A$1:$I$89,3,0)*0.475*44/12</f>
        <v>15.134813534048241</v>
      </c>
      <c r="AB114" s="21">
        <f>EXP(-LN(2)/2)*AB113+(1-EXP(-LN(2)/2))/(LN(2)/2)*V114*Y114*VLOOKUP('Données projet'!$B$9,Paramètres!$A$1:$I$89,3,0)*0.475*44/12</f>
        <v>1.1070255768610753E-7</v>
      </c>
      <c r="AC114" s="22">
        <f t="shared" si="57"/>
        <v>105.98471689405412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-7.9808160080574461E-14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331.17634116262298</v>
      </c>
      <c r="AO114" s="59">
        <f t="shared" si="90"/>
        <v>286.28916368940605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132.14527582285803</v>
      </c>
      <c r="AV114" s="21">
        <f>EXP(-LN(2)/25)*AV113+(1-EXP(-LN(2)/25))/(LN(2)/25)*Calculateur!AQ114*Calculateur!AS114*VLOOKUP('Données projet'!$B$10,Paramètres!$A$1:$I$89,3,0)*0.475*44/12</f>
        <v>43.342979196573012</v>
      </c>
      <c r="AW114" s="21">
        <f>EXP(-LN(2)/2)*AW113+(1-EXP(-LN(2)/2))/(LN(2)/2)*AQ114*AT114*VLOOKUP('Données projet'!$B$10,Paramètres!$A$1:$I$89,3,0)*0.475*44/12</f>
        <v>0.54844880658994466</v>
      </c>
      <c r="AX114" s="21">
        <f t="shared" si="60"/>
        <v>176.03670382602098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1.4210854715202004E-13</v>
      </c>
      <c r="BE114" s="13">
        <f>BD114*VLOOKUP('Données projet'!$B$11,Paramètres!$A$1:$I$89,3,0)*VLOOKUP('Données projet'!$B$11,Paramètres!$A$1:$I$89,5,0)</f>
        <v>7.7591266745002952E-14</v>
      </c>
      <c r="BF114" s="13">
        <f t="shared" si="91"/>
        <v>1.2005788606873384E-12</v>
      </c>
      <c r="BG114" s="20">
        <f t="shared" si="61"/>
        <v>2.226146305277994E-12</v>
      </c>
      <c r="BH114" s="59">
        <f t="shared" si="62"/>
        <v>293.33333333333553</v>
      </c>
      <c r="BI114" s="59">
        <f ca="1">AVERAGE(OFFSET($BH$3,0,0,'Données projet'!$E$11+1,1))-AVERAGE(OFFSET($H$3,0,0,'Données projet'!$E$11+1,1))</f>
        <v>165.87377022031535</v>
      </c>
      <c r="BJ114" s="59">
        <f t="shared" si="92"/>
        <v>272.91122662088929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27.556117871704743</v>
      </c>
      <c r="BQ114" s="21">
        <f>EXP(-LN(2)/25)*BQ113+(1-EXP(-LN(2)/25))/(LN(2)/25)*Calculateur!BL114*Calculateur!BN114*VLOOKUP('Données projet'!$B$11,Paramètres!$A$1:$I$89,3,0)*0.475*44/12</f>
        <v>5.3892314340889573</v>
      </c>
      <c r="BR114" s="21">
        <f>EXP(-LN(2)/2)*BR113+(1-EXP(-LN(2)/2))/(LN(2)/2)*BL114*BO114*VLOOKUP('Données projet'!$B$11,Paramètres!$A$1:$I$89,3,0)*0.475*44/12</f>
        <v>5.302359779957481E-10</v>
      </c>
      <c r="BS114" s="22">
        <f t="shared" si="63"/>
        <v>32.945349306323934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9.6750000000000007</v>
      </c>
      <c r="BY114" s="12">
        <f>IF('Données projet'!$A$114&gt;35,BY113+BX114-CG113,IF(A114&lt;'Données projet'!$A$114,$BV$205^A114,IF(A114='Données projet'!$A$114,'Données projet'!$B$114,BY113+BX114-CG113)))</f>
        <v>426.02499999999998</v>
      </c>
      <c r="BZ114" s="13">
        <f>BY114*VLOOKUP('Données projet'!$B$12,Paramètres!$A$1:$I$89,3,0)*VLOOKUP('Données projet'!$B$12,Paramètres!$A$1:$I$89,5,0)</f>
        <v>385.46742</v>
      </c>
      <c r="CA114" s="13">
        <f t="shared" si="93"/>
        <v>88.824091932586043</v>
      </c>
      <c r="CB114" s="20">
        <f t="shared" si="64"/>
        <v>826.05771661592064</v>
      </c>
      <c r="CC114" s="59">
        <f t="shared" si="65"/>
        <v>1119.391049949254</v>
      </c>
      <c r="CD114" s="59">
        <f ca="1">AVERAGE(OFFSET($CC$3,0,0,'Données projet'!$E$12+1,1))-AVERAGE(OFFSET($H$3,0,0,'Données projet'!$E$12+1,1))</f>
        <v>639.86968831634636</v>
      </c>
      <c r="CE114" s="59">
        <f t="shared" si="94"/>
        <v>218.1556771431184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37.851758380721691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37.851758380721691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1.1368683772161603E-13</v>
      </c>
      <c r="CU114" s="17">
        <f>CT114*VLOOKUP('Données projet'!$B$13,Paramètres!$A$1:$I$89,3,0)*VLOOKUP('Données projet'!$B$13,Paramètres!$A$1:$I$89,5,0)</f>
        <v>9.9316821433603781E-14</v>
      </c>
      <c r="CV114" s="13">
        <f t="shared" si="95"/>
        <v>1.4932118279712753E-12</v>
      </c>
      <c r="CW114" s="20">
        <f t="shared" si="67"/>
        <v>2.7736540643801645E-12</v>
      </c>
      <c r="CX114" s="59">
        <f t="shared" si="68"/>
        <v>293.3333333333361</v>
      </c>
      <c r="CY114" s="59">
        <f ca="1">AVERAGE(OFFSET($CX$3,0,0,'Données projet'!$E$13+1,1))-AVERAGE(OFFSET($H$3,0,0,'Données projet'!$E$13+1,1))</f>
        <v>218.76600554860482</v>
      </c>
      <c r="CZ114" s="59">
        <f t="shared" si="96"/>
        <v>264.34840059907702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20.543084610306924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20.543084610306924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>
        <f>VLOOKUP(A114,'Données projet'!$A$165:$I$185,2,0)</f>
        <v>385.89</v>
      </c>
      <c r="DM114" s="12">
        <f>VLOOKUP(A114,'Données projet'!$A$165:$I$185,9,0)</f>
        <v>7.3508333333333313</v>
      </c>
      <c r="DN114" s="12">
        <f t="array" ref="DN114">INDEX(DM:DM,MIN(IF(ISNUMBER(DM114:DM310),ROW(DM114:DM310),"")))</f>
        <v>7.3508333333333313</v>
      </c>
      <c r="DO114" s="12">
        <f>IF('Données projet'!$A$166&gt;35,DO113+DN114-DW113,IF(A114&lt;'Données projet'!$A$166,$DL$205^A114,IF(A114='Données projet'!$A$166,'Données projet'!$B$166,DO113+DN114-DW113)))</f>
        <v>385.88999999999982</v>
      </c>
      <c r="DP114" s="17">
        <f>DO114*VLOOKUP('Données projet'!$B$14,Paramètres!$A$1:$I$89,3,0)*VLOOKUP('Données projet'!$B$14,Paramètres!$A$1:$I$89,5,0)</f>
        <v>331.09361999999987</v>
      </c>
      <c r="DQ114" s="13">
        <f t="shared" si="97"/>
        <v>77.656998822076346</v>
      </c>
      <c r="DR114" s="20">
        <f t="shared" si="70"/>
        <v>711.90732778178278</v>
      </c>
      <c r="DS114" s="59">
        <f t="shared" si="71"/>
        <v>1005.2406611151162</v>
      </c>
      <c r="DT114" s="59">
        <f ca="1">AVERAGE(OFFSET($DS$3,0,0,'Données projet'!$E$14+1,1))-AVERAGE(OFFSET($H$3,0,0,'Données projet'!$E$14+1,1))</f>
        <v>442.97490100035287</v>
      </c>
      <c r="DU114" s="59">
        <f t="shared" si="98"/>
        <v>334.36243356457049</v>
      </c>
      <c r="DV114" s="15">
        <f>IF(ISNA(VLOOKUP(A114,'Données projet'!$A$165:$I$185,3,0)),0,VLOOKUP(A114,'Données projet'!$A$165:$I$185,3,0))</f>
        <v>9</v>
      </c>
      <c r="DW114" s="15">
        <f>IF(ISNA(VLOOKUP(A114,'Données projet'!$A$165:$I$185,4,0)),0,VLOOKUP(A114,'Données projet'!$A$165:$I$185,4,0))</f>
        <v>141.30000000000001</v>
      </c>
      <c r="DX114" s="16">
        <f>IF(ISNA(VLOOKUP(A114,'Données projet'!$A$165:$I$185,5,0)),0%,VLOOKUP(A114,'Données projet'!$A$165:$I$185,5,0)*VLOOKUP('Données projet'!$B$14,Paramètres!$A$1:$I$89,7,0))</f>
        <v>0.21200000000000002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51.625881795086798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51.625881795086798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5.6843418860808015E-14</v>
      </c>
      <c r="EK114" s="17">
        <f>EJ114*VLOOKUP('Données projet'!$B$15,Paramètres!$A$1:$I$89,3,0)*VLOOKUP('Données projet'!$B$15,Paramètres!$A$1:$I$89,5,0)</f>
        <v>4.4337866711430253E-14</v>
      </c>
      <c r="EL114" s="13">
        <f t="shared" si="99"/>
        <v>7.3222115536967035E-13</v>
      </c>
      <c r="EM114" s="20">
        <f t="shared" si="73"/>
        <v>1.3525069634579169E-12</v>
      </c>
      <c r="EN114" s="59">
        <f t="shared" si="74"/>
        <v>293.33333333333468</v>
      </c>
      <c r="EO114" s="59">
        <f ca="1">AVERAGE(OFFSET($EN$3,0,0,'Données projet'!$E$15+1,1))-AVERAGE(OFFSET($H$3,0,0,'Données projet'!$E$15+1,1))</f>
        <v>288.82868507674738</v>
      </c>
      <c r="EP114" s="59">
        <f t="shared" si="100"/>
        <v>283.48738729114024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35.962566644143081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35.962566644143081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328.55201074501201</v>
      </c>
      <c r="FK114" s="59">
        <f t="shared" si="102"/>
        <v>321.81422611044985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51.945588206633651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51.945588206633651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353.37024194969638</v>
      </c>
      <c r="GF114" s="59">
        <f t="shared" si="104"/>
        <v>345.4750813433123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69.474975221440204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69.474975221440204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1.2710188457276673E-13</v>
      </c>
      <c r="P115" s="13">
        <f t="shared" si="87"/>
        <v>1.856866851063998E-12</v>
      </c>
      <c r="Q115" s="20">
        <f t="shared" si="107"/>
        <v>3.4554122145673649E-12</v>
      </c>
      <c r="R115" s="59">
        <f t="shared" si="55"/>
        <v>293.33333333333678</v>
      </c>
      <c r="S115" s="59">
        <f ca="1">AVERAGE(OFFSET($R$3,0,0,'Données projet'!$E$9+1,1))-AVERAGE(OFFSET($H$3,0,0,'Données projet'!$E$9+1,1))</f>
        <v>404.65492118472037</v>
      </c>
      <c r="T115" s="59">
        <f t="shared" si="88"/>
        <v>534.22295841722166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89.068392059553886</v>
      </c>
      <c r="AA115" s="21">
        <f>EXP(-LN(2)/25)*AA114+(1-EXP(-LN(2)/25))/(LN(2)/25)*Calculateur!V115*Calculateur!X115*VLOOKUP('Données projet'!$B$9,Paramètres!$A$1:$I$89,3,0)*0.475*44/12</f>
        <v>14.72095126205444</v>
      </c>
      <c r="AB115" s="21">
        <f>EXP(-LN(2)/2)*AB114+(1-EXP(-LN(2)/2))/(LN(2)/2)*V115*Y115*VLOOKUP('Données projet'!$B$9,Paramètres!$A$1:$I$89,3,0)*0.475*44/12</f>
        <v>7.8278529234541591E-8</v>
      </c>
      <c r="AC115" s="22">
        <f t="shared" si="57"/>
        <v>103.78934339988686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-7.9808160080574461E-14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331.17634116262298</v>
      </c>
      <c r="AO115" s="59">
        <f t="shared" si="90"/>
        <v>286.28916368940605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129.55398756463137</v>
      </c>
      <c r="AV115" s="21">
        <f>EXP(-LN(2)/25)*AV114+(1-EXP(-LN(2)/25))/(LN(2)/25)*Calculateur!AQ115*Calculateur!AS115*VLOOKUP('Données projet'!$B$10,Paramètres!$A$1:$I$89,3,0)*0.475*44/12</f>
        <v>42.15776315113451</v>
      </c>
      <c r="AW115" s="21">
        <f>EXP(-LN(2)/2)*AW114+(1-EXP(-LN(2)/2))/(LN(2)/2)*AQ115*AT115*VLOOKUP('Données projet'!$B$10,Paramètres!$A$1:$I$89,3,0)*0.475*44/12</f>
        <v>0.38781187027341912</v>
      </c>
      <c r="AX115" s="21">
        <f t="shared" si="60"/>
        <v>172.0995625860393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1.4210854715202004E-13</v>
      </c>
      <c r="BE115" s="13">
        <f>BD115*VLOOKUP('Données projet'!$B$11,Paramètres!$A$1:$I$89,3,0)*VLOOKUP('Données projet'!$B$11,Paramètres!$A$1:$I$89,5,0)</f>
        <v>7.7591266745002952E-14</v>
      </c>
      <c r="BF115" s="13">
        <f t="shared" si="91"/>
        <v>1.2005788606873384E-12</v>
      </c>
      <c r="BG115" s="20">
        <f t="shared" si="61"/>
        <v>2.226146305277994E-12</v>
      </c>
      <c r="BH115" s="59">
        <f t="shared" si="62"/>
        <v>293.33333333333553</v>
      </c>
      <c r="BI115" s="59">
        <f ca="1">AVERAGE(OFFSET($BH$3,0,0,'Données projet'!$E$11+1,1))-AVERAGE(OFFSET($H$3,0,0,'Données projet'!$E$11+1,1))</f>
        <v>165.87377022031535</v>
      </c>
      <c r="BJ115" s="59">
        <f t="shared" si="92"/>
        <v>272.91122662088929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27.015759207812906</v>
      </c>
      <c r="BQ115" s="21">
        <f>EXP(-LN(2)/25)*BQ114+(1-EXP(-LN(2)/25))/(LN(2)/25)*Calculateur!BL115*Calculateur!BN115*VLOOKUP('Données projet'!$B$11,Paramètres!$A$1:$I$89,3,0)*0.475*44/12</f>
        <v>5.2418626171164311</v>
      </c>
      <c r="BR115" s="21">
        <f>EXP(-LN(2)/2)*BR114+(1-EXP(-LN(2)/2))/(LN(2)/2)*BL115*BO115*VLOOKUP('Données projet'!$B$11,Paramètres!$A$1:$I$89,3,0)*0.475*44/12</f>
        <v>3.7493345566987449E-10</v>
      </c>
      <c r="BS115" s="22">
        <f t="shared" si="63"/>
        <v>32.25762182530427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9.6750000000000007</v>
      </c>
      <c r="BY115" s="12">
        <f>IF('Données projet'!$A$114&gt;35,BY114+BX115-CG114,IF(A115&lt;'Données projet'!$A$114,$BV$205^A115,IF(A115='Données projet'!$A$114,'Données projet'!$B$114,BY114+BX115-CG114)))</f>
        <v>435.7</v>
      </c>
      <c r="BZ115" s="13">
        <f>BY115*VLOOKUP('Données projet'!$B$12,Paramètres!$A$1:$I$89,3,0)*VLOOKUP('Données projet'!$B$12,Paramètres!$A$1:$I$89,5,0)</f>
        <v>394.22136</v>
      </c>
      <c r="CA115" s="13">
        <f t="shared" si="93"/>
        <v>90.604144293278637</v>
      </c>
      <c r="CB115" s="20">
        <f t="shared" si="64"/>
        <v>844.40441997746029</v>
      </c>
      <c r="CC115" s="59">
        <f t="shared" si="65"/>
        <v>1137.7377533107936</v>
      </c>
      <c r="CD115" s="59">
        <f ca="1">AVERAGE(OFFSET($CC$3,0,0,'Données projet'!$E$12+1,1))-AVERAGE(OFFSET($H$3,0,0,'Données projet'!$E$12+1,1))</f>
        <v>639.86968831634636</v>
      </c>
      <c r="CE115" s="59">
        <f t="shared" si="94"/>
        <v>218.1556771431184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37.109508486168671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37.109508486168671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1.1368683772161603E-13</v>
      </c>
      <c r="CU115" s="17">
        <f>CT115*VLOOKUP('Données projet'!$B$13,Paramètres!$A$1:$I$89,3,0)*VLOOKUP('Données projet'!$B$13,Paramètres!$A$1:$I$89,5,0)</f>
        <v>9.9316821433603781E-14</v>
      </c>
      <c r="CV115" s="13">
        <f t="shared" si="95"/>
        <v>1.4932118279712753E-12</v>
      </c>
      <c r="CW115" s="20">
        <f t="shared" si="67"/>
        <v>2.7736540643801645E-12</v>
      </c>
      <c r="CX115" s="59">
        <f t="shared" si="68"/>
        <v>293.3333333333361</v>
      </c>
      <c r="CY115" s="59">
        <f ca="1">AVERAGE(OFFSET($CX$3,0,0,'Données projet'!$E$13+1,1))-AVERAGE(OFFSET($H$3,0,0,'Données projet'!$E$13+1,1))</f>
        <v>218.76600554860482</v>
      </c>
      <c r="CZ115" s="59">
        <f t="shared" si="96"/>
        <v>264.34840059907702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20.14024725114318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20.14024725114318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5.9420000000000073</v>
      </c>
      <c r="DO115" s="12">
        <f>IF('Données projet'!$A$166&gt;35,DO114+DN115-DW114,IF(A115&lt;'Données projet'!$A$166,$DL$205^A115,IF(A115='Données projet'!$A$166,'Données projet'!$B$166,DO114+DN115-DW114)))</f>
        <v>250.53199999999981</v>
      </c>
      <c r="DP115" s="17">
        <f>DO115*VLOOKUP('Données projet'!$B$14,Paramètres!$A$1:$I$89,3,0)*VLOOKUP('Données projet'!$B$14,Paramètres!$A$1:$I$89,5,0)</f>
        <v>214.95645599999986</v>
      </c>
      <c r="DQ115" s="13">
        <f t="shared" si="97"/>
        <v>53.017221133169393</v>
      </c>
      <c r="DR115" s="20">
        <f t="shared" si="70"/>
        <v>466.72082100693643</v>
      </c>
      <c r="DS115" s="59">
        <f t="shared" si="71"/>
        <v>760.05415434026975</v>
      </c>
      <c r="DT115" s="59">
        <f ca="1">AVERAGE(OFFSET($DS$3,0,0,'Données projet'!$E$14+1,1))-AVERAGE(OFFSET($H$3,0,0,'Données projet'!$E$14+1,1))</f>
        <v>442.97490100035287</v>
      </c>
      <c r="DU115" s="59">
        <f t="shared" si="98"/>
        <v>334.36243356457049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50.613529741763791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50.613529741763791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5.6843418860808015E-14</v>
      </c>
      <c r="EK115" s="17">
        <f>EJ115*VLOOKUP('Données projet'!$B$15,Paramètres!$A$1:$I$89,3,0)*VLOOKUP('Données projet'!$B$15,Paramètres!$A$1:$I$89,5,0)</f>
        <v>4.4337866711430253E-14</v>
      </c>
      <c r="EL115" s="13">
        <f t="shared" si="99"/>
        <v>7.3222115536967035E-13</v>
      </c>
      <c r="EM115" s="20">
        <f t="shared" si="73"/>
        <v>1.3525069634579169E-12</v>
      </c>
      <c r="EN115" s="59">
        <f t="shared" si="74"/>
        <v>293.33333333333468</v>
      </c>
      <c r="EO115" s="59">
        <f ca="1">AVERAGE(OFFSET($EN$3,0,0,'Données projet'!$E$15+1,1))-AVERAGE(OFFSET($H$3,0,0,'Données projet'!$E$15+1,1))</f>
        <v>288.82868507674738</v>
      </c>
      <c r="EP115" s="59">
        <f t="shared" si="100"/>
        <v>283.48738729114024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35.257362647251185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35.257362647251185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328.55201074501201</v>
      </c>
      <c r="FK115" s="59">
        <f t="shared" si="102"/>
        <v>321.81422611044985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50.926966905581871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50.926966905581871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353.37024194969638</v>
      </c>
      <c r="GF115" s="59">
        <f t="shared" si="104"/>
        <v>345.4750813433123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68.112613332898405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68.112613332898405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1.2710188457276673E-13</v>
      </c>
      <c r="P116" s="13">
        <f t="shared" si="87"/>
        <v>1.856866851063998E-12</v>
      </c>
      <c r="Q116" s="20">
        <f t="shared" si="107"/>
        <v>3.4554122145673649E-12</v>
      </c>
      <c r="R116" s="59">
        <f t="shared" si="55"/>
        <v>293.33333333333678</v>
      </c>
      <c r="S116" s="59">
        <f ca="1">AVERAGE(OFFSET($R$3,0,0,'Données projet'!$E$9+1,1))-AVERAGE(OFFSET($H$3,0,0,'Données projet'!$E$9+1,1))</f>
        <v>404.65492118472037</v>
      </c>
      <c r="T116" s="59">
        <f t="shared" si="88"/>
        <v>534.22295841722166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87.321815217620909</v>
      </c>
      <c r="AA116" s="21">
        <f>EXP(-LN(2)/25)*AA115+(1-EXP(-LN(2)/25))/(LN(2)/25)*Calculateur!V116*Calculateur!X116*VLOOKUP('Données projet'!$B$9,Paramètres!$A$1:$I$89,3,0)*0.475*44/12</f>
        <v>14.31840607565238</v>
      </c>
      <c r="AB116" s="21">
        <f>EXP(-LN(2)/2)*AB115+(1-EXP(-LN(2)/2))/(LN(2)/2)*V116*Y116*VLOOKUP('Données projet'!$B$9,Paramètres!$A$1:$I$89,3,0)*0.475*44/12</f>
        <v>5.5351278843053765E-8</v>
      </c>
      <c r="AC116" s="22">
        <f t="shared" si="57"/>
        <v>101.64022134862456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-7.9808160080574461E-14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331.17634116262298</v>
      </c>
      <c r="AO116" s="59">
        <f t="shared" si="90"/>
        <v>286.28916368940605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127.01351288861878</v>
      </c>
      <c r="AV116" s="21">
        <f>EXP(-LN(2)/25)*AV115+(1-EXP(-LN(2)/25))/(LN(2)/25)*Calculateur!AQ116*Calculateur!AS116*VLOOKUP('Données projet'!$B$10,Paramètres!$A$1:$I$89,3,0)*0.475*44/12</f>
        <v>41.004956900786325</v>
      </c>
      <c r="AW116" s="21">
        <f>EXP(-LN(2)/2)*AW115+(1-EXP(-LN(2)/2))/(LN(2)/2)*AQ116*AT116*VLOOKUP('Données projet'!$B$10,Paramètres!$A$1:$I$89,3,0)*0.475*44/12</f>
        <v>0.27422440329497233</v>
      </c>
      <c r="AX116" s="21">
        <f t="shared" si="60"/>
        <v>168.29269419270008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1.4210854715202004E-13</v>
      </c>
      <c r="BE116" s="13">
        <f>BD116*VLOOKUP('Données projet'!$B$11,Paramètres!$A$1:$I$89,3,0)*VLOOKUP('Données projet'!$B$11,Paramètres!$A$1:$I$89,5,0)</f>
        <v>7.7591266745002952E-14</v>
      </c>
      <c r="BF116" s="13">
        <f t="shared" si="91"/>
        <v>1.2005788606873384E-12</v>
      </c>
      <c r="BG116" s="20">
        <f t="shared" si="61"/>
        <v>2.226146305277994E-12</v>
      </c>
      <c r="BH116" s="59">
        <f t="shared" si="62"/>
        <v>293.33333333333553</v>
      </c>
      <c r="BI116" s="59">
        <f ca="1">AVERAGE(OFFSET($BH$3,0,0,'Données projet'!$E$11+1,1))-AVERAGE(OFFSET($H$3,0,0,'Données projet'!$E$11+1,1))</f>
        <v>165.87377022031535</v>
      </c>
      <c r="BJ116" s="59">
        <f t="shared" si="92"/>
        <v>272.91122662088929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26.485996647733746</v>
      </c>
      <c r="BQ116" s="21">
        <f>EXP(-LN(2)/25)*BQ115+(1-EXP(-LN(2)/25))/(LN(2)/25)*Calculateur!BL116*Calculateur!BN116*VLOOKUP('Données projet'!$B$11,Paramètres!$A$1:$I$89,3,0)*0.475*44/12</f>
        <v>5.0985236081938075</v>
      </c>
      <c r="BR116" s="21">
        <f>EXP(-LN(2)/2)*BR115+(1-EXP(-LN(2)/2))/(LN(2)/2)*BL116*BO116*VLOOKUP('Données projet'!$B$11,Paramètres!$A$1:$I$89,3,0)*0.475*44/12</f>
        <v>2.6511798899787405E-10</v>
      </c>
      <c r="BS116" s="22">
        <f t="shared" si="63"/>
        <v>31.584520256192672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9.6750000000000007</v>
      </c>
      <c r="BY116" s="12">
        <f>IF('Données projet'!$A$114&gt;35,BY115+BX116-CG115,IF(A116&lt;'Données projet'!$A$114,$BV$205^A116,IF(A116='Données projet'!$A$114,'Données projet'!$B$114,BY115+BX116-CG115)))</f>
        <v>445.375</v>
      </c>
      <c r="BZ116" s="13">
        <f>BY116*VLOOKUP('Données projet'!$B$12,Paramètres!$A$1:$I$89,3,0)*VLOOKUP('Données projet'!$B$12,Paramètres!$A$1:$I$89,5,0)</f>
        <v>402.9753</v>
      </c>
      <c r="CA116" s="13">
        <f t="shared" si="93"/>
        <v>92.379601228263169</v>
      </c>
      <c r="CB116" s="20">
        <f t="shared" si="64"/>
        <v>862.74311963922503</v>
      </c>
      <c r="CC116" s="59">
        <f t="shared" si="65"/>
        <v>1156.0764529725584</v>
      </c>
      <c r="CD116" s="59">
        <f ca="1">AVERAGE(OFFSET($CC$3,0,0,'Données projet'!$E$12+1,1))-AVERAGE(OFFSET($H$3,0,0,'Données projet'!$E$12+1,1))</f>
        <v>639.86968831634636</v>
      </c>
      <c r="CE116" s="59">
        <f t="shared" si="94"/>
        <v>218.1556771431184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36.381813659320102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36.381813659320102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1.1368683772161603E-13</v>
      </c>
      <c r="CU116" s="17">
        <f>CT116*VLOOKUP('Données projet'!$B$13,Paramètres!$A$1:$I$89,3,0)*VLOOKUP('Données projet'!$B$13,Paramètres!$A$1:$I$89,5,0)</f>
        <v>9.9316821433603781E-14</v>
      </c>
      <c r="CV116" s="13">
        <f t="shared" si="95"/>
        <v>1.4932118279712753E-12</v>
      </c>
      <c r="CW116" s="20">
        <f t="shared" si="67"/>
        <v>2.7736540643801645E-12</v>
      </c>
      <c r="CX116" s="59">
        <f t="shared" si="68"/>
        <v>293.3333333333361</v>
      </c>
      <c r="CY116" s="59">
        <f ca="1">AVERAGE(OFFSET($CX$3,0,0,'Données projet'!$E$13+1,1))-AVERAGE(OFFSET($H$3,0,0,'Données projet'!$E$13+1,1))</f>
        <v>218.76600554860482</v>
      </c>
      <c r="CZ116" s="59">
        <f t="shared" si="96"/>
        <v>264.34840059907702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19.745309286886108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19.745309286886108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5.9420000000000073</v>
      </c>
      <c r="DO116" s="12">
        <f>IF('Données projet'!$A$166&gt;35,DO115+DN116-DW115,IF(A116&lt;'Données projet'!$A$166,$DL$205^A116,IF(A116='Données projet'!$A$166,'Données projet'!$B$166,DO115+DN116-DW115)))</f>
        <v>256.47399999999982</v>
      </c>
      <c r="DP116" s="17">
        <f>DO116*VLOOKUP('Données projet'!$B$14,Paramètres!$A$1:$I$89,3,0)*VLOOKUP('Données projet'!$B$14,Paramètres!$A$1:$I$89,5,0)</f>
        <v>220.05469199999987</v>
      </c>
      <c r="DQ116" s="13">
        <f t="shared" si="97"/>
        <v>54.126772584601483</v>
      </c>
      <c r="DR116" s="20">
        <f t="shared" si="70"/>
        <v>477.53271748484741</v>
      </c>
      <c r="DS116" s="59">
        <f t="shared" si="71"/>
        <v>770.86605081818072</v>
      </c>
      <c r="DT116" s="59">
        <f ca="1">AVERAGE(OFFSET($DS$3,0,0,'Données projet'!$E$14+1,1))-AVERAGE(OFFSET($H$3,0,0,'Données projet'!$E$14+1,1))</f>
        <v>442.97490100035287</v>
      </c>
      <c r="DU116" s="59">
        <f t="shared" si="98"/>
        <v>334.36243356457049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49.621029294732665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49.621029294732665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5.6843418860808015E-14</v>
      </c>
      <c r="EK116" s="17">
        <f>EJ116*VLOOKUP('Données projet'!$B$15,Paramètres!$A$1:$I$89,3,0)*VLOOKUP('Données projet'!$B$15,Paramètres!$A$1:$I$89,5,0)</f>
        <v>4.4337866711430253E-14</v>
      </c>
      <c r="EL116" s="13">
        <f t="shared" si="99"/>
        <v>7.3222115536967035E-13</v>
      </c>
      <c r="EM116" s="20">
        <f t="shared" si="73"/>
        <v>1.3525069634579169E-12</v>
      </c>
      <c r="EN116" s="59">
        <f t="shared" si="74"/>
        <v>293.33333333333468</v>
      </c>
      <c r="EO116" s="59">
        <f ca="1">AVERAGE(OFFSET($EN$3,0,0,'Données projet'!$E$15+1,1))-AVERAGE(OFFSET($H$3,0,0,'Données projet'!$E$15+1,1))</f>
        <v>288.82868507674738</v>
      </c>
      <c r="EP116" s="59">
        <f t="shared" si="100"/>
        <v>283.48738729114024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34.565987270606378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34.565987270606378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328.55201074501201</v>
      </c>
      <c r="FK116" s="59">
        <f t="shared" si="102"/>
        <v>321.81422611044985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49.928320146946071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49.928320146946071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353.37024194969638</v>
      </c>
      <c r="GF116" s="59">
        <f t="shared" si="104"/>
        <v>345.4750813433123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66.776966530032212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66.776966530032212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1.2710188457276673E-13</v>
      </c>
      <c r="P117" s="13">
        <f t="shared" si="87"/>
        <v>1.856866851063998E-12</v>
      </c>
      <c r="Q117" s="20">
        <f t="shared" si="107"/>
        <v>3.4554122145673649E-12</v>
      </c>
      <c r="R117" s="59">
        <f t="shared" si="55"/>
        <v>293.33333333333678</v>
      </c>
      <c r="S117" s="59">
        <f ca="1">AVERAGE(OFFSET($R$3,0,0,'Données projet'!$E$9+1,1))-AVERAGE(OFFSET($H$3,0,0,'Données projet'!$E$9+1,1))</f>
        <v>404.65492118472037</v>
      </c>
      <c r="T117" s="59">
        <f t="shared" si="88"/>
        <v>534.22295841722166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85.609487682251554</v>
      </c>
      <c r="AA117" s="21">
        <f>EXP(-LN(2)/25)*AA116+(1-EXP(-LN(2)/25))/(LN(2)/25)*Calculateur!V117*Calculateur!X117*VLOOKUP('Données projet'!$B$9,Paramètres!$A$1:$I$89,3,0)*0.475*44/12</f>
        <v>13.926868508541416</v>
      </c>
      <c r="AB117" s="21">
        <f>EXP(-LN(2)/2)*AB116+(1-EXP(-LN(2)/2))/(LN(2)/2)*V117*Y117*VLOOKUP('Données projet'!$B$9,Paramètres!$A$1:$I$89,3,0)*0.475*44/12</f>
        <v>3.9139264617270796E-8</v>
      </c>
      <c r="AC117" s="22">
        <f t="shared" si="57"/>
        <v>99.536356229932238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-7.9808160080574461E-14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331.17634116262298</v>
      </c>
      <c r="AO117" s="59">
        <f t="shared" si="90"/>
        <v>286.28916368940605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124.52285537146624</v>
      </c>
      <c r="AV117" s="21">
        <f>EXP(-LN(2)/25)*AV116+(1-EXP(-LN(2)/25))/(LN(2)/25)*Calculateur!AQ117*Calculateur!AS117*VLOOKUP('Données projet'!$B$10,Paramètres!$A$1:$I$89,3,0)*0.475*44/12</f>
        <v>39.883674197977356</v>
      </c>
      <c r="AW117" s="21">
        <f>EXP(-LN(2)/2)*AW116+(1-EXP(-LN(2)/2))/(LN(2)/2)*AQ117*AT117*VLOOKUP('Données projet'!$B$10,Paramètres!$A$1:$I$89,3,0)*0.475*44/12</f>
        <v>0.19390593513670956</v>
      </c>
      <c r="AX117" s="21">
        <f t="shared" si="60"/>
        <v>164.6004355045803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1.4210854715202004E-13</v>
      </c>
      <c r="BE117" s="13">
        <f>BD117*VLOOKUP('Données projet'!$B$11,Paramètres!$A$1:$I$89,3,0)*VLOOKUP('Données projet'!$B$11,Paramètres!$A$1:$I$89,5,0)</f>
        <v>7.7591266745002952E-14</v>
      </c>
      <c r="BF117" s="13">
        <f t="shared" si="91"/>
        <v>1.2005788606873384E-12</v>
      </c>
      <c r="BG117" s="20">
        <f t="shared" si="61"/>
        <v>2.226146305277994E-12</v>
      </c>
      <c r="BH117" s="59">
        <f t="shared" si="62"/>
        <v>293.33333333333553</v>
      </c>
      <c r="BI117" s="59">
        <f ca="1">AVERAGE(OFFSET($BH$3,0,0,'Données projet'!$E$11+1,1))-AVERAGE(OFFSET($H$3,0,0,'Données projet'!$E$11+1,1))</f>
        <v>165.87377022031535</v>
      </c>
      <c r="BJ117" s="59">
        <f t="shared" si="92"/>
        <v>272.91122662088929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25.966622408334484</v>
      </c>
      <c r="BQ117" s="21">
        <f>EXP(-LN(2)/25)*BQ116+(1-EXP(-LN(2)/25))/(LN(2)/25)*Calculateur!BL117*Calculateur!BN117*VLOOKUP('Données projet'!$B$11,Paramètres!$A$1:$I$89,3,0)*0.475*44/12</f>
        <v>4.959104212008044</v>
      </c>
      <c r="BR117" s="21">
        <f>EXP(-LN(2)/2)*BR116+(1-EXP(-LN(2)/2))/(LN(2)/2)*BL117*BO117*VLOOKUP('Données projet'!$B$11,Paramètres!$A$1:$I$89,3,0)*0.475*44/12</f>
        <v>1.8746672783493724E-10</v>
      </c>
      <c r="BS117" s="22">
        <f t="shared" si="63"/>
        <v>30.925726620529993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9.6750000000000007</v>
      </c>
      <c r="BY117" s="12">
        <f>IF('Données projet'!$A$114&gt;35,BY116+BX117-CG116,IF(A117&lt;'Données projet'!$A$114,$BV$205^A117,IF(A117='Données projet'!$A$114,'Données projet'!$B$114,BY116+BX117-CG116)))</f>
        <v>455.05</v>
      </c>
      <c r="BZ117" s="13">
        <f>BY117*VLOOKUP('Données projet'!$B$12,Paramètres!$A$1:$I$89,3,0)*VLOOKUP('Données projet'!$B$12,Paramètres!$A$1:$I$89,5,0)</f>
        <v>411.72923999999995</v>
      </c>
      <c r="CA117" s="13">
        <f t="shared" si="93"/>
        <v>94.150574062040093</v>
      </c>
      <c r="CB117" s="20">
        <f t="shared" si="64"/>
        <v>881.07400949138639</v>
      </c>
      <c r="CC117" s="59">
        <f t="shared" si="65"/>
        <v>1174.4073428247198</v>
      </c>
      <c r="CD117" s="59">
        <f ca="1">AVERAGE(OFFSET($CC$3,0,0,'Données projet'!$E$12+1,1))-AVERAGE(OFFSET($H$3,0,0,'Données projet'!$E$12+1,1))</f>
        <v>639.86968831634636</v>
      </c>
      <c r="CE117" s="59">
        <f t="shared" si="94"/>
        <v>218.1556771431184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35.668388484176013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35.668388484176013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1.1368683772161603E-13</v>
      </c>
      <c r="CU117" s="17">
        <f>CT117*VLOOKUP('Données projet'!$B$13,Paramètres!$A$1:$I$89,3,0)*VLOOKUP('Données projet'!$B$13,Paramètres!$A$1:$I$89,5,0)</f>
        <v>9.9316821433603781E-14</v>
      </c>
      <c r="CV117" s="13">
        <f t="shared" si="95"/>
        <v>1.4932118279712753E-12</v>
      </c>
      <c r="CW117" s="20">
        <f t="shared" si="67"/>
        <v>2.7736540643801645E-12</v>
      </c>
      <c r="CX117" s="59">
        <f t="shared" si="68"/>
        <v>293.3333333333361</v>
      </c>
      <c r="CY117" s="59">
        <f ca="1">AVERAGE(OFFSET($CX$3,0,0,'Données projet'!$E$13+1,1))-AVERAGE(OFFSET($H$3,0,0,'Données projet'!$E$13+1,1))</f>
        <v>218.76600554860482</v>
      </c>
      <c r="CZ117" s="59">
        <f t="shared" si="96"/>
        <v>264.34840059907702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19.358115815219744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19.358115815219744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5.9420000000000073</v>
      </c>
      <c r="DO117" s="12">
        <f>IF('Données projet'!$A$166&gt;35,DO116+DN117-DW116,IF(A117&lt;'Données projet'!$A$166,$DL$205^A117,IF(A117='Données projet'!$A$166,'Données projet'!$B$166,DO116+DN117-DW116)))</f>
        <v>262.41599999999983</v>
      </c>
      <c r="DP117" s="17">
        <f>DO117*VLOOKUP('Données projet'!$B$14,Paramètres!$A$1:$I$89,3,0)*VLOOKUP('Données projet'!$B$14,Paramètres!$A$1:$I$89,5,0)</f>
        <v>225.15292799999989</v>
      </c>
      <c r="DQ117" s="13">
        <f t="shared" si="97"/>
        <v>55.233335590595836</v>
      </c>
      <c r="DR117" s="20">
        <f t="shared" si="70"/>
        <v>488.33940908695422</v>
      </c>
      <c r="DS117" s="59">
        <f t="shared" si="71"/>
        <v>781.67274242028748</v>
      </c>
      <c r="DT117" s="59">
        <f ca="1">AVERAGE(OFFSET($DS$3,0,0,'Données projet'!$E$14+1,1))-AVERAGE(OFFSET($H$3,0,0,'Données projet'!$E$14+1,1))</f>
        <v>442.97490100035287</v>
      </c>
      <c r="DU117" s="59">
        <f t="shared" si="98"/>
        <v>334.36243356457049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48.647991176102323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48.647991176102323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5.6843418860808015E-14</v>
      </c>
      <c r="EK117" s="17">
        <f>EJ117*VLOOKUP('Données projet'!$B$15,Paramètres!$A$1:$I$89,3,0)*VLOOKUP('Données projet'!$B$15,Paramètres!$A$1:$I$89,5,0)</f>
        <v>4.4337866711430253E-14</v>
      </c>
      <c r="EL117" s="13">
        <f t="shared" si="99"/>
        <v>7.3222115536967035E-13</v>
      </c>
      <c r="EM117" s="20">
        <f t="shared" si="73"/>
        <v>1.3525069634579169E-12</v>
      </c>
      <c r="EN117" s="59">
        <f t="shared" si="74"/>
        <v>293.33333333333468</v>
      </c>
      <c r="EO117" s="59">
        <f ca="1">AVERAGE(OFFSET($EN$3,0,0,'Données projet'!$E$15+1,1))-AVERAGE(OFFSET($H$3,0,0,'Données projet'!$E$15+1,1))</f>
        <v>288.82868507674738</v>
      </c>
      <c r="EP117" s="59">
        <f t="shared" si="100"/>
        <v>283.48738729114024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33.888169343400229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33.888169343400229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328.55201074501201</v>
      </c>
      <c r="FK117" s="59">
        <f t="shared" si="102"/>
        <v>321.81422611044985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48.949256242132741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48.949256242132741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353.37024194969638</v>
      </c>
      <c r="GF117" s="59">
        <f t="shared" si="104"/>
        <v>345.4750813433123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65.46751094630612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65.46751094630612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1.2710188457276673E-13</v>
      </c>
      <c r="P118" s="13">
        <f t="shared" si="87"/>
        <v>1.856866851063998E-12</v>
      </c>
      <c r="Q118" s="20">
        <f t="shared" si="107"/>
        <v>3.4554122145673649E-12</v>
      </c>
      <c r="R118" s="59">
        <f t="shared" si="55"/>
        <v>293.33333333333678</v>
      </c>
      <c r="S118" s="59">
        <f ca="1">AVERAGE(OFFSET($R$3,0,0,'Données projet'!$E$9+1,1))-AVERAGE(OFFSET($H$3,0,0,'Données projet'!$E$9+1,1))</f>
        <v>404.65492118472037</v>
      </c>
      <c r="T118" s="59">
        <f t="shared" si="88"/>
        <v>534.22295841722166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83.930737845434123</v>
      </c>
      <c r="AA118" s="21">
        <f>EXP(-LN(2)/25)*AA117+(1-EXP(-LN(2)/25))/(LN(2)/25)*Calculateur!V118*Calculateur!X118*VLOOKUP('Données projet'!$B$9,Paramètres!$A$1:$I$89,3,0)*0.475*44/12</f>
        <v>13.546037556793166</v>
      </c>
      <c r="AB118" s="21">
        <f>EXP(-LN(2)/2)*AB117+(1-EXP(-LN(2)/2))/(LN(2)/2)*V118*Y118*VLOOKUP('Données projet'!$B$9,Paramètres!$A$1:$I$89,3,0)*0.475*44/12</f>
        <v>2.7675639421526882E-8</v>
      </c>
      <c r="AC118" s="22">
        <f t="shared" si="57"/>
        <v>97.476775429902929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-7.9808160080574461E-14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331.17634116262298</v>
      </c>
      <c r="AO118" s="59">
        <f t="shared" si="90"/>
        <v>286.28916368940605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122.08103812907397</v>
      </c>
      <c r="AV118" s="21">
        <f>EXP(-LN(2)/25)*AV117+(1-EXP(-LN(2)/25))/(LN(2)/25)*Calculateur!AQ118*Calculateur!AS118*VLOOKUP('Données projet'!$B$10,Paramètres!$A$1:$I$89,3,0)*0.475*44/12</f>
        <v>38.793053029642394</v>
      </c>
      <c r="AW118" s="21">
        <f>EXP(-LN(2)/2)*AW117+(1-EXP(-LN(2)/2))/(LN(2)/2)*AQ118*AT118*VLOOKUP('Données projet'!$B$10,Paramètres!$A$1:$I$89,3,0)*0.475*44/12</f>
        <v>0.13711220164748616</v>
      </c>
      <c r="AX118" s="21">
        <f t="shared" si="60"/>
        <v>161.01120336036385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1.4210854715202004E-13</v>
      </c>
      <c r="BE118" s="13">
        <f>BD118*VLOOKUP('Données projet'!$B$11,Paramètres!$A$1:$I$89,3,0)*VLOOKUP('Données projet'!$B$11,Paramètres!$A$1:$I$89,5,0)</f>
        <v>7.7591266745002952E-14</v>
      </c>
      <c r="BF118" s="13">
        <f t="shared" si="91"/>
        <v>1.2005788606873384E-12</v>
      </c>
      <c r="BG118" s="20">
        <f t="shared" si="61"/>
        <v>2.226146305277994E-12</v>
      </c>
      <c r="BH118" s="59">
        <f t="shared" si="62"/>
        <v>293.33333333333553</v>
      </c>
      <c r="BI118" s="59">
        <f ca="1">AVERAGE(OFFSET($BH$3,0,0,'Données projet'!$E$11+1,1))-AVERAGE(OFFSET($H$3,0,0,'Données projet'!$E$11+1,1))</f>
        <v>165.87377022031535</v>
      </c>
      <c r="BJ118" s="59">
        <f t="shared" si="92"/>
        <v>272.91122662088929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25.457432780982835</v>
      </c>
      <c r="BQ118" s="21">
        <f>EXP(-LN(2)/25)*BQ117+(1-EXP(-LN(2)/25))/(LN(2)/25)*Calculateur!BL118*Calculateur!BN118*VLOOKUP('Données projet'!$B$11,Paramètres!$A$1:$I$89,3,0)*0.475*44/12</f>
        <v>4.8234972465427273</v>
      </c>
      <c r="BR118" s="21">
        <f>EXP(-LN(2)/2)*BR117+(1-EXP(-LN(2)/2))/(LN(2)/2)*BL118*BO118*VLOOKUP('Données projet'!$B$11,Paramètres!$A$1:$I$89,3,0)*0.475*44/12</f>
        <v>1.3255899449893702E-10</v>
      </c>
      <c r="BS118" s="22">
        <f t="shared" si="63"/>
        <v>30.280930027658123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9.6750000000000007</v>
      </c>
      <c r="BY118" s="12">
        <f>IF('Données projet'!$A$114&gt;35,BY117+BX118-CG117,IF(A118&lt;'Données projet'!$A$114,$BV$205^A118,IF(A118='Données projet'!$A$114,'Données projet'!$B$114,BY117+BX118-CG117)))</f>
        <v>464.72500000000002</v>
      </c>
      <c r="BZ118" s="13">
        <f>BY118*VLOOKUP('Données projet'!$B$12,Paramètres!$A$1:$I$89,3,0)*VLOOKUP('Données projet'!$B$12,Paramètres!$A$1:$I$89,5,0)</f>
        <v>420.48318</v>
      </c>
      <c r="CA118" s="13">
        <f t="shared" si="93"/>
        <v>95.917169114832603</v>
      </c>
      <c r="CB118" s="20">
        <f t="shared" si="64"/>
        <v>899.39727470833338</v>
      </c>
      <c r="CC118" s="59">
        <f t="shared" si="65"/>
        <v>1192.7306080416668</v>
      </c>
      <c r="CD118" s="59">
        <f ca="1">AVERAGE(OFFSET($CC$3,0,0,'Données projet'!$E$12+1,1))-AVERAGE(OFFSET($H$3,0,0,'Données projet'!$E$12+1,1))</f>
        <v>639.86968831634636</v>
      </c>
      <c r="CE118" s="59">
        <f t="shared" si="94"/>
        <v>218.1556771431184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34.968953141570111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34.968953141570111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1.1368683772161603E-13</v>
      </c>
      <c r="CU118" s="17">
        <f>CT118*VLOOKUP('Données projet'!$B$13,Paramètres!$A$1:$I$89,3,0)*VLOOKUP('Données projet'!$B$13,Paramètres!$A$1:$I$89,5,0)</f>
        <v>9.9316821433603781E-14</v>
      </c>
      <c r="CV118" s="13">
        <f t="shared" si="95"/>
        <v>1.4932118279712753E-12</v>
      </c>
      <c r="CW118" s="20">
        <f t="shared" si="67"/>
        <v>2.7736540643801645E-12</v>
      </c>
      <c r="CX118" s="59">
        <f t="shared" si="68"/>
        <v>293.3333333333361</v>
      </c>
      <c r="CY118" s="59">
        <f ca="1">AVERAGE(OFFSET($CX$3,0,0,'Données projet'!$E$13+1,1))-AVERAGE(OFFSET($H$3,0,0,'Données projet'!$E$13+1,1))</f>
        <v>218.76600554860482</v>
      </c>
      <c r="CZ118" s="59">
        <f t="shared" si="96"/>
        <v>264.34840059907702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18.97851497136806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18.97851497136806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5.9420000000000073</v>
      </c>
      <c r="DO118" s="12">
        <f>IF('Données projet'!$A$166&gt;35,DO117+DN118-DW117,IF(A118&lt;'Données projet'!$A$166,$DL$205^A118,IF(A118='Données projet'!$A$166,'Données projet'!$B$166,DO117+DN118-DW117)))</f>
        <v>268.35799999999983</v>
      </c>
      <c r="DP118" s="17">
        <f>DO118*VLOOKUP('Données projet'!$B$14,Paramètres!$A$1:$I$89,3,0)*VLOOKUP('Données projet'!$B$14,Paramètres!$A$1:$I$89,5,0)</f>
        <v>230.25116399999987</v>
      </c>
      <c r="DQ118" s="13">
        <f t="shared" si="97"/>
        <v>56.336985610020747</v>
      </c>
      <c r="DR118" s="20">
        <f t="shared" si="70"/>
        <v>499.14102723745259</v>
      </c>
      <c r="DS118" s="59">
        <f t="shared" si="71"/>
        <v>792.47436057078585</v>
      </c>
      <c r="DT118" s="59">
        <f ca="1">AVERAGE(OFFSET($DS$3,0,0,'Données projet'!$E$14+1,1))-AVERAGE(OFFSET($H$3,0,0,'Données projet'!$E$14+1,1))</f>
        <v>442.97490100035287</v>
      </c>
      <c r="DU118" s="59">
        <f t="shared" si="98"/>
        <v>334.36243356457049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47.694033741483672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47.694033741483672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5.6843418860808015E-14</v>
      </c>
      <c r="EK118" s="17">
        <f>EJ118*VLOOKUP('Données projet'!$B$15,Paramètres!$A$1:$I$89,3,0)*VLOOKUP('Données projet'!$B$15,Paramètres!$A$1:$I$89,5,0)</f>
        <v>4.4337866711430253E-14</v>
      </c>
      <c r="EL118" s="13">
        <f t="shared" si="99"/>
        <v>7.3222115536967035E-13</v>
      </c>
      <c r="EM118" s="20">
        <f t="shared" si="73"/>
        <v>1.3525069634579169E-12</v>
      </c>
      <c r="EN118" s="59">
        <f t="shared" si="74"/>
        <v>293.33333333333468</v>
      </c>
      <c r="EO118" s="59">
        <f ca="1">AVERAGE(OFFSET($EN$3,0,0,'Données projet'!$E$15+1,1))-AVERAGE(OFFSET($H$3,0,0,'Données projet'!$E$15+1,1))</f>
        <v>288.82868507674738</v>
      </c>
      <c r="EP118" s="59">
        <f t="shared" si="100"/>
        <v>283.48738729114024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33.223643012318483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33.223643012318483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328.55201074501201</v>
      </c>
      <c r="FK118" s="59">
        <f t="shared" si="102"/>
        <v>321.81422611044985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47.98939118332278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47.98939118332278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353.37024194969638</v>
      </c>
      <c r="GF118" s="59">
        <f t="shared" si="104"/>
        <v>345.4750813433123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64.183732987887851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64.183732987887851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1.2710188457276673E-13</v>
      </c>
      <c r="P119" s="13">
        <f t="shared" si="87"/>
        <v>1.856866851063998E-12</v>
      </c>
      <c r="Q119" s="20">
        <f t="shared" si="107"/>
        <v>3.4554122145673649E-12</v>
      </c>
      <c r="R119" s="59">
        <f t="shared" si="55"/>
        <v>293.33333333333678</v>
      </c>
      <c r="S119" s="59">
        <f ca="1">AVERAGE(OFFSET($R$3,0,0,'Données projet'!$E$9+1,1))-AVERAGE(OFFSET($H$3,0,0,'Données projet'!$E$9+1,1))</f>
        <v>404.65492118472037</v>
      </c>
      <c r="T119" s="59">
        <f t="shared" si="88"/>
        <v>534.22295841722166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82.28490726898039</v>
      </c>
      <c r="AA119" s="21">
        <f>EXP(-LN(2)/25)*AA118+(1-EXP(-LN(2)/25))/(LN(2)/25)*Calculateur!V119*Calculateur!X119*VLOOKUP('Données projet'!$B$9,Paramètres!$A$1:$I$89,3,0)*0.475*44/12</f>
        <v>13.175620447447502</v>
      </c>
      <c r="AB119" s="21">
        <f>EXP(-LN(2)/2)*AB118+(1-EXP(-LN(2)/2))/(LN(2)/2)*V119*Y119*VLOOKUP('Données projet'!$B$9,Paramètres!$A$1:$I$89,3,0)*0.475*44/12</f>
        <v>1.9569632308635398E-8</v>
      </c>
      <c r="AC119" s="22">
        <f t="shared" si="57"/>
        <v>95.460527735997516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-7.9808160080574461E-14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331.17634116262298</v>
      </c>
      <c r="AO119" s="59">
        <f t="shared" si="90"/>
        <v>286.28916368940605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119.68710343344357</v>
      </c>
      <c r="AV119" s="21">
        <f>EXP(-LN(2)/25)*AV118+(1-EXP(-LN(2)/25))/(LN(2)/25)*Calculateur!AQ119*Calculateur!AS119*VLOOKUP('Données projet'!$B$10,Paramètres!$A$1:$I$89,3,0)*0.475*44/12</f>
        <v>37.732254954508825</v>
      </c>
      <c r="AW119" s="21">
        <f>EXP(-LN(2)/2)*AW118+(1-EXP(-LN(2)/2))/(LN(2)/2)*AQ119*AT119*VLOOKUP('Données projet'!$B$10,Paramètres!$A$1:$I$89,3,0)*0.475*44/12</f>
        <v>9.6952967568354781E-2</v>
      </c>
      <c r="AX119" s="21">
        <f t="shared" si="60"/>
        <v>157.51631135552074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1.4210854715202004E-13</v>
      </c>
      <c r="BE119" s="13">
        <f>BD119*VLOOKUP('Données projet'!$B$11,Paramètres!$A$1:$I$89,3,0)*VLOOKUP('Données projet'!$B$11,Paramètres!$A$1:$I$89,5,0)</f>
        <v>7.7591266745002952E-14</v>
      </c>
      <c r="BF119" s="13">
        <f t="shared" si="91"/>
        <v>1.2005788606873384E-12</v>
      </c>
      <c r="BG119" s="20">
        <f t="shared" si="61"/>
        <v>2.226146305277994E-12</v>
      </c>
      <c r="BH119" s="59">
        <f t="shared" si="62"/>
        <v>293.33333333333553</v>
      </c>
      <c r="BI119" s="59">
        <f ca="1">AVERAGE(OFFSET($BH$3,0,0,'Données projet'!$E$11+1,1))-AVERAGE(OFFSET($H$3,0,0,'Données projet'!$E$11+1,1))</f>
        <v>165.87377022031535</v>
      </c>
      <c r="BJ119" s="59">
        <f t="shared" si="92"/>
        <v>272.91122662088929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24.958228051648543</v>
      </c>
      <c r="BQ119" s="21">
        <f>EXP(-LN(2)/25)*BQ118+(1-EXP(-LN(2)/25))/(LN(2)/25)*Calculateur!BL119*Calculateur!BN119*VLOOKUP('Données projet'!$B$11,Paramètres!$A$1:$I$89,3,0)*0.475*44/12</f>
        <v>4.6915984606793204</v>
      </c>
      <c r="BR119" s="21">
        <f>EXP(-LN(2)/2)*BR118+(1-EXP(-LN(2)/2))/(LN(2)/2)*BL119*BO119*VLOOKUP('Données projet'!$B$11,Paramètres!$A$1:$I$89,3,0)*0.475*44/12</f>
        <v>9.3733363917468622E-11</v>
      </c>
      <c r="BS119" s="22">
        <f t="shared" si="63"/>
        <v>29.649826512421598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9.6750000000000007</v>
      </c>
      <c r="BY119" s="12">
        <f>IF('Données projet'!$A$114&gt;35,BY118+BX119-CG118,IF(A119&lt;'Données projet'!$A$114,$BV$205^A119,IF(A119='Données projet'!$A$114,'Données projet'!$B$114,BY118+BX119-CG118)))</f>
        <v>474.40000000000003</v>
      </c>
      <c r="BZ119" s="13">
        <f>BY119*VLOOKUP('Données projet'!$B$12,Paramètres!$A$1:$I$89,3,0)*VLOOKUP('Données projet'!$B$12,Paramètres!$A$1:$I$89,5,0)</f>
        <v>429.23712</v>
      </c>
      <c r="CA119" s="13">
        <f t="shared" si="93"/>
        <v>97.679488026963128</v>
      </c>
      <c r="CB119" s="20">
        <f t="shared" si="64"/>
        <v>917.71309231362739</v>
      </c>
      <c r="CC119" s="59">
        <f t="shared" si="65"/>
        <v>1211.0464256469606</v>
      </c>
      <c r="CD119" s="59">
        <f ca="1">AVERAGE(OFFSET($CC$3,0,0,'Données projet'!$E$12+1,1))-AVERAGE(OFFSET($H$3,0,0,'Données projet'!$E$12+1,1))</f>
        <v>639.86968831634636</v>
      </c>
      <c r="CE119" s="59">
        <f t="shared" si="94"/>
        <v>218.1556771431184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34.28323329941928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34.28323329941928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1.1368683772161603E-13</v>
      </c>
      <c r="CU119" s="17">
        <f>CT119*VLOOKUP('Données projet'!$B$13,Paramètres!$A$1:$I$89,3,0)*VLOOKUP('Données projet'!$B$13,Paramètres!$A$1:$I$89,5,0)</f>
        <v>9.9316821433603781E-14</v>
      </c>
      <c r="CV119" s="13">
        <f t="shared" si="95"/>
        <v>1.4932118279712753E-12</v>
      </c>
      <c r="CW119" s="20">
        <f t="shared" si="67"/>
        <v>2.7736540643801645E-12</v>
      </c>
      <c r="CX119" s="59">
        <f t="shared" si="68"/>
        <v>293.3333333333361</v>
      </c>
      <c r="CY119" s="59">
        <f ca="1">AVERAGE(OFFSET($CX$3,0,0,'Données projet'!$E$13+1,1))-AVERAGE(OFFSET($H$3,0,0,'Données projet'!$E$13+1,1))</f>
        <v>218.76600554860482</v>
      </c>
      <c r="CZ119" s="59">
        <f t="shared" si="96"/>
        <v>264.34840059907702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18.606357868530655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18.606357868530655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>
        <f>VLOOKUP(A119,'Données projet'!$A$165:$I$185,2,0)</f>
        <v>274.3</v>
      </c>
      <c r="DM119" s="12">
        <f>VLOOKUP(A119,'Données projet'!$A$165:$I$185,9,0)</f>
        <v>5.9420000000000073</v>
      </c>
      <c r="DN119" s="12">
        <f t="array" ref="DN119">INDEX(DM:DM,MIN(IF(ISNUMBER(DM119:DM315),ROW(DM119:DM315),"")))</f>
        <v>5.9420000000000073</v>
      </c>
      <c r="DO119" s="12">
        <f>IF('Données projet'!$A$166&gt;35,DO118+DN119-DW118,IF(A119&lt;'Données projet'!$A$166,$DL$205^A119,IF(A119='Données projet'!$A$166,'Données projet'!$B$166,DO118+DN119-DW118)))</f>
        <v>274.29999999999984</v>
      </c>
      <c r="DP119" s="17">
        <f>DO119*VLOOKUP('Données projet'!$B$14,Paramètres!$A$1:$I$89,3,0)*VLOOKUP('Données projet'!$B$14,Paramètres!$A$1:$I$89,5,0)</f>
        <v>235.34939999999989</v>
      </c>
      <c r="DQ119" s="13">
        <f t="shared" si="97"/>
        <v>57.437794569316928</v>
      </c>
      <c r="DR119" s="20">
        <f t="shared" si="70"/>
        <v>509.93769720822667</v>
      </c>
      <c r="DS119" s="59">
        <f t="shared" si="71"/>
        <v>803.27103054155998</v>
      </c>
      <c r="DT119" s="59">
        <f ca="1">AVERAGE(OFFSET($DS$3,0,0,'Données projet'!$E$14+1,1))-AVERAGE(OFFSET($H$3,0,0,'Données projet'!$E$14+1,1))</f>
        <v>442.97490100035287</v>
      </c>
      <c r="DU119" s="59">
        <f t="shared" si="98"/>
        <v>334.36243356457049</v>
      </c>
      <c r="DV119" s="15">
        <f>IF(ISNA(VLOOKUP(A119,'Données projet'!$A$165:$I$185,3,0)),0,VLOOKUP(A119,'Données projet'!$A$165:$I$185,3,0))</f>
        <v>10</v>
      </c>
      <c r="DW119" s="15">
        <f>IF(ISNA(VLOOKUP(A119,'Données projet'!$A$165:$I$185,4,0)),0,VLOOKUP(A119,'Données projet'!$A$165:$I$185,4,0))</f>
        <v>94.84</v>
      </c>
      <c r="DX119" s="16">
        <f>IF(ISNA(VLOOKUP(A119,'Données projet'!$A$165:$I$185,5,0)),0%,VLOOKUP(A119,'Données projet'!$A$165:$I$185,5,0)*VLOOKUP('Données projet'!$B$14,Paramètres!$A$1:$I$89,7,0))</f>
        <v>0.21200000000000002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65.82927074265136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65.82927074265136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5.6843418860808015E-14</v>
      </c>
      <c r="EK119" s="17">
        <f>EJ119*VLOOKUP('Données projet'!$B$15,Paramètres!$A$1:$I$89,3,0)*VLOOKUP('Données projet'!$B$15,Paramètres!$A$1:$I$89,5,0)</f>
        <v>4.4337866711430253E-14</v>
      </c>
      <c r="EL119" s="13">
        <f t="shared" si="99"/>
        <v>7.3222115536967035E-13</v>
      </c>
      <c r="EM119" s="20">
        <f t="shared" si="73"/>
        <v>1.3525069634579169E-12</v>
      </c>
      <c r="EN119" s="59">
        <f t="shared" si="74"/>
        <v>293.33333333333468</v>
      </c>
      <c r="EO119" s="59">
        <f ca="1">AVERAGE(OFFSET($EN$3,0,0,'Données projet'!$E$15+1,1))-AVERAGE(OFFSET($H$3,0,0,'Données projet'!$E$15+1,1))</f>
        <v>288.82868507674738</v>
      </c>
      <c r="EP119" s="59">
        <f t="shared" si="100"/>
        <v>283.48738729114024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32.572147637268209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32.572147637268209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328.55201074501201</v>
      </c>
      <c r="FK119" s="59">
        <f t="shared" si="102"/>
        <v>321.81422611044985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47.048348492856206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47.048348492856206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353.37024194969638</v>
      </c>
      <c r="GF119" s="59">
        <f t="shared" si="104"/>
        <v>345.4750813433123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62.925129132206926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62.925129132206926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1.2710188457276673E-13</v>
      </c>
      <c r="P120" s="13">
        <f t="shared" si="87"/>
        <v>1.856866851063998E-12</v>
      </c>
      <c r="Q120" s="20">
        <f t="shared" si="107"/>
        <v>3.4554122145673649E-12</v>
      </c>
      <c r="R120" s="59">
        <f t="shared" si="55"/>
        <v>293.33333333333678</v>
      </c>
      <c r="S120" s="59">
        <f ca="1">AVERAGE(OFFSET($R$3,0,0,'Données projet'!$E$9+1,1))-AVERAGE(OFFSET($H$3,0,0,'Données projet'!$E$9+1,1))</f>
        <v>404.65492118472037</v>
      </c>
      <c r="T120" s="59">
        <f t="shared" si="88"/>
        <v>534.22295841722166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80.671350426273378</v>
      </c>
      <c r="AA120" s="21">
        <f>EXP(-LN(2)/25)*AA119+(1-EXP(-LN(2)/25))/(LN(2)/25)*Calculateur!V120*Calculateur!X120*VLOOKUP('Données projet'!$B$9,Paramètres!$A$1:$I$89,3,0)*0.475*44/12</f>
        <v>12.815332413436284</v>
      </c>
      <c r="AB120" s="21">
        <f>EXP(-LN(2)/2)*AB119+(1-EXP(-LN(2)/2))/(LN(2)/2)*V120*Y120*VLOOKUP('Données projet'!$B$9,Paramètres!$A$1:$I$89,3,0)*0.475*44/12</f>
        <v>1.3837819710763441E-8</v>
      </c>
      <c r="AC120" s="22">
        <f t="shared" si="57"/>
        <v>93.486682853547478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-7.9808160080574461E-14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331.17634116262298</v>
      </c>
      <c r="AO120" s="59">
        <f t="shared" si="90"/>
        <v>286.28916368940605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117.34011233703849</v>
      </c>
      <c r="AV120" s="21">
        <f>EXP(-LN(2)/25)*AV119+(1-EXP(-LN(2)/25))/(LN(2)/25)*Calculateur!AQ120*Calculateur!AS120*VLOOKUP('Données projet'!$B$10,Paramètres!$A$1:$I$89,3,0)*0.475*44/12</f>
        <v>36.700464458524735</v>
      </c>
      <c r="AW120" s="21">
        <f>EXP(-LN(2)/2)*AW119+(1-EXP(-LN(2)/2))/(LN(2)/2)*AQ120*AT120*VLOOKUP('Données projet'!$B$10,Paramètres!$A$1:$I$89,3,0)*0.475*44/12</f>
        <v>6.8556100823743082E-2</v>
      </c>
      <c r="AX120" s="21">
        <f t="shared" si="60"/>
        <v>154.10913289638697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1.4210854715202004E-13</v>
      </c>
      <c r="BE120" s="13">
        <f>BD120*VLOOKUP('Données projet'!$B$11,Paramètres!$A$1:$I$89,3,0)*VLOOKUP('Données projet'!$B$11,Paramètres!$A$1:$I$89,5,0)</f>
        <v>7.7591266745002952E-14</v>
      </c>
      <c r="BF120" s="13">
        <f t="shared" si="91"/>
        <v>1.2005788606873384E-12</v>
      </c>
      <c r="BG120" s="20">
        <f t="shared" si="61"/>
        <v>2.226146305277994E-12</v>
      </c>
      <c r="BH120" s="59">
        <f t="shared" si="62"/>
        <v>293.33333333333553</v>
      </c>
      <c r="BI120" s="59">
        <f ca="1">AVERAGE(OFFSET($BH$3,0,0,'Données projet'!$E$11+1,1))-AVERAGE(OFFSET($H$3,0,0,'Données projet'!$E$11+1,1))</f>
        <v>165.87377022031535</v>
      </c>
      <c r="BJ120" s="59">
        <f t="shared" si="92"/>
        <v>272.91122662088929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24.468812422571681</v>
      </c>
      <c r="BQ120" s="21">
        <f>EXP(-LN(2)/25)*BQ119+(1-EXP(-LN(2)/25))/(LN(2)/25)*Calculateur!BL120*Calculateur!BN120*VLOOKUP('Données projet'!$B$11,Paramètres!$A$1:$I$89,3,0)*0.475*44/12</f>
        <v>4.5633064540516042</v>
      </c>
      <c r="BR120" s="21">
        <f>EXP(-LN(2)/2)*BR119+(1-EXP(-LN(2)/2))/(LN(2)/2)*BL120*BO120*VLOOKUP('Données projet'!$B$11,Paramètres!$A$1:$I$89,3,0)*0.475*44/12</f>
        <v>6.6279497249468512E-11</v>
      </c>
      <c r="BS120" s="22">
        <f t="shared" si="63"/>
        <v>29.032118876689566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9.6750000000000007</v>
      </c>
      <c r="BY120" s="12">
        <f>IF('Données projet'!$A$114&gt;35,BY119+BX120-CG119,IF(A120&lt;'Données projet'!$A$114,$BV$205^A120,IF(A120='Données projet'!$A$114,'Données projet'!$B$114,BY119+BX120-CG119)))</f>
        <v>484.07500000000005</v>
      </c>
      <c r="BZ120" s="13">
        <f>BY120*VLOOKUP('Données projet'!$B$12,Paramètres!$A$1:$I$89,3,0)*VLOOKUP('Données projet'!$B$12,Paramètres!$A$1:$I$89,5,0)</f>
        <v>437.99106000000006</v>
      </c>
      <c r="CA120" s="13">
        <f t="shared" si="93"/>
        <v>99.437628056020628</v>
      </c>
      <c r="CB120" s="20">
        <f t="shared" si="64"/>
        <v>936.02163169756943</v>
      </c>
      <c r="CC120" s="59">
        <f t="shared" si="65"/>
        <v>1229.3549650309028</v>
      </c>
      <c r="CD120" s="59">
        <f ca="1">AVERAGE(OFFSET($CC$3,0,0,'Données projet'!$E$12+1,1))-AVERAGE(OFFSET($H$3,0,0,'Données projet'!$E$12+1,1))</f>
        <v>639.86968831634636</v>
      </c>
      <c r="CE120" s="59">
        <f t="shared" si="94"/>
        <v>218.1556771431184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33.610960005125222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33.610960005125222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1.1368683772161603E-13</v>
      </c>
      <c r="CU120" s="17">
        <f>CT120*VLOOKUP('Données projet'!$B$13,Paramètres!$A$1:$I$89,3,0)*VLOOKUP('Données projet'!$B$13,Paramètres!$A$1:$I$89,5,0)</f>
        <v>9.9316821433603781E-14</v>
      </c>
      <c r="CV120" s="13">
        <f t="shared" si="95"/>
        <v>1.4932118279712753E-12</v>
      </c>
      <c r="CW120" s="20">
        <f t="shared" si="67"/>
        <v>2.7736540643801645E-12</v>
      </c>
      <c r="CX120" s="59">
        <f t="shared" si="68"/>
        <v>293.3333333333361</v>
      </c>
      <c r="CY120" s="59">
        <f ca="1">AVERAGE(OFFSET($CX$3,0,0,'Données projet'!$E$13+1,1))-AVERAGE(OFFSET($H$3,0,0,'Données projet'!$E$13+1,1))</f>
        <v>218.76600554860482</v>
      </c>
      <c r="CZ120" s="59">
        <f t="shared" si="96"/>
        <v>264.34840059907702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18.241498539486471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18.241498539486471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4.6620000000000008</v>
      </c>
      <c r="DO120" s="12">
        <f>IF('Données projet'!$A$166&gt;35,DO119+DN120-DW119,IF(A120&lt;'Données projet'!$A$166,$DL$205^A120,IF(A120='Données projet'!$A$166,'Données projet'!$B$166,DO119+DN120-DW119)))</f>
        <v>184.12199999999982</v>
      </c>
      <c r="DP120" s="17">
        <f>DO120*VLOOKUP('Données projet'!$B$14,Paramètres!$A$1:$I$89,3,0)*VLOOKUP('Données projet'!$B$14,Paramètres!$A$1:$I$89,5,0)</f>
        <v>157.97667599999986</v>
      </c>
      <c r="DQ120" s="13">
        <f t="shared" si="97"/>
        <v>40.385811561050218</v>
      </c>
      <c r="DR120" s="20">
        <f t="shared" si="70"/>
        <v>345.48133250216216</v>
      </c>
      <c r="DS120" s="59">
        <f t="shared" si="71"/>
        <v>638.81466583549548</v>
      </c>
      <c r="DT120" s="59">
        <f ca="1">AVERAGE(OFFSET($DS$3,0,0,'Données projet'!$E$14+1,1))-AVERAGE(OFFSET($H$3,0,0,'Données projet'!$E$14+1,1))</f>
        <v>442.97490100035287</v>
      </c>
      <c r="DU120" s="59">
        <f t="shared" si="98"/>
        <v>334.36243356457049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64.538398895278448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64.538398895278448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5.6843418860808015E-14</v>
      </c>
      <c r="EK120" s="17">
        <f>EJ120*VLOOKUP('Données projet'!$B$15,Paramètres!$A$1:$I$89,3,0)*VLOOKUP('Données projet'!$B$15,Paramètres!$A$1:$I$89,5,0)</f>
        <v>4.4337866711430253E-14</v>
      </c>
      <c r="EL120" s="13">
        <f t="shared" si="99"/>
        <v>7.3222115536967035E-13</v>
      </c>
      <c r="EM120" s="20">
        <f t="shared" si="73"/>
        <v>1.3525069634579169E-12</v>
      </c>
      <c r="EN120" s="59">
        <f t="shared" si="74"/>
        <v>293.33333333333468</v>
      </c>
      <c r="EO120" s="59">
        <f ca="1">AVERAGE(OFFSET($EN$3,0,0,'Données projet'!$E$15+1,1))-AVERAGE(OFFSET($H$3,0,0,'Données projet'!$E$15+1,1))</f>
        <v>288.82868507674738</v>
      </c>
      <c r="EP120" s="59">
        <f t="shared" si="100"/>
        <v>283.48738729114024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31.933427689149731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31.933427689149731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328.55201074501201</v>
      </c>
      <c r="FK120" s="59">
        <f t="shared" si="102"/>
        <v>321.81422611044985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46.125759075570315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46.125759075570315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353.37024194969638</v>
      </c>
      <c r="GF120" s="59">
        <f t="shared" si="104"/>
        <v>345.4750813433123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61.691205730463359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61.691205730463359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1.2710188457276673E-13</v>
      </c>
      <c r="P121" s="13">
        <f t="shared" si="87"/>
        <v>1.856866851063998E-12</v>
      </c>
      <c r="Q121" s="20">
        <f t="shared" si="107"/>
        <v>3.4554122145673649E-12</v>
      </c>
      <c r="R121" s="59">
        <f t="shared" si="55"/>
        <v>293.33333333333678</v>
      </c>
      <c r="S121" s="59">
        <f ca="1">AVERAGE(OFFSET($R$3,0,0,'Données projet'!$E$9+1,1))-AVERAGE(OFFSET($H$3,0,0,'Données projet'!$E$9+1,1))</f>
        <v>404.65492118472037</v>
      </c>
      <c r="T121" s="59">
        <f t="shared" si="88"/>
        <v>534.22295841722166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79.089434449079363</v>
      </c>
      <c r="AA121" s="21">
        <f>EXP(-LN(2)/25)*AA120+(1-EXP(-LN(2)/25))/(LN(2)/25)*Calculateur!V121*Calculateur!X121*VLOOKUP('Données projet'!$B$9,Paramètres!$A$1:$I$89,3,0)*0.475*44/12</f>
        <v>12.464896474661828</v>
      </c>
      <c r="AB121" s="21">
        <f>EXP(-LN(2)/2)*AB120+(1-EXP(-LN(2)/2))/(LN(2)/2)*V121*Y121*VLOOKUP('Données projet'!$B$9,Paramètres!$A$1:$I$89,3,0)*0.475*44/12</f>
        <v>9.7848161543176989E-9</v>
      </c>
      <c r="AC121" s="22">
        <f t="shared" si="57"/>
        <v>91.554330933526003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-7.9808160080574461E-14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331.17634116262298</v>
      </c>
      <c r="AO121" s="59">
        <f t="shared" si="90"/>
        <v>286.28916368940605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115.0391443045107</v>
      </c>
      <c r="AV121" s="21">
        <f>EXP(-LN(2)/25)*AV120+(1-EXP(-LN(2)/25))/(LN(2)/25)*Calculateur!AQ121*Calculateur!AS121*VLOOKUP('Données projet'!$B$10,Paramètres!$A$1:$I$89,3,0)*0.475*44/12</f>
        <v>35.696888327912831</v>
      </c>
      <c r="AW121" s="21">
        <f>EXP(-LN(2)/2)*AW120+(1-EXP(-LN(2)/2))/(LN(2)/2)*AQ121*AT121*VLOOKUP('Données projet'!$B$10,Paramètres!$A$1:$I$89,3,0)*0.475*44/12</f>
        <v>4.847648378417739E-2</v>
      </c>
      <c r="AX121" s="21">
        <f t="shared" si="60"/>
        <v>150.78450911620772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1.4210854715202004E-13</v>
      </c>
      <c r="BE121" s="13">
        <f>BD121*VLOOKUP('Données projet'!$B$11,Paramètres!$A$1:$I$89,3,0)*VLOOKUP('Données projet'!$B$11,Paramètres!$A$1:$I$89,5,0)</f>
        <v>7.7591266745002952E-14</v>
      </c>
      <c r="BF121" s="13">
        <f t="shared" si="91"/>
        <v>1.2005788606873384E-12</v>
      </c>
      <c r="BG121" s="20">
        <f t="shared" si="61"/>
        <v>2.226146305277994E-12</v>
      </c>
      <c r="BH121" s="59">
        <f t="shared" si="62"/>
        <v>293.33333333333553</v>
      </c>
      <c r="BI121" s="59">
        <f ca="1">AVERAGE(OFFSET($BH$3,0,0,'Données projet'!$E$11+1,1))-AVERAGE(OFFSET($H$3,0,0,'Données projet'!$E$11+1,1))</f>
        <v>165.87377022031535</v>
      </c>
      <c r="BJ121" s="59">
        <f t="shared" si="92"/>
        <v>272.91122662088929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23.988993935466954</v>
      </c>
      <c r="BQ121" s="21">
        <f>EXP(-LN(2)/25)*BQ120+(1-EXP(-LN(2)/25))/(LN(2)/25)*Calculateur!BL121*Calculateur!BN121*VLOOKUP('Données projet'!$B$11,Paramètres!$A$1:$I$89,3,0)*0.475*44/12</f>
        <v>4.4385225990917059</v>
      </c>
      <c r="BR121" s="21">
        <f>EXP(-LN(2)/2)*BR120+(1-EXP(-LN(2)/2))/(LN(2)/2)*BL121*BO121*VLOOKUP('Données projet'!$B$11,Paramètres!$A$1:$I$89,3,0)*0.475*44/12</f>
        <v>4.6866681958734311E-11</v>
      </c>
      <c r="BS121" s="22">
        <f t="shared" si="63"/>
        <v>28.427516534605527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9.6750000000000007</v>
      </c>
      <c r="BY121" s="12">
        <f>IF('Données projet'!$A$114&gt;35,BY120+BX121-CG120,IF(A121&lt;'Données projet'!$A$114,$BV$205^A121,IF(A121='Données projet'!$A$114,'Données projet'!$B$114,BY120+BX121-CG120)))</f>
        <v>493.75000000000006</v>
      </c>
      <c r="BZ121" s="13">
        <f>BY121*VLOOKUP('Données projet'!$B$12,Paramètres!$A$1:$I$89,3,0)*VLOOKUP('Données projet'!$B$12,Paramètres!$A$1:$I$89,5,0)</f>
        <v>446.745</v>
      </c>
      <c r="CA121" s="13">
        <f t="shared" si="93"/>
        <v>101.19168234959989</v>
      </c>
      <c r="CB121" s="20">
        <f t="shared" si="64"/>
        <v>954.32305509221976</v>
      </c>
      <c r="CC121" s="59">
        <f t="shared" si="65"/>
        <v>1247.6563884255531</v>
      </c>
      <c r="CD121" s="59">
        <f ca="1">AVERAGE(OFFSET($CC$3,0,0,'Données projet'!$E$12+1,1))-AVERAGE(OFFSET($H$3,0,0,'Données projet'!$E$12+1,1))</f>
        <v>639.86968831634636</v>
      </c>
      <c r="CE121" s="59">
        <f t="shared" si="94"/>
        <v>218.1556771431184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32.951869580086047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32.951869580086047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1.1368683772161603E-13</v>
      </c>
      <c r="CU121" s="17">
        <f>CT121*VLOOKUP('Données projet'!$B$13,Paramètres!$A$1:$I$89,3,0)*VLOOKUP('Données projet'!$B$13,Paramètres!$A$1:$I$89,5,0)</f>
        <v>9.9316821433603781E-14</v>
      </c>
      <c r="CV121" s="13">
        <f t="shared" si="95"/>
        <v>1.4932118279712753E-12</v>
      </c>
      <c r="CW121" s="20">
        <f t="shared" si="67"/>
        <v>2.7736540643801645E-12</v>
      </c>
      <c r="CX121" s="59">
        <f t="shared" si="68"/>
        <v>293.3333333333361</v>
      </c>
      <c r="CY121" s="59">
        <f ca="1">AVERAGE(OFFSET($CX$3,0,0,'Données projet'!$E$13+1,1))-AVERAGE(OFFSET($H$3,0,0,'Données projet'!$E$13+1,1))</f>
        <v>218.76600554860482</v>
      </c>
      <c r="CZ121" s="59">
        <f t="shared" si="96"/>
        <v>264.34840059907702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17.88379387934263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17.88379387934263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4.6620000000000008</v>
      </c>
      <c r="DO121" s="12">
        <f>IF('Données projet'!$A$166&gt;35,DO120+DN121-DW120,IF(A121&lt;'Données projet'!$A$166,$DL$205^A121,IF(A121='Données projet'!$A$166,'Données projet'!$B$166,DO120+DN121-DW120)))</f>
        <v>188.78399999999982</v>
      </c>
      <c r="DP121" s="17">
        <f>DO121*VLOOKUP('Données projet'!$B$14,Paramètres!$A$1:$I$89,3,0)*VLOOKUP('Données projet'!$B$14,Paramètres!$A$1:$I$89,5,0)</f>
        <v>161.97667199999987</v>
      </c>
      <c r="DQ121" s="13">
        <f t="shared" si="97"/>
        <v>41.288040189876995</v>
      </c>
      <c r="DR121" s="20">
        <f t="shared" si="70"/>
        <v>354.01937373070217</v>
      </c>
      <c r="DS121" s="59">
        <f t="shared" si="71"/>
        <v>647.35270706403549</v>
      </c>
      <c r="DT121" s="59">
        <f ca="1">AVERAGE(OFFSET($DS$3,0,0,'Données projet'!$E$14+1,1))-AVERAGE(OFFSET($H$3,0,0,'Données projet'!$E$14+1,1))</f>
        <v>442.97490100035287</v>
      </c>
      <c r="DU121" s="59">
        <f t="shared" si="98"/>
        <v>334.36243356457049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63.272840257478435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63.272840257478435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5.6843418860808015E-14</v>
      </c>
      <c r="EK121" s="17">
        <f>EJ121*VLOOKUP('Données projet'!$B$15,Paramètres!$A$1:$I$89,3,0)*VLOOKUP('Données projet'!$B$15,Paramètres!$A$1:$I$89,5,0)</f>
        <v>4.4337866711430253E-14</v>
      </c>
      <c r="EL121" s="13">
        <f t="shared" si="99"/>
        <v>7.3222115536967035E-13</v>
      </c>
      <c r="EM121" s="20">
        <f t="shared" si="73"/>
        <v>1.3525069634579169E-12</v>
      </c>
      <c r="EN121" s="59">
        <f t="shared" si="74"/>
        <v>293.33333333333468</v>
      </c>
      <c r="EO121" s="59">
        <f ca="1">AVERAGE(OFFSET($EN$3,0,0,'Données projet'!$E$15+1,1))-AVERAGE(OFFSET($H$3,0,0,'Données projet'!$E$15+1,1))</f>
        <v>288.82868507674738</v>
      </c>
      <c r="EP121" s="59">
        <f t="shared" si="100"/>
        <v>283.48738729114024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31.307232649633153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31.307232649633153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328.55201074501201</v>
      </c>
      <c r="FK121" s="59">
        <f t="shared" si="102"/>
        <v>321.81422611044985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45.221261074033421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45.221261074033421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353.37024194969638</v>
      </c>
      <c r="GF121" s="59">
        <f t="shared" si="104"/>
        <v>345.4750813433123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60.481478814009023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60.481478814009023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1.2710188457276673E-13</v>
      </c>
      <c r="P122" s="13">
        <f t="shared" si="87"/>
        <v>1.856866851063998E-12</v>
      </c>
      <c r="Q122" s="20">
        <f t="shared" si="107"/>
        <v>3.4554122145673649E-12</v>
      </c>
      <c r="R122" s="59">
        <f t="shared" si="55"/>
        <v>293.33333333333678</v>
      </c>
      <c r="S122" s="59">
        <f ca="1">AVERAGE(OFFSET($R$3,0,0,'Données projet'!$E$9+1,1))-AVERAGE(OFFSET($H$3,0,0,'Données projet'!$E$9+1,1))</f>
        <v>404.65492118472037</v>
      </c>
      <c r="T122" s="59">
        <f t="shared" si="88"/>
        <v>534.22295841722166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77.538538879324648</v>
      </c>
      <c r="AA122" s="21">
        <f>EXP(-LN(2)/25)*AA121+(1-EXP(-LN(2)/25))/(LN(2)/25)*Calculateur!V122*Calculateur!X122*VLOOKUP('Données projet'!$B$9,Paramètres!$A$1:$I$89,3,0)*0.475*44/12</f>
        <v>12.124043225061783</v>
      </c>
      <c r="AB122" s="21">
        <f>EXP(-LN(2)/2)*AB121+(1-EXP(-LN(2)/2))/(LN(2)/2)*V122*Y122*VLOOKUP('Données projet'!$B$9,Paramètres!$A$1:$I$89,3,0)*0.475*44/12</f>
        <v>6.9189098553817206E-9</v>
      </c>
      <c r="AC122" s="22">
        <f t="shared" si="57"/>
        <v>89.662582111305341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-7.9808160080574461E-14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331.17634116262298</v>
      </c>
      <c r="AO122" s="59">
        <f t="shared" si="90"/>
        <v>286.28916368940605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112.78329685164886</v>
      </c>
      <c r="AV122" s="21">
        <f>EXP(-LN(2)/25)*AV121+(1-EXP(-LN(2)/25))/(LN(2)/25)*Calculateur!AQ122*Calculateur!AS122*VLOOKUP('Données projet'!$B$10,Paramètres!$A$1:$I$89,3,0)*0.475*44/12</f>
        <v>34.720755039368285</v>
      </c>
      <c r="AW122" s="21">
        <f>EXP(-LN(2)/2)*AW121+(1-EXP(-LN(2)/2))/(LN(2)/2)*AQ122*AT122*VLOOKUP('Données projet'!$B$10,Paramètres!$A$1:$I$89,3,0)*0.475*44/12</f>
        <v>3.4278050411871541E-2</v>
      </c>
      <c r="AX122" s="21">
        <f t="shared" si="60"/>
        <v>147.538329941429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1.4210854715202004E-13</v>
      </c>
      <c r="BE122" s="13">
        <f>BD122*VLOOKUP('Données projet'!$B$11,Paramètres!$A$1:$I$89,3,0)*VLOOKUP('Données projet'!$B$11,Paramètres!$A$1:$I$89,5,0)</f>
        <v>7.7591266745002952E-14</v>
      </c>
      <c r="BF122" s="13">
        <f t="shared" si="91"/>
        <v>1.2005788606873384E-12</v>
      </c>
      <c r="BG122" s="20">
        <f t="shared" si="61"/>
        <v>2.226146305277994E-12</v>
      </c>
      <c r="BH122" s="59">
        <f t="shared" si="62"/>
        <v>293.33333333333553</v>
      </c>
      <c r="BI122" s="59">
        <f ca="1">AVERAGE(OFFSET($BH$3,0,0,'Données projet'!$E$11+1,1))-AVERAGE(OFFSET($H$3,0,0,'Données projet'!$E$11+1,1))</f>
        <v>165.87377022031535</v>
      </c>
      <c r="BJ122" s="59">
        <f t="shared" si="92"/>
        <v>272.91122662088929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23.518584396233972</v>
      </c>
      <c r="BQ122" s="21">
        <f>EXP(-LN(2)/25)*BQ121+(1-EXP(-LN(2)/25))/(LN(2)/25)*Calculateur!BL122*Calculateur!BN122*VLOOKUP('Données projet'!$B$11,Paramètres!$A$1:$I$89,3,0)*0.475*44/12</f>
        <v>4.3171509652077837</v>
      </c>
      <c r="BR122" s="21">
        <f>EXP(-LN(2)/2)*BR121+(1-EXP(-LN(2)/2))/(LN(2)/2)*BL122*BO122*VLOOKUP('Données projet'!$B$11,Paramètres!$A$1:$I$89,3,0)*0.475*44/12</f>
        <v>3.3139748624734256E-11</v>
      </c>
      <c r="BS122" s="22">
        <f t="shared" si="63"/>
        <v>27.835735361474896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9.6750000000000007</v>
      </c>
      <c r="BY122" s="12">
        <f>IF('Données projet'!$A$114&gt;35,BY121+BX122-CG121,IF(A122&lt;'Données projet'!$A$114,$BV$205^A122,IF(A122='Données projet'!$A$114,'Données projet'!$B$114,BY121+BX122-CG121)))</f>
        <v>503.42500000000007</v>
      </c>
      <c r="BZ122" s="13">
        <f>BY122*VLOOKUP('Données projet'!$B$12,Paramètres!$A$1:$I$89,3,0)*VLOOKUP('Données projet'!$B$12,Paramètres!$A$1:$I$89,5,0)</f>
        <v>455.49894000000006</v>
      </c>
      <c r="CA122" s="13">
        <f t="shared" si="93"/>
        <v>102.94174019605902</v>
      </c>
      <c r="CB122" s="20">
        <f t="shared" si="64"/>
        <v>972.61751800813624</v>
      </c>
      <c r="CC122" s="59">
        <f t="shared" si="65"/>
        <v>1265.9508513414696</v>
      </c>
      <c r="CD122" s="59">
        <f ca="1">AVERAGE(OFFSET($CC$3,0,0,'Données projet'!$E$12+1,1))-AVERAGE(OFFSET($H$3,0,0,'Données projet'!$E$12+1,1))</f>
        <v>639.86968831634636</v>
      </c>
      <c r="CE122" s="59">
        <f t="shared" si="94"/>
        <v>218.1556771431184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32.305703516276424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32.305703516276424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1.1368683772161603E-13</v>
      </c>
      <c r="CU122" s="17">
        <f>CT122*VLOOKUP('Données projet'!$B$13,Paramètres!$A$1:$I$89,3,0)*VLOOKUP('Données projet'!$B$13,Paramètres!$A$1:$I$89,5,0)</f>
        <v>9.9316821433603781E-14</v>
      </c>
      <c r="CV122" s="13">
        <f t="shared" si="95"/>
        <v>1.4932118279712753E-12</v>
      </c>
      <c r="CW122" s="20">
        <f t="shared" si="67"/>
        <v>2.7736540643801645E-12</v>
      </c>
      <c r="CX122" s="59">
        <f t="shared" si="68"/>
        <v>293.3333333333361</v>
      </c>
      <c r="CY122" s="59">
        <f ca="1">AVERAGE(OFFSET($CX$3,0,0,'Données projet'!$E$13+1,1))-AVERAGE(OFFSET($H$3,0,0,'Données projet'!$E$13+1,1))</f>
        <v>218.76600554860482</v>
      </c>
      <c r="CZ122" s="59">
        <f t="shared" si="96"/>
        <v>264.34840059907702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17.533103589405908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17.533103589405908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4.6620000000000008</v>
      </c>
      <c r="DO122" s="12">
        <f>IF('Données projet'!$A$166&gt;35,DO121+DN122-DW121,IF(A122&lt;'Données projet'!$A$166,$DL$205^A122,IF(A122='Données projet'!$A$166,'Données projet'!$B$166,DO121+DN122-DW121)))</f>
        <v>193.44599999999983</v>
      </c>
      <c r="DP122" s="17">
        <f>DO122*VLOOKUP('Données projet'!$B$14,Paramètres!$A$1:$I$89,3,0)*VLOOKUP('Données projet'!$B$14,Paramètres!$A$1:$I$89,5,0)</f>
        <v>165.97666799999988</v>
      </c>
      <c r="DQ122" s="13">
        <f t="shared" si="97"/>
        <v>42.187678821559359</v>
      </c>
      <c r="DR122" s="20">
        <f t="shared" si="70"/>
        <v>362.55290404754896</v>
      </c>
      <c r="DS122" s="59">
        <f t="shared" si="71"/>
        <v>655.88623738088222</v>
      </c>
      <c r="DT122" s="59">
        <f ca="1">AVERAGE(OFFSET($DS$3,0,0,'Données projet'!$E$14+1,1))-AVERAGE(OFFSET($H$3,0,0,'Données projet'!$E$14+1,1))</f>
        <v>442.97490100035287</v>
      </c>
      <c r="DU122" s="59">
        <f t="shared" si="98"/>
        <v>334.36243356457049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62.032098452651134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62.032098452651134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5.6843418860808015E-14</v>
      </c>
      <c r="EK122" s="17">
        <f>EJ122*VLOOKUP('Données projet'!$B$15,Paramètres!$A$1:$I$89,3,0)*VLOOKUP('Données projet'!$B$15,Paramètres!$A$1:$I$89,5,0)</f>
        <v>4.4337866711430253E-14</v>
      </c>
      <c r="EL122" s="13">
        <f t="shared" si="99"/>
        <v>7.3222115536967035E-13</v>
      </c>
      <c r="EM122" s="20">
        <f t="shared" si="73"/>
        <v>1.3525069634579169E-12</v>
      </c>
      <c r="EN122" s="59">
        <f t="shared" si="74"/>
        <v>293.33333333333468</v>
      </c>
      <c r="EO122" s="59">
        <f ca="1">AVERAGE(OFFSET($EN$3,0,0,'Données projet'!$E$15+1,1))-AVERAGE(OFFSET($H$3,0,0,'Données projet'!$E$15+1,1))</f>
        <v>288.82868507674738</v>
      </c>
      <c r="EP122" s="59">
        <f t="shared" si="100"/>
        <v>283.48738729114024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30.693316912900237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30.693316912900237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328.55201074501201</v>
      </c>
      <c r="FK122" s="59">
        <f t="shared" si="102"/>
        <v>321.81422611044985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44.334499726617359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44.334499726617359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353.37024194969638</v>
      </c>
      <c r="GF122" s="59">
        <f t="shared" si="104"/>
        <v>345.4750813433123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59.295473904525792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59.295473904525792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1.2710188457276673E-13</v>
      </c>
      <c r="P123" s="13">
        <f t="shared" si="87"/>
        <v>1.856866851063998E-12</v>
      </c>
      <c r="Q123" s="20">
        <f t="shared" si="107"/>
        <v>3.4554122145673649E-12</v>
      </c>
      <c r="R123" s="59">
        <f t="shared" si="55"/>
        <v>293.33333333333678</v>
      </c>
      <c r="S123" s="59">
        <f ca="1">AVERAGE(OFFSET($R$3,0,0,'Données projet'!$E$9+1,1))-AVERAGE(OFFSET($H$3,0,0,'Données projet'!$E$9+1,1))</f>
        <v>404.65492118472037</v>
      </c>
      <c r="T123" s="59">
        <f t="shared" si="88"/>
        <v>534.22295841722166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76.018055425739931</v>
      </c>
      <c r="AA123" s="21">
        <f>EXP(-LN(2)/25)*AA122+(1-EXP(-LN(2)/25))/(LN(2)/25)*Calculateur!V123*Calculateur!X123*VLOOKUP('Données projet'!$B$9,Paramètres!$A$1:$I$89,3,0)*0.475*44/12</f>
        <v>11.792510625496744</v>
      </c>
      <c r="AB123" s="21">
        <f>EXP(-LN(2)/2)*AB122+(1-EXP(-LN(2)/2))/(LN(2)/2)*V123*Y123*VLOOKUP('Données projet'!$B$9,Paramètres!$A$1:$I$89,3,0)*0.475*44/12</f>
        <v>4.8924080771588494E-9</v>
      </c>
      <c r="AC123" s="22">
        <f t="shared" si="57"/>
        <v>87.81056605612909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-7.9808160080574461E-14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331.17634116262298</v>
      </c>
      <c r="AO123" s="59">
        <f t="shared" si="90"/>
        <v>286.28916368940605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110.57168519140656</v>
      </c>
      <c r="AV123" s="21">
        <f>EXP(-LN(2)/25)*AV122+(1-EXP(-LN(2)/25))/(LN(2)/25)*Calculateur!AQ123*Calculateur!AS123*VLOOKUP('Données projet'!$B$10,Paramètres!$A$1:$I$89,3,0)*0.475*44/12</f>
        <v>33.77131416693161</v>
      </c>
      <c r="AW123" s="21">
        <f>EXP(-LN(2)/2)*AW122+(1-EXP(-LN(2)/2))/(LN(2)/2)*AQ123*AT123*VLOOKUP('Données projet'!$B$10,Paramètres!$A$1:$I$89,3,0)*0.475*44/12</f>
        <v>2.4238241892088695E-2</v>
      </c>
      <c r="AX123" s="21">
        <f t="shared" si="60"/>
        <v>144.36723760023025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1.4210854715202004E-13</v>
      </c>
      <c r="BE123" s="13">
        <f>BD123*VLOOKUP('Données projet'!$B$11,Paramètres!$A$1:$I$89,3,0)*VLOOKUP('Données projet'!$B$11,Paramètres!$A$1:$I$89,5,0)</f>
        <v>7.7591266745002952E-14</v>
      </c>
      <c r="BF123" s="13">
        <f t="shared" si="91"/>
        <v>1.2005788606873384E-12</v>
      </c>
      <c r="BG123" s="20">
        <f t="shared" si="61"/>
        <v>2.226146305277994E-12</v>
      </c>
      <c r="BH123" s="59">
        <f t="shared" si="62"/>
        <v>293.33333333333553</v>
      </c>
      <c r="BI123" s="59">
        <f ca="1">AVERAGE(OFFSET($BH$3,0,0,'Données projet'!$E$11+1,1))-AVERAGE(OFFSET($H$3,0,0,'Données projet'!$E$11+1,1))</f>
        <v>165.87377022031535</v>
      </c>
      <c r="BJ123" s="59">
        <f t="shared" si="92"/>
        <v>272.91122662088929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23.057399301143864</v>
      </c>
      <c r="BQ123" s="21">
        <f>EXP(-LN(2)/25)*BQ122+(1-EXP(-LN(2)/25))/(LN(2)/25)*Calculateur!BL123*Calculateur!BN123*VLOOKUP('Données projet'!$B$11,Paramètres!$A$1:$I$89,3,0)*0.475*44/12</f>
        <v>4.1990982450350742</v>
      </c>
      <c r="BR123" s="21">
        <f>EXP(-LN(2)/2)*BR122+(1-EXP(-LN(2)/2))/(LN(2)/2)*BL123*BO123*VLOOKUP('Données projet'!$B$11,Paramètres!$A$1:$I$89,3,0)*0.475*44/12</f>
        <v>2.3433340979367156E-11</v>
      </c>
      <c r="BS123" s="22">
        <f t="shared" si="63"/>
        <v>27.256497546202372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513.1</v>
      </c>
      <c r="BW123" s="12">
        <f>VLOOKUP(A123,'Données projet'!$A$113:$I$133,9,0)</f>
        <v>9.6750000000000007</v>
      </c>
      <c r="BX123" s="12">
        <f t="array" ref="BX123">INDEX(BW:BW,MIN(IF(ISNUMBER(BW123:BW319),ROW(BW123:BW319),"")))</f>
        <v>9.6750000000000007</v>
      </c>
      <c r="BY123" s="12">
        <f>IF('Données projet'!$A$114&gt;35,BY122+BX123-CG122,IF(A123&lt;'Données projet'!$A$114,$BV$205^A123,IF(A123='Données projet'!$A$114,'Données projet'!$B$114,BY122+BX123-CG122)))</f>
        <v>513.1</v>
      </c>
      <c r="BZ123" s="13">
        <f>BY123*VLOOKUP('Données projet'!$B$12,Paramètres!$A$1:$I$89,3,0)*VLOOKUP('Données projet'!$B$12,Paramètres!$A$1:$I$89,5,0)</f>
        <v>464.25288000000006</v>
      </c>
      <c r="CA123" s="13">
        <f t="shared" si="93"/>
        <v>104.68788725545549</v>
      </c>
      <c r="CB123" s="20">
        <f t="shared" si="64"/>
        <v>990.90516963658501</v>
      </c>
      <c r="CC123" s="59">
        <f t="shared" si="65"/>
        <v>1284.2385029699183</v>
      </c>
      <c r="CD123" s="59">
        <f ca="1">AVERAGE(OFFSET($CC$3,0,0,'Données projet'!$E$12+1,1))-AVERAGE(OFFSET($H$3,0,0,'Données projet'!$E$12+1,1))</f>
        <v>639.86968831634636</v>
      </c>
      <c r="CE123" s="59">
        <f t="shared" si="94"/>
        <v>218.1556771431184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60.46</v>
      </c>
      <c r="CH123" s="16">
        <f>IF(ISNA(VLOOKUP(A123,'Données projet'!$A$113:$I$133,5,0)),0%,VLOOKUP(A123,'Données projet'!$A$113:$I$133,5,0)*VLOOKUP('Données projet'!$B$12,Paramètres!$A$1:$I$89,7,0))</f>
        <v>0.215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44.674092914514759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44.674092914514759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1.1368683772161603E-13</v>
      </c>
      <c r="CU123" s="17">
        <f>CT123*VLOOKUP('Données projet'!$B$13,Paramètres!$A$1:$I$89,3,0)*VLOOKUP('Données projet'!$B$13,Paramètres!$A$1:$I$89,5,0)</f>
        <v>9.9316821433603781E-14</v>
      </c>
      <c r="CV123" s="13">
        <f t="shared" si="95"/>
        <v>1.4932118279712753E-12</v>
      </c>
      <c r="CW123" s="20">
        <f t="shared" si="67"/>
        <v>2.7736540643801645E-12</v>
      </c>
      <c r="CX123" s="59">
        <f t="shared" si="68"/>
        <v>293.3333333333361</v>
      </c>
      <c r="CY123" s="59">
        <f ca="1">AVERAGE(OFFSET($CX$3,0,0,'Données projet'!$E$13+1,1))-AVERAGE(OFFSET($H$3,0,0,'Données projet'!$E$13+1,1))</f>
        <v>218.76600554860482</v>
      </c>
      <c r="CZ123" s="59">
        <f t="shared" si="96"/>
        <v>264.34840059907702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17.18929012215489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17.18929012215489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4.6620000000000008</v>
      </c>
      <c r="DO123" s="12">
        <f>IF('Données projet'!$A$166&gt;35,DO122+DN123-DW122,IF(A123&lt;'Données projet'!$A$166,$DL$205^A123,IF(A123='Données projet'!$A$166,'Données projet'!$B$166,DO122+DN123-DW122)))</f>
        <v>198.10799999999983</v>
      </c>
      <c r="DP123" s="17">
        <f>DO123*VLOOKUP('Données projet'!$B$14,Paramètres!$A$1:$I$89,3,0)*VLOOKUP('Données projet'!$B$14,Paramètres!$A$1:$I$89,5,0)</f>
        <v>169.97666399999989</v>
      </c>
      <c r="DQ123" s="13">
        <f t="shared" si="97"/>
        <v>43.084797055841925</v>
      </c>
      <c r="DR123" s="20">
        <f t="shared" si="70"/>
        <v>371.08204467225778</v>
      </c>
      <c r="DS123" s="59">
        <f t="shared" si="71"/>
        <v>664.41537800559104</v>
      </c>
      <c r="DT123" s="59">
        <f ca="1">AVERAGE(OFFSET($DS$3,0,0,'Données projet'!$E$14+1,1))-AVERAGE(OFFSET($H$3,0,0,'Données projet'!$E$14+1,1))</f>
        <v>442.97490100035287</v>
      </c>
      <c r="DU123" s="59">
        <f t="shared" si="98"/>
        <v>334.36243356457049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60.815686837838719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60.815686837838719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5.6843418860808015E-14</v>
      </c>
      <c r="EK123" s="17">
        <f>EJ123*VLOOKUP('Données projet'!$B$15,Paramètres!$A$1:$I$89,3,0)*VLOOKUP('Données projet'!$B$15,Paramètres!$A$1:$I$89,5,0)</f>
        <v>4.4337866711430253E-14</v>
      </c>
      <c r="EL123" s="13">
        <f t="shared" si="99"/>
        <v>7.3222115536967035E-13</v>
      </c>
      <c r="EM123" s="20">
        <f t="shared" si="73"/>
        <v>1.3525069634579169E-12</v>
      </c>
      <c r="EN123" s="59">
        <f t="shared" si="74"/>
        <v>293.33333333333468</v>
      </c>
      <c r="EO123" s="59">
        <f ca="1">AVERAGE(OFFSET($EN$3,0,0,'Données projet'!$E$15+1,1))-AVERAGE(OFFSET($H$3,0,0,'Données projet'!$E$15+1,1))</f>
        <v>288.82868507674738</v>
      </c>
      <c r="EP123" s="59">
        <f t="shared" si="100"/>
        <v>283.48738729114024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30.091439689313027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30.091439689313027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328.55201074501201</v>
      </c>
      <c r="FK123" s="59">
        <f t="shared" si="102"/>
        <v>321.81422611044985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43.465127228353111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43.465127228353111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353.37024194969638</v>
      </c>
      <c r="GF123" s="59">
        <f t="shared" si="104"/>
        <v>345.4750813433123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58.13272582792596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58.13272582792596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1.2710188457276673E-13</v>
      </c>
      <c r="P124" s="13">
        <f t="shared" si="87"/>
        <v>1.856866851063998E-12</v>
      </c>
      <c r="Q124" s="20">
        <f t="shared" si="107"/>
        <v>3.4554122145673649E-12</v>
      </c>
      <c r="R124" s="59">
        <f t="shared" si="55"/>
        <v>293.33333333333678</v>
      </c>
      <c r="S124" s="59">
        <f ca="1">AVERAGE(OFFSET($R$3,0,0,'Données projet'!$E$9+1,1))-AVERAGE(OFFSET($H$3,0,0,'Données projet'!$E$9+1,1))</f>
        <v>404.65492118472037</v>
      </c>
      <c r="T124" s="59">
        <f t="shared" si="88"/>
        <v>534.22295841722166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74.527387725276682</v>
      </c>
      <c r="AA124" s="21">
        <f>EXP(-LN(2)/25)*AA123+(1-EXP(-LN(2)/25))/(LN(2)/25)*Calculateur!V124*Calculateur!X124*VLOOKUP('Données projet'!$B$9,Paramètres!$A$1:$I$89,3,0)*0.475*44/12</f>
        <v>11.470043802301355</v>
      </c>
      <c r="AB124" s="21">
        <f>EXP(-LN(2)/2)*AB123+(1-EXP(-LN(2)/2))/(LN(2)/2)*V124*Y124*VLOOKUP('Données projet'!$B$9,Paramètres!$A$1:$I$89,3,0)*0.475*44/12</f>
        <v>3.4594549276908603E-9</v>
      </c>
      <c r="AC124" s="22">
        <f t="shared" si="57"/>
        <v>85.997431531037492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-7.9808160080574461E-14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331.17634116262298</v>
      </c>
      <c r="AO124" s="59">
        <f t="shared" si="90"/>
        <v>286.28916368940605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108.40344188687169</v>
      </c>
      <c r="AV124" s="21">
        <f>EXP(-LN(2)/25)*AV123+(1-EXP(-LN(2)/25))/(LN(2)/25)*Calculateur!AQ124*Calculateur!AS124*VLOOKUP('Données projet'!$B$10,Paramètres!$A$1:$I$89,3,0)*0.475*44/12</f>
        <v>32.847835805080642</v>
      </c>
      <c r="AW124" s="21">
        <f>EXP(-LN(2)/2)*AW123+(1-EXP(-LN(2)/2))/(LN(2)/2)*AQ124*AT124*VLOOKUP('Données projet'!$B$10,Paramètres!$A$1:$I$89,3,0)*0.475*44/12</f>
        <v>1.7139025205935771E-2</v>
      </c>
      <c r="AX124" s="21">
        <f t="shared" si="60"/>
        <v>141.26841671715829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1.4210854715202004E-13</v>
      </c>
      <c r="BE124" s="13">
        <f>BD124*VLOOKUP('Données projet'!$B$11,Paramètres!$A$1:$I$89,3,0)*VLOOKUP('Données projet'!$B$11,Paramètres!$A$1:$I$89,5,0)</f>
        <v>7.7591266745002952E-14</v>
      </c>
      <c r="BF124" s="13">
        <f t="shared" si="91"/>
        <v>1.2005788606873384E-12</v>
      </c>
      <c r="BG124" s="20">
        <f t="shared" si="61"/>
        <v>2.226146305277994E-12</v>
      </c>
      <c r="BH124" s="59">
        <f t="shared" si="62"/>
        <v>293.33333333333553</v>
      </c>
      <c r="BI124" s="59">
        <f ca="1">AVERAGE(OFFSET($BH$3,0,0,'Données projet'!$E$11+1,1))-AVERAGE(OFFSET($H$3,0,0,'Données projet'!$E$11+1,1))</f>
        <v>165.87377022031535</v>
      </c>
      <c r="BJ124" s="59">
        <f t="shared" si="92"/>
        <v>272.91122662088929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22.60525776447334</v>
      </c>
      <c r="BQ124" s="21">
        <f>EXP(-LN(2)/25)*BQ123+(1-EXP(-LN(2)/25))/(LN(2)/25)*Calculateur!BL124*Calculateur!BN124*VLOOKUP('Données projet'!$B$11,Paramètres!$A$1:$I$89,3,0)*0.475*44/12</f>
        <v>4.0842736827036106</v>
      </c>
      <c r="BR124" s="21">
        <f>EXP(-LN(2)/2)*BR123+(1-EXP(-LN(2)/2))/(LN(2)/2)*BL124*BO124*VLOOKUP('Données projet'!$B$11,Paramètres!$A$1:$I$89,3,0)*0.475*44/12</f>
        <v>1.6569874312367128E-11</v>
      </c>
      <c r="BS124" s="22">
        <f t="shared" si="63"/>
        <v>26.68953144719352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9.6749999999999936</v>
      </c>
      <c r="BY124" s="12">
        <f>IF('Données projet'!$A$114&gt;35,BY123+BX124-CG123,IF(A124&lt;'Données projet'!$A$114,$BV$205^A124,IF(A124='Données projet'!$A$114,'Données projet'!$B$114,BY123+BX124-CG123)))</f>
        <v>462.315</v>
      </c>
      <c r="BZ124" s="13">
        <f>BY124*VLOOKUP('Données projet'!$B$12,Paramètres!$A$1:$I$89,3,0)*VLOOKUP('Données projet'!$B$12,Paramètres!$A$1:$I$89,5,0)</f>
        <v>418.30261200000001</v>
      </c>
      <c r="CA124" s="13">
        <f t="shared" si="93"/>
        <v>95.477521848004017</v>
      </c>
      <c r="CB124" s="20">
        <f t="shared" si="64"/>
        <v>894.83373311860703</v>
      </c>
      <c r="CC124" s="59">
        <f t="shared" si="65"/>
        <v>1188.1670664519404</v>
      </c>
      <c r="CD124" s="59">
        <f ca="1">AVERAGE(OFFSET($CC$3,0,0,'Données projet'!$E$12+1,1))-AVERAGE(OFFSET($H$3,0,0,'Données projet'!$E$12+1,1))</f>
        <v>639.86968831634636</v>
      </c>
      <c r="CE124" s="59">
        <f t="shared" si="94"/>
        <v>218.1556771431184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43.798061200967233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43.798061200967233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1.1368683772161603E-13</v>
      </c>
      <c r="CU124" s="17">
        <f>CT124*VLOOKUP('Données projet'!$B$13,Paramètres!$A$1:$I$89,3,0)*VLOOKUP('Données projet'!$B$13,Paramètres!$A$1:$I$89,5,0)</f>
        <v>9.9316821433603781E-14</v>
      </c>
      <c r="CV124" s="13">
        <f t="shared" si="95"/>
        <v>1.4932118279712753E-12</v>
      </c>
      <c r="CW124" s="20">
        <f t="shared" si="67"/>
        <v>2.7736540643801645E-12</v>
      </c>
      <c r="CX124" s="59">
        <f t="shared" si="68"/>
        <v>293.3333333333361</v>
      </c>
      <c r="CY124" s="59">
        <f ca="1">AVERAGE(OFFSET($CX$3,0,0,'Données projet'!$E$13+1,1))-AVERAGE(OFFSET($H$3,0,0,'Données projet'!$E$13+1,1))</f>
        <v>218.76600554860482</v>
      </c>
      <c r="CZ124" s="59">
        <f t="shared" si="96"/>
        <v>264.34840059907702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16.852218627291155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16.852218627291155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>
        <f>VLOOKUP(A124,'Données projet'!$A$165:$I$185,2,0)</f>
        <v>202.77</v>
      </c>
      <c r="DM124" s="12">
        <f>VLOOKUP(A124,'Données projet'!$A$165:$I$185,9,0)</f>
        <v>4.6620000000000008</v>
      </c>
      <c r="DN124" s="12">
        <f t="array" ref="DN124">INDEX(DM:DM,MIN(IF(ISNUMBER(DM124:DM320),ROW(DM124:DM320),"")))</f>
        <v>4.6620000000000008</v>
      </c>
      <c r="DO124" s="12">
        <f>IF('Données projet'!$A$166&gt;35,DO123+DN124-DW123,IF(A124&lt;'Données projet'!$A$166,$DL$205^A124,IF(A124='Données projet'!$A$166,'Données projet'!$B$166,DO123+DN124-DW123)))</f>
        <v>202.76999999999984</v>
      </c>
      <c r="DP124" s="17">
        <f>DO124*VLOOKUP('Données projet'!$B$14,Paramètres!$A$1:$I$89,3,0)*VLOOKUP('Données projet'!$B$14,Paramètres!$A$1:$I$89,5,0)</f>
        <v>173.9766599999999</v>
      </c>
      <c r="DQ124" s="13">
        <f t="shared" si="97"/>
        <v>43.979461029874514</v>
      </c>
      <c r="DR124" s="20">
        <f t="shared" si="70"/>
        <v>379.60691079369786</v>
      </c>
      <c r="DS124" s="59">
        <f t="shared" si="71"/>
        <v>672.94024412703118</v>
      </c>
      <c r="DT124" s="59">
        <f ca="1">AVERAGE(OFFSET($DS$3,0,0,'Données projet'!$E$14+1,1))-AVERAGE(OFFSET($H$3,0,0,'Données projet'!$E$14+1,1))</f>
        <v>442.97490100035287</v>
      </c>
      <c r="DU124" s="59">
        <f t="shared" si="98"/>
        <v>334.36243356457049</v>
      </c>
      <c r="DV124" s="15">
        <f>IF(ISNA(VLOOKUP(A124,'Données projet'!$A$165:$I$185,3,0)),0,VLOOKUP(A124,'Données projet'!$A$165:$I$185,3,0))</f>
        <v>11</v>
      </c>
      <c r="DW124" s="15">
        <f>IF(ISNA(VLOOKUP(A124,'Données projet'!$A$165:$I$185,4,0)),0,VLOOKUP(A124,'Données projet'!$A$165:$I$185,4,0))</f>
        <v>85.95</v>
      </c>
      <c r="DX124" s="16">
        <f>IF(ISNA(VLOOKUP(A124,'Données projet'!$A$165:$I$185,5,0)),0%,VLOOKUP(A124,'Données projet'!$A$165:$I$185,5,0)*VLOOKUP('Données projet'!$B$14,Paramètres!$A$1:$I$89,7,0))</f>
        <v>0.26500000000000001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81.226729589564229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81.226729589564229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5.6843418860808015E-14</v>
      </c>
      <c r="EK124" s="17">
        <f>EJ124*VLOOKUP('Données projet'!$B$15,Paramètres!$A$1:$I$89,3,0)*VLOOKUP('Données projet'!$B$15,Paramètres!$A$1:$I$89,5,0)</f>
        <v>4.4337866711430253E-14</v>
      </c>
      <c r="EL124" s="13">
        <f t="shared" si="99"/>
        <v>7.3222115536967035E-13</v>
      </c>
      <c r="EM124" s="20">
        <f t="shared" si="73"/>
        <v>1.3525069634579169E-12</v>
      </c>
      <c r="EN124" s="59">
        <f t="shared" si="74"/>
        <v>293.33333333333468</v>
      </c>
      <c r="EO124" s="59">
        <f ca="1">AVERAGE(OFFSET($EN$3,0,0,'Données projet'!$E$15+1,1))-AVERAGE(OFFSET($H$3,0,0,'Données projet'!$E$15+1,1))</f>
        <v>288.82868507674738</v>
      </c>
      <c r="EP124" s="59">
        <f t="shared" si="100"/>
        <v>283.48738729114024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29.501364910971507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29.501364910971507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328.55201074501201</v>
      </c>
      <c r="FK124" s="59">
        <f t="shared" si="102"/>
        <v>321.81422611044985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42.61280259451496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42.61280259451496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353.37024194969638</v>
      </c>
      <c r="GF124" s="59">
        <f t="shared" si="104"/>
        <v>345.4750813433123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56.992778531901955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56.992778531901955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1.2710188457276673E-13</v>
      </c>
      <c r="P125" s="13">
        <f t="shared" si="87"/>
        <v>1.856866851063998E-12</v>
      </c>
      <c r="Q125" s="20">
        <f t="shared" si="107"/>
        <v>3.4554122145673649E-12</v>
      </c>
      <c r="R125" s="59">
        <f t="shared" si="55"/>
        <v>293.33333333333678</v>
      </c>
      <c r="S125" s="59">
        <f ca="1">AVERAGE(OFFSET($R$3,0,0,'Données projet'!$E$9+1,1))-AVERAGE(OFFSET($H$3,0,0,'Données projet'!$E$9+1,1))</f>
        <v>404.65492118472037</v>
      </c>
      <c r="T125" s="59">
        <f t="shared" si="88"/>
        <v>534.22295841722166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73.06595110920199</v>
      </c>
      <c r="AA125" s="21">
        <f>EXP(-LN(2)/25)*AA124+(1-EXP(-LN(2)/25))/(LN(2)/25)*Calculateur!V125*Calculateur!X125*VLOOKUP('Données projet'!$B$9,Paramètres!$A$1:$I$89,3,0)*0.475*44/12</f>
        <v>11.156394851344036</v>
      </c>
      <c r="AB125" s="21">
        <f>EXP(-LN(2)/2)*AB124+(1-EXP(-LN(2)/2))/(LN(2)/2)*V125*Y125*VLOOKUP('Données projet'!$B$9,Paramètres!$A$1:$I$89,3,0)*0.475*44/12</f>
        <v>2.4462040385794247E-9</v>
      </c>
      <c r="AC125" s="22">
        <f t="shared" si="57"/>
        <v>84.222345962992222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-7.9808160080574461E-14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331.17634116262298</v>
      </c>
      <c r="AO125" s="59">
        <f t="shared" si="90"/>
        <v>286.28916368940605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106.27771651104092</v>
      </c>
      <c r="AV125" s="21">
        <f>EXP(-LN(2)/25)*AV124+(1-EXP(-LN(2)/25))/(LN(2)/25)*Calculateur!AQ125*Calculateur!AS125*VLOOKUP('Données projet'!$B$10,Paramètres!$A$1:$I$89,3,0)*0.475*44/12</f>
        <v>31.949610007598103</v>
      </c>
      <c r="AW125" s="21">
        <f>EXP(-LN(2)/2)*AW124+(1-EXP(-LN(2)/2))/(LN(2)/2)*AQ125*AT125*VLOOKUP('Données projet'!$B$10,Paramètres!$A$1:$I$89,3,0)*0.475*44/12</f>
        <v>1.2119120946044348E-2</v>
      </c>
      <c r="AX125" s="21">
        <f t="shared" si="60"/>
        <v>138.23944563958506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1.4210854715202004E-13</v>
      </c>
      <c r="BE125" s="13">
        <f>BD125*VLOOKUP('Données projet'!$B$11,Paramètres!$A$1:$I$89,3,0)*VLOOKUP('Données projet'!$B$11,Paramètres!$A$1:$I$89,5,0)</f>
        <v>7.7591266745002952E-14</v>
      </c>
      <c r="BF125" s="13">
        <f t="shared" si="91"/>
        <v>1.2005788606873384E-12</v>
      </c>
      <c r="BG125" s="20">
        <f t="shared" si="61"/>
        <v>2.226146305277994E-12</v>
      </c>
      <c r="BH125" s="59">
        <f t="shared" si="62"/>
        <v>293.33333333333553</v>
      </c>
      <c r="BI125" s="59">
        <f ca="1">AVERAGE(OFFSET($BH$3,0,0,'Données projet'!$E$11+1,1))-AVERAGE(OFFSET($H$3,0,0,'Données projet'!$E$11+1,1))</f>
        <v>165.87377022031535</v>
      </c>
      <c r="BJ125" s="59">
        <f t="shared" si="92"/>
        <v>272.91122662088929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22.161982447557818</v>
      </c>
      <c r="BQ125" s="21">
        <f>EXP(-LN(2)/25)*BQ124+(1-EXP(-LN(2)/25))/(LN(2)/25)*Calculateur!BL125*Calculateur!BN125*VLOOKUP('Données projet'!$B$11,Paramètres!$A$1:$I$89,3,0)*0.475*44/12</f>
        <v>3.9725890040674621</v>
      </c>
      <c r="BR125" s="21">
        <f>EXP(-LN(2)/2)*BR124+(1-EXP(-LN(2)/2))/(LN(2)/2)*BL125*BO125*VLOOKUP('Données projet'!$B$11,Paramètres!$A$1:$I$89,3,0)*0.475*44/12</f>
        <v>1.1716670489683578E-11</v>
      </c>
      <c r="BS125" s="22">
        <f t="shared" si="63"/>
        <v>26.134571451636997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9.6749999999999936</v>
      </c>
      <c r="BY125" s="12">
        <f>IF('Données projet'!$A$114&gt;35,BY124+BX125-CG124,IF(A125&lt;'Données projet'!$A$114,$BV$205^A125,IF(A125='Données projet'!$A$114,'Données projet'!$B$114,BY124+BX125-CG124)))</f>
        <v>471.99</v>
      </c>
      <c r="BZ125" s="13">
        <f>BY125*VLOOKUP('Données projet'!$B$12,Paramètres!$A$1:$I$89,3,0)*VLOOKUP('Données projet'!$B$12,Paramètres!$A$1:$I$89,5,0)</f>
        <v>427.05655199999995</v>
      </c>
      <c r="CA125" s="13">
        <f t="shared" si="93"/>
        <v>97.240896666283618</v>
      </c>
      <c r="CB125" s="20">
        <f t="shared" si="64"/>
        <v>913.15138976044375</v>
      </c>
      <c r="CC125" s="59">
        <f t="shared" si="65"/>
        <v>1206.4847230937771</v>
      </c>
      <c r="CD125" s="59">
        <f ca="1">AVERAGE(OFFSET($CC$3,0,0,'Données projet'!$E$12+1,1))-AVERAGE(OFFSET($H$3,0,0,'Données projet'!$E$12+1,1))</f>
        <v>639.86968831634636</v>
      </c>
      <c r="CE125" s="59">
        <f t="shared" si="94"/>
        <v>218.1556771431184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42.939207934995792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42.939207934995792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1.1368683772161603E-13</v>
      </c>
      <c r="CU125" s="17">
        <f>CT125*VLOOKUP('Données projet'!$B$13,Paramètres!$A$1:$I$89,3,0)*VLOOKUP('Données projet'!$B$13,Paramètres!$A$1:$I$89,5,0)</f>
        <v>9.9316821433603781E-14</v>
      </c>
      <c r="CV125" s="13">
        <f t="shared" si="95"/>
        <v>1.4932118279712753E-12</v>
      </c>
      <c r="CW125" s="20">
        <f t="shared" si="67"/>
        <v>2.7736540643801645E-12</v>
      </c>
      <c r="CX125" s="59">
        <f t="shared" si="68"/>
        <v>293.3333333333361</v>
      </c>
      <c r="CY125" s="59">
        <f ca="1">AVERAGE(OFFSET($CX$3,0,0,'Données projet'!$E$13+1,1))-AVERAGE(OFFSET($H$3,0,0,'Données projet'!$E$13+1,1))</f>
        <v>218.76600554860482</v>
      </c>
      <c r="CZ125" s="59">
        <f t="shared" si="96"/>
        <v>264.34840059907702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16.521756898848388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16.521756898848388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3.274999999999995</v>
      </c>
      <c r="DO125" s="12">
        <f>IF('Données projet'!$A$166&gt;35,DO124+DN125-DW124,IF(A125&lt;'Données projet'!$A$166,$DL$205^A125,IF(A125='Données projet'!$A$166,'Données projet'!$B$166,DO124+DN125-DW124)))</f>
        <v>120.09499999999984</v>
      </c>
      <c r="DP125" s="17">
        <f>DO125*VLOOKUP('Données projet'!$B$14,Paramètres!$A$1:$I$89,3,0)*VLOOKUP('Données projet'!$B$14,Paramètres!$A$1:$I$89,5,0)</f>
        <v>103.04150999999987</v>
      </c>
      <c r="DQ125" s="13">
        <f t="shared" si="97"/>
        <v>27.685326999624753</v>
      </c>
      <c r="DR125" s="20">
        <f t="shared" si="70"/>
        <v>227.68257444101286</v>
      </c>
      <c r="DS125" s="59">
        <f t="shared" si="71"/>
        <v>521.01590777434615</v>
      </c>
      <c r="DT125" s="59">
        <f ca="1">AVERAGE(OFFSET($DS$3,0,0,'Données projet'!$E$14+1,1))-AVERAGE(OFFSET($H$3,0,0,'Données projet'!$E$14+1,1))</f>
        <v>442.97490100035287</v>
      </c>
      <c r="DU125" s="59">
        <f t="shared" si="98"/>
        <v>334.36243356457049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79.633922965725915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79.633922965725915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5.6843418860808015E-14</v>
      </c>
      <c r="EK125" s="17">
        <f>EJ125*VLOOKUP('Données projet'!$B$15,Paramètres!$A$1:$I$89,3,0)*VLOOKUP('Données projet'!$B$15,Paramètres!$A$1:$I$89,5,0)</f>
        <v>4.4337866711430253E-14</v>
      </c>
      <c r="EL125" s="13">
        <f t="shared" si="99"/>
        <v>7.3222115536967035E-13</v>
      </c>
      <c r="EM125" s="20">
        <f t="shared" si="73"/>
        <v>1.3525069634579169E-12</v>
      </c>
      <c r="EN125" s="59">
        <f t="shared" si="74"/>
        <v>293.33333333333468</v>
      </c>
      <c r="EO125" s="59">
        <f ca="1">AVERAGE(OFFSET($EN$3,0,0,'Données projet'!$E$15+1,1))-AVERAGE(OFFSET($H$3,0,0,'Données projet'!$E$15+1,1))</f>
        <v>288.82868507674738</v>
      </c>
      <c r="EP125" s="59">
        <f t="shared" si="100"/>
        <v>283.48738729114024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28.922861139123185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28.922861139123185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328.55201074501201</v>
      </c>
      <c r="FK125" s="59">
        <f t="shared" si="102"/>
        <v>321.81422611044985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41.777191526879683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41.777191526879683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353.37024194969638</v>
      </c>
      <c r="GF125" s="59">
        <f t="shared" si="104"/>
        <v>345.4750813433123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55.875184907053786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55.875184907053786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1.2710188457276673E-13</v>
      </c>
      <c r="P126" s="13">
        <f t="shared" si="87"/>
        <v>1.856866851063998E-12</v>
      </c>
      <c r="Q126" s="20">
        <f t="shared" si="107"/>
        <v>3.4554122145673649E-12</v>
      </c>
      <c r="R126" s="59">
        <f t="shared" si="55"/>
        <v>293.33333333333678</v>
      </c>
      <c r="S126" s="59">
        <f ca="1">AVERAGE(OFFSET($R$3,0,0,'Données projet'!$E$9+1,1))-AVERAGE(OFFSET($H$3,0,0,'Données projet'!$E$9+1,1))</f>
        <v>404.65492118472037</v>
      </c>
      <c r="T126" s="59">
        <f t="shared" si="88"/>
        <v>534.22295841722166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71.633172373780212</v>
      </c>
      <c r="AA126" s="21">
        <f>EXP(-LN(2)/25)*AA125+(1-EXP(-LN(2)/25))/(LN(2)/25)*Calculateur!V126*Calculateur!X126*VLOOKUP('Données projet'!$B$9,Paramètres!$A$1:$I$89,3,0)*0.475*44/12</f>
        <v>10.851322647444727</v>
      </c>
      <c r="AB126" s="21">
        <f>EXP(-LN(2)/2)*AB125+(1-EXP(-LN(2)/2))/(LN(2)/2)*V126*Y126*VLOOKUP('Données projet'!$B$9,Paramètres!$A$1:$I$89,3,0)*0.475*44/12</f>
        <v>1.7297274638454302E-9</v>
      </c>
      <c r="AC126" s="22">
        <f t="shared" si="57"/>
        <v>82.484495022954675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-7.9808160080574461E-14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331.17634116262298</v>
      </c>
      <c r="AO126" s="59">
        <f t="shared" si="90"/>
        <v>286.28916368940605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104.19367531326574</v>
      </c>
      <c r="AV126" s="21">
        <f>EXP(-LN(2)/25)*AV125+(1-EXP(-LN(2)/25))/(LN(2)/25)*Calculateur!AQ126*Calculateur!AS126*VLOOKUP('Données projet'!$B$10,Paramètres!$A$1:$I$89,3,0)*0.475*44/12</f>
        <v>31.075946241783363</v>
      </c>
      <c r="AW126" s="21">
        <f>EXP(-LN(2)/2)*AW125+(1-EXP(-LN(2)/2))/(LN(2)/2)*AQ126*AT126*VLOOKUP('Données projet'!$B$10,Paramètres!$A$1:$I$89,3,0)*0.475*44/12</f>
        <v>8.5695126029678853E-3</v>
      </c>
      <c r="AX126" s="21">
        <f t="shared" si="60"/>
        <v>135.27819106765207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1.4210854715202004E-13</v>
      </c>
      <c r="BE126" s="13">
        <f>BD126*VLOOKUP('Données projet'!$B$11,Paramètres!$A$1:$I$89,3,0)*VLOOKUP('Données projet'!$B$11,Paramètres!$A$1:$I$89,5,0)</f>
        <v>7.7591266745002952E-14</v>
      </c>
      <c r="BF126" s="13">
        <f t="shared" si="91"/>
        <v>1.2005788606873384E-12</v>
      </c>
      <c r="BG126" s="20">
        <f t="shared" si="61"/>
        <v>2.226146305277994E-12</v>
      </c>
      <c r="BH126" s="59">
        <f t="shared" si="62"/>
        <v>293.33333333333553</v>
      </c>
      <c r="BI126" s="59">
        <f ca="1">AVERAGE(OFFSET($BH$3,0,0,'Données projet'!$E$11+1,1))-AVERAGE(OFFSET($H$3,0,0,'Données projet'!$E$11+1,1))</f>
        <v>165.87377022031535</v>
      </c>
      <c r="BJ126" s="59">
        <f t="shared" si="92"/>
        <v>272.91122662088929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21.727399489235761</v>
      </c>
      <c r="BQ126" s="21">
        <f>EXP(-LN(2)/25)*BQ125+(1-EXP(-LN(2)/25))/(LN(2)/25)*Calculateur!BL126*Calculateur!BN126*VLOOKUP('Données projet'!$B$11,Paramètres!$A$1:$I$89,3,0)*0.475*44/12</f>
        <v>3.863958348841861</v>
      </c>
      <c r="BR126" s="21">
        <f>EXP(-LN(2)/2)*BR125+(1-EXP(-LN(2)/2))/(LN(2)/2)*BL126*BO126*VLOOKUP('Données projet'!$B$11,Paramètres!$A$1:$I$89,3,0)*0.475*44/12</f>
        <v>8.284937156183564E-12</v>
      </c>
      <c r="BS126" s="22">
        <f t="shared" si="63"/>
        <v>25.591357838085909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9.6749999999999936</v>
      </c>
      <c r="BY126" s="12">
        <f>IF('Données projet'!$A$114&gt;35,BY125+BX126-CG125,IF(A126&lt;'Données projet'!$A$114,$BV$205^A126,IF(A126='Données projet'!$A$114,'Données projet'!$B$114,BY125+BX126-CG125)))</f>
        <v>481.66500000000002</v>
      </c>
      <c r="BZ126" s="13">
        <f>BY126*VLOOKUP('Données projet'!$B$12,Paramètres!$A$1:$I$89,3,0)*VLOOKUP('Données projet'!$B$12,Paramètres!$A$1:$I$89,5,0)</f>
        <v>435.81049200000001</v>
      </c>
      <c r="CA126" s="13">
        <f t="shared" si="93"/>
        <v>99.000068769661084</v>
      </c>
      <c r="CB126" s="20">
        <f t="shared" si="64"/>
        <v>931.46172667382643</v>
      </c>
      <c r="CC126" s="59">
        <f t="shared" si="65"/>
        <v>1224.7950600071597</v>
      </c>
      <c r="CD126" s="59">
        <f ca="1">AVERAGE(OFFSET($CC$3,0,0,'Données projet'!$E$12+1,1))-AVERAGE(OFFSET($H$3,0,0,'Données projet'!$E$12+1,1))</f>
        <v>639.86968831634636</v>
      </c>
      <c r="CE126" s="59">
        <f t="shared" si="94"/>
        <v>218.1556771431184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42.097196257721286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42.097196257721286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1.1368683772161603E-13</v>
      </c>
      <c r="CU126" s="17">
        <f>CT126*VLOOKUP('Données projet'!$B$13,Paramètres!$A$1:$I$89,3,0)*VLOOKUP('Données projet'!$B$13,Paramètres!$A$1:$I$89,5,0)</f>
        <v>9.9316821433603781E-14</v>
      </c>
      <c r="CV126" s="13">
        <f t="shared" si="95"/>
        <v>1.4932118279712753E-12</v>
      </c>
      <c r="CW126" s="20">
        <f t="shared" si="67"/>
        <v>2.7736540643801645E-12</v>
      </c>
      <c r="CX126" s="59">
        <f t="shared" si="68"/>
        <v>293.3333333333361</v>
      </c>
      <c r="CY126" s="59">
        <f ca="1">AVERAGE(OFFSET($CX$3,0,0,'Données projet'!$E$13+1,1))-AVERAGE(OFFSET($H$3,0,0,'Données projet'!$E$13+1,1))</f>
        <v>218.76600554860482</v>
      </c>
      <c r="CZ126" s="59">
        <f t="shared" si="96"/>
        <v>264.34840059907702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16.197775323338632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16.197775323338632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3.274999999999995</v>
      </c>
      <c r="DO126" s="12">
        <f>IF('Données projet'!$A$166&gt;35,DO125+DN126-DW125,IF(A126&lt;'Données projet'!$A$166,$DL$205^A126,IF(A126='Données projet'!$A$166,'Données projet'!$B$166,DO125+DN126-DW125)))</f>
        <v>123.36999999999983</v>
      </c>
      <c r="DP126" s="17">
        <f>DO126*VLOOKUP('Données projet'!$B$14,Paramètres!$A$1:$I$89,3,0)*VLOOKUP('Données projet'!$B$14,Paramètres!$A$1:$I$89,5,0)</f>
        <v>105.85145999999986</v>
      </c>
      <c r="DQ126" s="13">
        <f t="shared" si="97"/>
        <v>28.351380054629566</v>
      </c>
      <c r="DR126" s="20">
        <f t="shared" si="70"/>
        <v>233.73661309514625</v>
      </c>
      <c r="DS126" s="59">
        <f t="shared" si="71"/>
        <v>527.06994642847962</v>
      </c>
      <c r="DT126" s="59">
        <f ca="1">AVERAGE(OFFSET($DS$3,0,0,'Données projet'!$E$14+1,1))-AVERAGE(OFFSET($H$3,0,0,'Données projet'!$E$14+1,1))</f>
        <v>442.97490100035287</v>
      </c>
      <c r="DU126" s="59">
        <f t="shared" si="98"/>
        <v>334.36243356457049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78.072350308264959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78.072350308264959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5.6843418860808015E-14</v>
      </c>
      <c r="EK126" s="17">
        <f>EJ126*VLOOKUP('Données projet'!$B$15,Paramètres!$A$1:$I$89,3,0)*VLOOKUP('Données projet'!$B$15,Paramètres!$A$1:$I$89,5,0)</f>
        <v>4.4337866711430253E-14</v>
      </c>
      <c r="EL126" s="13">
        <f t="shared" si="99"/>
        <v>7.3222115536967035E-13</v>
      </c>
      <c r="EM126" s="20">
        <f t="shared" si="73"/>
        <v>1.3525069634579169E-12</v>
      </c>
      <c r="EN126" s="59">
        <f t="shared" si="74"/>
        <v>293.33333333333468</v>
      </c>
      <c r="EO126" s="59">
        <f ca="1">AVERAGE(OFFSET($EN$3,0,0,'Données projet'!$E$15+1,1))-AVERAGE(OFFSET($H$3,0,0,'Données projet'!$E$15+1,1))</f>
        <v>288.82868507674738</v>
      </c>
      <c r="EP126" s="59">
        <f t="shared" si="100"/>
        <v>283.48738729114024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28.355701473388351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28.355701473388351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328.55201074501201</v>
      </c>
      <c r="FK126" s="59">
        <f t="shared" si="102"/>
        <v>321.81422611044985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40.957966282608311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40.957966282608311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353.37024194969638</v>
      </c>
      <c r="GF126" s="59">
        <f t="shared" si="104"/>
        <v>345.4750813433123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54.779506611524084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54.779506611524084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1.2710188457276673E-13</v>
      </c>
      <c r="P127" s="13">
        <f t="shared" si="87"/>
        <v>1.856866851063998E-12</v>
      </c>
      <c r="Q127" s="20">
        <f t="shared" si="107"/>
        <v>3.4554122145673649E-12</v>
      </c>
      <c r="R127" s="59">
        <f t="shared" si="55"/>
        <v>293.33333333333678</v>
      </c>
      <c r="S127" s="59">
        <f ca="1">AVERAGE(OFFSET($R$3,0,0,'Données projet'!$E$9+1,1))-AVERAGE(OFFSET($H$3,0,0,'Données projet'!$E$9+1,1))</f>
        <v>404.65492118472037</v>
      </c>
      <c r="T127" s="59">
        <f t="shared" si="88"/>
        <v>534.22295841722166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70.228489555451318</v>
      </c>
      <c r="AA127" s="21">
        <f>EXP(-LN(2)/25)*AA126+(1-EXP(-LN(2)/25))/(LN(2)/25)*Calculateur!V127*Calculateur!X127*VLOOKUP('Données projet'!$B$9,Paramètres!$A$1:$I$89,3,0)*0.475*44/12</f>
        <v>10.554592659004093</v>
      </c>
      <c r="AB127" s="21">
        <f>EXP(-LN(2)/2)*AB126+(1-EXP(-LN(2)/2))/(LN(2)/2)*V127*Y127*VLOOKUP('Données projet'!$B$9,Paramètres!$A$1:$I$89,3,0)*0.475*44/12</f>
        <v>1.2231020192897124E-9</v>
      </c>
      <c r="AC127" s="22">
        <f t="shared" si="57"/>
        <v>80.783082215678519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-7.9808160080574461E-14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331.17634116262298</v>
      </c>
      <c r="AO127" s="59">
        <f t="shared" si="90"/>
        <v>286.28916368940605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102.15050089223932</v>
      </c>
      <c r="AV127" s="21">
        <f>EXP(-LN(2)/25)*AV126+(1-EXP(-LN(2)/25))/(LN(2)/25)*Calculateur!AQ127*Calculateur!AS127*VLOOKUP('Données projet'!$B$10,Paramètres!$A$1:$I$89,3,0)*0.475*44/12</f>
        <v>30.226172857588811</v>
      </c>
      <c r="AW127" s="21">
        <f>EXP(-LN(2)/2)*AW126+(1-EXP(-LN(2)/2))/(LN(2)/2)*AQ127*AT127*VLOOKUP('Données projet'!$B$10,Paramètres!$A$1:$I$89,3,0)*0.475*44/12</f>
        <v>6.0595604730221738E-3</v>
      </c>
      <c r="AX127" s="21">
        <f t="shared" si="60"/>
        <v>132.38273331030118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1.4210854715202004E-13</v>
      </c>
      <c r="BE127" s="13">
        <f>BD127*VLOOKUP('Données projet'!$B$11,Paramètres!$A$1:$I$89,3,0)*VLOOKUP('Données projet'!$B$11,Paramètres!$A$1:$I$89,5,0)</f>
        <v>7.7591266745002952E-14</v>
      </c>
      <c r="BF127" s="13">
        <f t="shared" si="91"/>
        <v>1.2005788606873384E-12</v>
      </c>
      <c r="BG127" s="20">
        <f t="shared" si="61"/>
        <v>2.226146305277994E-12</v>
      </c>
      <c r="BH127" s="59">
        <f t="shared" si="62"/>
        <v>293.33333333333553</v>
      </c>
      <c r="BI127" s="59">
        <f ca="1">AVERAGE(OFFSET($BH$3,0,0,'Données projet'!$E$11+1,1))-AVERAGE(OFFSET($H$3,0,0,'Données projet'!$E$11+1,1))</f>
        <v>165.87377022031535</v>
      </c>
      <c r="BJ127" s="59">
        <f t="shared" si="92"/>
        <v>272.91122662088929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21.30133843765697</v>
      </c>
      <c r="BQ127" s="21">
        <f>EXP(-LN(2)/25)*BQ126+(1-EXP(-LN(2)/25))/(LN(2)/25)*Calculateur!BL127*Calculateur!BN127*VLOOKUP('Données projet'!$B$11,Paramètres!$A$1:$I$89,3,0)*0.475*44/12</f>
        <v>3.7582982045960418</v>
      </c>
      <c r="BR127" s="21">
        <f>EXP(-LN(2)/2)*BR126+(1-EXP(-LN(2)/2))/(LN(2)/2)*BL127*BO127*VLOOKUP('Données projet'!$B$11,Paramètres!$A$1:$I$89,3,0)*0.475*44/12</f>
        <v>5.8583352448417889E-12</v>
      </c>
      <c r="BS127" s="22">
        <f t="shared" si="63"/>
        <v>25.059636642258869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9.6749999999999936</v>
      </c>
      <c r="BY127" s="12">
        <f>IF('Données projet'!$A$114&gt;35,BY126+BX127-CG126,IF(A127&lt;'Données projet'!$A$114,$BV$205^A127,IF(A127='Données projet'!$A$114,'Données projet'!$B$114,BY126+BX127-CG126)))</f>
        <v>491.34000000000003</v>
      </c>
      <c r="BZ127" s="13">
        <f>BY127*VLOOKUP('Données projet'!$B$12,Paramètres!$A$1:$I$89,3,0)*VLOOKUP('Données projet'!$B$12,Paramètres!$A$1:$I$89,5,0)</f>
        <v>444.56443200000001</v>
      </c>
      <c r="CA127" s="13">
        <f t="shared" si="93"/>
        <v>100.75513230524405</v>
      </c>
      <c r="CB127" s="20">
        <f t="shared" si="64"/>
        <v>949.76490783163342</v>
      </c>
      <c r="CC127" s="59">
        <f t="shared" si="65"/>
        <v>1243.0982411649668</v>
      </c>
      <c r="CD127" s="59">
        <f ca="1">AVERAGE(OFFSET($CC$3,0,0,'Données projet'!$E$12+1,1))-AVERAGE(OFFSET($H$3,0,0,'Données projet'!$E$12+1,1))</f>
        <v>639.86968831634636</v>
      </c>
      <c r="CE127" s="59">
        <f t="shared" si="94"/>
        <v>218.1556771431184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41.27169591586172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41.27169591586172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1.1368683772161603E-13</v>
      </c>
      <c r="CU127" s="17">
        <f>CT127*VLOOKUP('Données projet'!$B$13,Paramètres!$A$1:$I$89,3,0)*VLOOKUP('Données projet'!$B$13,Paramètres!$A$1:$I$89,5,0)</f>
        <v>9.9316821433603781E-14</v>
      </c>
      <c r="CV127" s="13">
        <f t="shared" si="95"/>
        <v>1.4932118279712753E-12</v>
      </c>
      <c r="CW127" s="20">
        <f t="shared" si="67"/>
        <v>2.7736540643801645E-12</v>
      </c>
      <c r="CX127" s="59">
        <f t="shared" si="68"/>
        <v>293.3333333333361</v>
      </c>
      <c r="CY127" s="59">
        <f ca="1">AVERAGE(OFFSET($CX$3,0,0,'Données projet'!$E$13+1,1))-AVERAGE(OFFSET($H$3,0,0,'Données projet'!$E$13+1,1))</f>
        <v>218.76600554860482</v>
      </c>
      <c r="CZ127" s="59">
        <f t="shared" si="96"/>
        <v>264.34840059907702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15.880146828915374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15.880146828915374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3.274999999999995</v>
      </c>
      <c r="DO127" s="12">
        <f>IF('Données projet'!$A$166&gt;35,DO126+DN127-DW126,IF(A127&lt;'Données projet'!$A$166,$DL$205^A127,IF(A127='Données projet'!$A$166,'Données projet'!$B$166,DO126+DN127-DW126)))</f>
        <v>126.64499999999983</v>
      </c>
      <c r="DP127" s="17">
        <f>DO127*VLOOKUP('Données projet'!$B$14,Paramètres!$A$1:$I$89,3,0)*VLOOKUP('Données projet'!$B$14,Paramètres!$A$1:$I$89,5,0)</f>
        <v>108.66140999999986</v>
      </c>
      <c r="DQ127" s="13">
        <f t="shared" si="97"/>
        <v>29.0153779448775</v>
      </c>
      <c r="DR127" s="20">
        <f t="shared" si="70"/>
        <v>239.78707233732811</v>
      </c>
      <c r="DS127" s="59">
        <f t="shared" si="71"/>
        <v>533.1204056706614</v>
      </c>
      <c r="DT127" s="59">
        <f ca="1">AVERAGE(OFFSET($DS$3,0,0,'Données projet'!$E$14+1,1))-AVERAGE(OFFSET($H$3,0,0,'Données projet'!$E$14+1,1))</f>
        <v>442.97490100035287</v>
      </c>
      <c r="DU127" s="59">
        <f t="shared" si="98"/>
        <v>334.36243356457049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76.541399138151547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76.541399138151547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5.6843418860808015E-14</v>
      </c>
      <c r="EK127" s="17">
        <f>EJ127*VLOOKUP('Données projet'!$B$15,Paramètres!$A$1:$I$89,3,0)*VLOOKUP('Données projet'!$B$15,Paramètres!$A$1:$I$89,5,0)</f>
        <v>4.4337866711430253E-14</v>
      </c>
      <c r="EL127" s="13">
        <f t="shared" si="99"/>
        <v>7.3222115536967035E-13</v>
      </c>
      <c r="EM127" s="20">
        <f t="shared" si="73"/>
        <v>1.3525069634579169E-12</v>
      </c>
      <c r="EN127" s="59">
        <f t="shared" si="74"/>
        <v>293.33333333333468</v>
      </c>
      <c r="EO127" s="59">
        <f ca="1">AVERAGE(OFFSET($EN$3,0,0,'Données projet'!$E$15+1,1))-AVERAGE(OFFSET($H$3,0,0,'Données projet'!$E$15+1,1))</f>
        <v>288.82868507674738</v>
      </c>
      <c r="EP127" s="59">
        <f t="shared" si="100"/>
        <v>283.48738729114024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27.799663462765338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27.799663462765338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328.55201074501201</v>
      </c>
      <c r="FK127" s="59">
        <f t="shared" si="102"/>
        <v>321.81422611044985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40.154805545699034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40.154805545699034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353.37024194969638</v>
      </c>
      <c r="GF127" s="59">
        <f t="shared" si="104"/>
        <v>345.4750813433123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53.705313899071946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53.705313899071946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1.2710188457276673E-13</v>
      </c>
      <c r="P128" s="13">
        <f t="shared" si="87"/>
        <v>1.856866851063998E-12</v>
      </c>
      <c r="Q128" s="20">
        <f t="shared" si="107"/>
        <v>3.4554122145673649E-12</v>
      </c>
      <c r="R128" s="59">
        <f t="shared" si="55"/>
        <v>293.33333333333678</v>
      </c>
      <c r="S128" s="59">
        <f ca="1">AVERAGE(OFFSET($R$3,0,0,'Données projet'!$E$9+1,1))-AVERAGE(OFFSET($H$3,0,0,'Données projet'!$E$9+1,1))</f>
        <v>404.65492118472037</v>
      </c>
      <c r="T128" s="59">
        <f t="shared" si="88"/>
        <v>534.22295841722166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68.85135171041793</v>
      </c>
      <c r="AA128" s="21">
        <f>EXP(-LN(2)/25)*AA127+(1-EXP(-LN(2)/25))/(LN(2)/25)*Calculateur!V128*Calculateur!X128*VLOOKUP('Données projet'!$B$9,Paramètres!$A$1:$I$89,3,0)*0.475*44/12</f>
        <v>10.265976767701721</v>
      </c>
      <c r="AB128" s="21">
        <f>EXP(-LN(2)/2)*AB127+(1-EXP(-LN(2)/2))/(LN(2)/2)*V128*Y128*VLOOKUP('Données projet'!$B$9,Paramètres!$A$1:$I$89,3,0)*0.475*44/12</f>
        <v>8.6486373192271508E-10</v>
      </c>
      <c r="AC128" s="22">
        <f t="shared" si="57"/>
        <v>79.117328478984504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-7.9808160080574461E-14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331.17634116262298</v>
      </c>
      <c r="AO128" s="59">
        <f t="shared" si="90"/>
        <v>286.28916368940605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100.14739187539588</v>
      </c>
      <c r="AV128" s="21">
        <f>EXP(-LN(2)/25)*AV127+(1-EXP(-LN(2)/25))/(LN(2)/25)*Calculateur!AQ128*Calculateur!AS128*VLOOKUP('Données projet'!$B$10,Paramètres!$A$1:$I$89,3,0)*0.475*44/12</f>
        <v>29.399636571272698</v>
      </c>
      <c r="AW128" s="21">
        <f>EXP(-LN(2)/2)*AW127+(1-EXP(-LN(2)/2))/(LN(2)/2)*AQ128*AT128*VLOOKUP('Données projet'!$B$10,Paramètres!$A$1:$I$89,3,0)*0.475*44/12</f>
        <v>4.2847563014839427E-3</v>
      </c>
      <c r="AX128" s="21">
        <f t="shared" si="60"/>
        <v>129.55131320297005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1.4210854715202004E-13</v>
      </c>
      <c r="BE128" s="13">
        <f>BD128*VLOOKUP('Données projet'!$B$11,Paramètres!$A$1:$I$89,3,0)*VLOOKUP('Données projet'!$B$11,Paramètres!$A$1:$I$89,5,0)</f>
        <v>7.7591266745002952E-14</v>
      </c>
      <c r="BF128" s="13">
        <f t="shared" si="91"/>
        <v>1.2005788606873384E-12</v>
      </c>
      <c r="BG128" s="20">
        <f t="shared" si="61"/>
        <v>2.226146305277994E-12</v>
      </c>
      <c r="BH128" s="59">
        <f t="shared" si="62"/>
        <v>293.33333333333553</v>
      </c>
      <c r="BI128" s="59">
        <f ca="1">AVERAGE(OFFSET($BH$3,0,0,'Données projet'!$E$11+1,1))-AVERAGE(OFFSET($H$3,0,0,'Données projet'!$E$11+1,1))</f>
        <v>165.87377022031535</v>
      </c>
      <c r="BJ128" s="59">
        <f t="shared" si="92"/>
        <v>272.91122662088929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20.883632183428059</v>
      </c>
      <c r="BQ128" s="21">
        <f>EXP(-LN(2)/25)*BQ127+(1-EXP(-LN(2)/25))/(LN(2)/25)*Calculateur!BL128*Calculateur!BN128*VLOOKUP('Données projet'!$B$11,Paramètres!$A$1:$I$89,3,0)*0.475*44/12</f>
        <v>3.6555273425510504</v>
      </c>
      <c r="BR128" s="21">
        <f>EXP(-LN(2)/2)*BR127+(1-EXP(-LN(2)/2))/(LN(2)/2)*BL128*BO128*VLOOKUP('Données projet'!$B$11,Paramètres!$A$1:$I$89,3,0)*0.475*44/12</f>
        <v>4.142468578091782E-12</v>
      </c>
      <c r="BS128" s="22">
        <f t="shared" si="63"/>
        <v>24.539159525983251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9.6749999999999936</v>
      </c>
      <c r="BY128" s="12">
        <f>IF('Données projet'!$A$114&gt;35,BY127+BX128-CG127,IF(A128&lt;'Données projet'!$A$114,$BV$205^A128,IF(A128='Données projet'!$A$114,'Données projet'!$B$114,BY127+BX128-CG127)))</f>
        <v>501.01500000000004</v>
      </c>
      <c r="BZ128" s="13">
        <f>BY128*VLOOKUP('Données projet'!$B$12,Paramètres!$A$1:$I$89,3,0)*VLOOKUP('Données projet'!$B$12,Paramètres!$A$1:$I$89,5,0)</f>
        <v>453.31837200000007</v>
      </c>
      <c r="CA128" s="13">
        <f t="shared" si="93"/>
        <v>102.50617750037387</v>
      </c>
      <c r="CB128" s="20">
        <f t="shared" si="64"/>
        <v>968.06109037981787</v>
      </c>
      <c r="CC128" s="59">
        <f t="shared" si="65"/>
        <v>1261.3944237131511</v>
      </c>
      <c r="CD128" s="59">
        <f ca="1">AVERAGE(OFFSET($CC$3,0,0,'Données projet'!$E$12+1,1))-AVERAGE(OFFSET($H$3,0,0,'Données projet'!$E$12+1,1))</f>
        <v>639.86968831634636</v>
      </c>
      <c r="CE128" s="59">
        <f t="shared" si="94"/>
        <v>218.1556771431184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40.462383132200529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40.462383132200529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1.1368683772161603E-13</v>
      </c>
      <c r="CU128" s="17">
        <f>CT128*VLOOKUP('Données projet'!$B$13,Paramètres!$A$1:$I$89,3,0)*VLOOKUP('Données projet'!$B$13,Paramètres!$A$1:$I$89,5,0)</f>
        <v>9.9316821433603781E-14</v>
      </c>
      <c r="CV128" s="13">
        <f t="shared" si="95"/>
        <v>1.4932118279712753E-12</v>
      </c>
      <c r="CW128" s="20">
        <f t="shared" si="67"/>
        <v>2.7736540643801645E-12</v>
      </c>
      <c r="CX128" s="59">
        <f t="shared" si="68"/>
        <v>293.3333333333361</v>
      </c>
      <c r="CY128" s="59">
        <f ca="1">AVERAGE(OFFSET($CX$3,0,0,'Données projet'!$E$13+1,1))-AVERAGE(OFFSET($H$3,0,0,'Données projet'!$E$13+1,1))</f>
        <v>218.76600554860482</v>
      </c>
      <c r="CZ128" s="59">
        <f t="shared" si="96"/>
        <v>264.34840059907702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15.568746835533503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15.568746835533503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129.91999999999999</v>
      </c>
      <c r="DM128" s="12">
        <f>VLOOKUP(A128,'Données projet'!$A$165:$I$185,9,0)</f>
        <v>3.274999999999995</v>
      </c>
      <c r="DN128" s="12">
        <f t="array" ref="DN128">INDEX(DM:DM,MIN(IF(ISNUMBER(DM128:DM324),ROW(DM128:DM324),"")))</f>
        <v>3.274999999999995</v>
      </c>
      <c r="DO128" s="12">
        <f>IF('Données projet'!$A$166&gt;35,DO127+DN128-DW127,IF(A128&lt;'Données projet'!$A$166,$DL$205^A128,IF(A128='Données projet'!$A$166,'Données projet'!$B$166,DO127+DN128-DW127)))</f>
        <v>129.91999999999982</v>
      </c>
      <c r="DP128" s="17">
        <f>DO128*VLOOKUP('Données projet'!$B$14,Paramètres!$A$1:$I$89,3,0)*VLOOKUP('Données projet'!$B$14,Paramètres!$A$1:$I$89,5,0)</f>
        <v>111.47135999999985</v>
      </c>
      <c r="DQ128" s="13">
        <f t="shared" si="97"/>
        <v>29.677379926628415</v>
      </c>
      <c r="DR128" s="20">
        <f t="shared" si="70"/>
        <v>245.83405537221083</v>
      </c>
      <c r="DS128" s="59">
        <f t="shared" si="71"/>
        <v>539.16738870554411</v>
      </c>
      <c r="DT128" s="59">
        <f ca="1">AVERAGE(OFFSET($DS$3,0,0,'Données projet'!$E$14+1,1))-AVERAGE(OFFSET($H$3,0,0,'Données projet'!$E$14+1,1))</f>
        <v>442.97490100035287</v>
      </c>
      <c r="DU128" s="59">
        <f t="shared" si="98"/>
        <v>334.36243356457049</v>
      </c>
      <c r="DV128" s="15">
        <f>IF(ISNA(VLOOKUP(A128,'Données projet'!$A$165:$I$185,3,0)),0,VLOOKUP(A128,'Données projet'!$A$165:$I$185,3,0))</f>
        <v>12</v>
      </c>
      <c r="DW128" s="15">
        <f>IF(ISNA(VLOOKUP(A128,'Données projet'!$A$165:$I$185,4,0)),0,VLOOKUP(A128,'Données projet'!$A$165:$I$185,4,0))</f>
        <v>129.91999999999999</v>
      </c>
      <c r="DX128" s="16">
        <f>IF(ISNA(VLOOKUP(A128,'Données projet'!$A$165:$I$185,5,0)),0%,VLOOKUP(A128,'Données projet'!$A$165:$I$185,5,0)*VLOOKUP('Données projet'!$B$14,Paramètres!$A$1:$I$89,7,0))</f>
        <v>0.26500000000000001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107.6959649479534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107.6959649479534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5.6843418860808015E-14</v>
      </c>
      <c r="EK128" s="17">
        <f>EJ128*VLOOKUP('Données projet'!$B$15,Paramètres!$A$1:$I$89,3,0)*VLOOKUP('Données projet'!$B$15,Paramètres!$A$1:$I$89,5,0)</f>
        <v>4.4337866711430253E-14</v>
      </c>
      <c r="EL128" s="13">
        <f t="shared" si="99"/>
        <v>7.3222115536967035E-13</v>
      </c>
      <c r="EM128" s="20">
        <f t="shared" si="73"/>
        <v>1.3525069634579169E-12</v>
      </c>
      <c r="EN128" s="59">
        <f t="shared" si="74"/>
        <v>293.33333333333468</v>
      </c>
      <c r="EO128" s="59">
        <f ca="1">AVERAGE(OFFSET($EN$3,0,0,'Données projet'!$E$15+1,1))-AVERAGE(OFFSET($H$3,0,0,'Données projet'!$E$15+1,1))</f>
        <v>288.82868507674738</v>
      </c>
      <c r="EP128" s="59">
        <f t="shared" si="100"/>
        <v>283.48738729114024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27.254529018380943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27.254529018380943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328.55201074501201</v>
      </c>
      <c r="FK128" s="59">
        <f t="shared" si="102"/>
        <v>321.81422611044985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39.367394300960875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39.367394300960875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353.37024194969638</v>
      </c>
      <c r="GF128" s="59">
        <f t="shared" si="104"/>
        <v>345.4750813433123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52.652185450518139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52.652185450518139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1.2710188457276673E-13</v>
      </c>
      <c r="P129" s="13">
        <f t="shared" si="87"/>
        <v>1.856866851063998E-12</v>
      </c>
      <c r="Q129" s="20">
        <f t="shared" si="107"/>
        <v>3.4554122145673649E-12</v>
      </c>
      <c r="R129" s="59">
        <f t="shared" si="55"/>
        <v>293.33333333333678</v>
      </c>
      <c r="S129" s="59">
        <f ca="1">AVERAGE(OFFSET($R$3,0,0,'Données projet'!$E$9+1,1))-AVERAGE(OFFSET($H$3,0,0,'Données projet'!$E$9+1,1))</f>
        <v>404.65492118472037</v>
      </c>
      <c r="T129" s="59">
        <f t="shared" si="88"/>
        <v>534.22295841722166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67.501218698554496</v>
      </c>
      <c r="AA129" s="21">
        <f>EXP(-LN(2)/25)*AA128+(1-EXP(-LN(2)/25))/(LN(2)/25)*Calculateur!V129*Calculateur!X129*VLOOKUP('Données projet'!$B$9,Paramètres!$A$1:$I$89,3,0)*0.475*44/12</f>
        <v>9.9852530931246619</v>
      </c>
      <c r="AB129" s="21">
        <f>EXP(-LN(2)/2)*AB128+(1-EXP(-LN(2)/2))/(LN(2)/2)*V129*Y129*VLOOKUP('Données projet'!$B$9,Paramètres!$A$1:$I$89,3,0)*0.475*44/12</f>
        <v>6.1155100964485618E-10</v>
      </c>
      <c r="AC129" s="22">
        <f t="shared" si="57"/>
        <v>77.4864717922907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-7.9808160080574461E-14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331.17634116262298</v>
      </c>
      <c r="AO129" s="59">
        <f t="shared" si="90"/>
        <v>286.28916368940605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98.183562604596887</v>
      </c>
      <c r="AV129" s="21">
        <f>EXP(-LN(2)/25)*AV128+(1-EXP(-LN(2)/25))/(LN(2)/25)*Calculateur!AQ129*Calculateur!AS129*VLOOKUP('Données projet'!$B$10,Paramètres!$A$1:$I$89,3,0)*0.475*44/12</f>
        <v>28.595701963171553</v>
      </c>
      <c r="AW129" s="21">
        <f>EXP(-LN(2)/2)*AW128+(1-EXP(-LN(2)/2))/(LN(2)/2)*AQ129*AT129*VLOOKUP('Données projet'!$B$10,Paramètres!$A$1:$I$89,3,0)*0.475*44/12</f>
        <v>3.0297802365110869E-3</v>
      </c>
      <c r="AX129" s="21">
        <f t="shared" si="60"/>
        <v>126.78229434800495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1.4210854715202004E-13</v>
      </c>
      <c r="BE129" s="13">
        <f>BD129*VLOOKUP('Données projet'!$B$11,Paramètres!$A$1:$I$89,3,0)*VLOOKUP('Données projet'!$B$11,Paramètres!$A$1:$I$89,5,0)</f>
        <v>7.7591266745002952E-14</v>
      </c>
      <c r="BF129" s="13">
        <f t="shared" si="91"/>
        <v>1.2005788606873384E-12</v>
      </c>
      <c r="BG129" s="20">
        <f t="shared" si="61"/>
        <v>2.226146305277994E-12</v>
      </c>
      <c r="BH129" s="59">
        <f t="shared" si="62"/>
        <v>293.33333333333553</v>
      </c>
      <c r="BI129" s="59">
        <f ca="1">AVERAGE(OFFSET($BH$3,0,0,'Données projet'!$E$11+1,1))-AVERAGE(OFFSET($H$3,0,0,'Données projet'!$E$11+1,1))</f>
        <v>165.87377022031535</v>
      </c>
      <c r="BJ129" s="59">
        <f t="shared" si="92"/>
        <v>272.91122662088929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20.474116894068917</v>
      </c>
      <c r="BQ129" s="21">
        <f>EXP(-LN(2)/25)*BQ128+(1-EXP(-LN(2)/25))/(LN(2)/25)*Calculateur!BL129*Calculateur!BN129*VLOOKUP('Données projet'!$B$11,Paramètres!$A$1:$I$89,3,0)*0.475*44/12</f>
        <v>3.5555667551331638</v>
      </c>
      <c r="BR129" s="21">
        <f>EXP(-LN(2)/2)*BR128+(1-EXP(-LN(2)/2))/(LN(2)/2)*BL129*BO129*VLOOKUP('Données projet'!$B$11,Paramètres!$A$1:$I$89,3,0)*0.475*44/12</f>
        <v>2.9291676224208944E-12</v>
      </c>
      <c r="BS129" s="22">
        <f t="shared" si="63"/>
        <v>24.029683649205008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9.6749999999999936</v>
      </c>
      <c r="BY129" s="12">
        <f>IF('Données projet'!$A$114&gt;35,BY128+BX129-CG128,IF(A129&lt;'Données projet'!$A$114,$BV$205^A129,IF(A129='Données projet'!$A$114,'Données projet'!$B$114,BY128+BX129-CG128)))</f>
        <v>510.69000000000005</v>
      </c>
      <c r="BZ129" s="13">
        <f>BY129*VLOOKUP('Données projet'!$B$12,Paramètres!$A$1:$I$89,3,0)*VLOOKUP('Données projet'!$B$12,Paramètres!$A$1:$I$89,5,0)</f>
        <v>462.07231200000001</v>
      </c>
      <c r="CA129" s="13">
        <f t="shared" si="93"/>
        <v>104.25329089831192</v>
      </c>
      <c r="CB129" s="20">
        <f t="shared" si="64"/>
        <v>986.35042504789317</v>
      </c>
      <c r="CC129" s="59">
        <f t="shared" si="65"/>
        <v>1279.6837583812264</v>
      </c>
      <c r="CD129" s="59">
        <f ca="1">AVERAGE(OFFSET($CC$3,0,0,'Données projet'!$E$12+1,1))-AVERAGE(OFFSET($H$3,0,0,'Données projet'!$E$12+1,1))</f>
        <v>639.86968831634636</v>
      </c>
      <c r="CE129" s="59">
        <f t="shared" si="94"/>
        <v>218.1556771431184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39.668940478594877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39.668940478594877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1.1368683772161603E-13</v>
      </c>
      <c r="CU129" s="17">
        <f>CT129*VLOOKUP('Données projet'!$B$13,Paramètres!$A$1:$I$89,3,0)*VLOOKUP('Données projet'!$B$13,Paramètres!$A$1:$I$89,5,0)</f>
        <v>9.9316821433603781E-14</v>
      </c>
      <c r="CV129" s="13">
        <f t="shared" si="95"/>
        <v>1.4932118279712753E-12</v>
      </c>
      <c r="CW129" s="20">
        <f t="shared" si="67"/>
        <v>2.7736540643801645E-12</v>
      </c>
      <c r="CX129" s="59">
        <f t="shared" si="68"/>
        <v>293.3333333333361</v>
      </c>
      <c r="CY129" s="59">
        <f ca="1">AVERAGE(OFFSET($CX$3,0,0,'Données projet'!$E$13+1,1))-AVERAGE(OFFSET($H$3,0,0,'Données projet'!$E$13+1,1))</f>
        <v>218.76600554860482</v>
      </c>
      <c r="CZ129" s="59">
        <f t="shared" si="96"/>
        <v>264.34840059907702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15.263453206086609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15.263453206086609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-1.7053025658242404E-13</v>
      </c>
      <c r="DP129" s="17">
        <f>DO129*VLOOKUP('Données projet'!$B$14,Paramètres!$A$1:$I$89,3,0)*VLOOKUP('Données projet'!$B$14,Paramètres!$A$1:$I$89,5,0)</f>
        <v>-1.4631496014771985E-13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442.97490100035287</v>
      </c>
      <c r="DU129" s="59">
        <f t="shared" si="98"/>
        <v>334.36243356457049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105.5841127633765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105.5841127633765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5.6843418860808015E-14</v>
      </c>
      <c r="EK129" s="17">
        <f>EJ129*VLOOKUP('Données projet'!$B$15,Paramètres!$A$1:$I$89,3,0)*VLOOKUP('Données projet'!$B$15,Paramètres!$A$1:$I$89,5,0)</f>
        <v>4.4337866711430253E-14</v>
      </c>
      <c r="EL129" s="13">
        <f t="shared" si="99"/>
        <v>7.3222115536967035E-13</v>
      </c>
      <c r="EM129" s="20">
        <f t="shared" si="73"/>
        <v>1.3525069634579169E-12</v>
      </c>
      <c r="EN129" s="59">
        <f t="shared" si="74"/>
        <v>293.33333333333468</v>
      </c>
      <c r="EO129" s="59">
        <f ca="1">AVERAGE(OFFSET($EN$3,0,0,'Données projet'!$E$15+1,1))-AVERAGE(OFFSET($H$3,0,0,'Données projet'!$E$15+1,1))</f>
        <v>288.82868507674738</v>
      </c>
      <c r="EP129" s="59">
        <f t="shared" si="100"/>
        <v>283.48738729114024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26.720084327951746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26.720084327951746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328.55201074501201</v>
      </c>
      <c r="FK129" s="59">
        <f t="shared" si="102"/>
        <v>321.81422611044985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38.59542371045859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38.59542371045859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353.37024194969638</v>
      </c>
      <c r="GF129" s="59">
        <f t="shared" si="104"/>
        <v>345.4750813433123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51.619708208495545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51.619708208495545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1.2710188457276673E-13</v>
      </c>
      <c r="P130" s="13">
        <f t="shared" si="87"/>
        <v>1.856866851063998E-12</v>
      </c>
      <c r="Q130" s="20">
        <f t="shared" si="107"/>
        <v>3.4554122145673649E-12</v>
      </c>
      <c r="R130" s="59">
        <f t="shared" si="55"/>
        <v>293.33333333333678</v>
      </c>
      <c r="S130" s="59">
        <f ca="1">AVERAGE(OFFSET($R$3,0,0,'Données projet'!$E$9+1,1))-AVERAGE(OFFSET($H$3,0,0,'Données projet'!$E$9+1,1))</f>
        <v>404.65492118472037</v>
      </c>
      <c r="T130" s="59">
        <f t="shared" si="88"/>
        <v>534.22295841722166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66.177560971553888</v>
      </c>
      <c r="AA130" s="21">
        <f>EXP(-LN(2)/25)*AA129+(1-EXP(-LN(2)/25))/(LN(2)/25)*Calculateur!V130*Calculateur!X130*VLOOKUP('Données projet'!$B$9,Paramètres!$A$1:$I$89,3,0)*0.475*44/12</f>
        <v>9.7122058221915299</v>
      </c>
      <c r="AB130" s="21">
        <f>EXP(-LN(2)/2)*AB129+(1-EXP(-LN(2)/2))/(LN(2)/2)*V130*Y130*VLOOKUP('Données projet'!$B$9,Paramètres!$A$1:$I$89,3,0)*0.475*44/12</f>
        <v>4.3243186596135754E-10</v>
      </c>
      <c r="AC130" s="22">
        <f t="shared" si="57"/>
        <v>75.889766794177859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-7.9808160080574461E-14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331.17634116262298</v>
      </c>
      <c r="AO130" s="59">
        <f t="shared" si="90"/>
        <v>286.28916368940605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96.258242827980666</v>
      </c>
      <c r="AV130" s="21">
        <f>EXP(-LN(2)/25)*AV129+(1-EXP(-LN(2)/25))/(LN(2)/25)*Calculateur!AQ130*Calculateur!AS130*VLOOKUP('Données projet'!$B$10,Paramètres!$A$1:$I$89,3,0)*0.475*44/12</f>
        <v>27.813750989206017</v>
      </c>
      <c r="AW130" s="21">
        <f>EXP(-LN(2)/2)*AW129+(1-EXP(-LN(2)/2))/(LN(2)/2)*AQ130*AT130*VLOOKUP('Données projet'!$B$10,Paramètres!$A$1:$I$89,3,0)*0.475*44/12</f>
        <v>2.1423781507419713E-3</v>
      </c>
      <c r="AX130" s="21">
        <f t="shared" si="60"/>
        <v>124.07413619533742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1.4210854715202004E-13</v>
      </c>
      <c r="BE130" s="13">
        <f>BD130*VLOOKUP('Données projet'!$B$11,Paramètres!$A$1:$I$89,3,0)*VLOOKUP('Données projet'!$B$11,Paramètres!$A$1:$I$89,5,0)</f>
        <v>7.7591266745002952E-14</v>
      </c>
      <c r="BF130" s="13">
        <f t="shared" si="91"/>
        <v>1.2005788606873384E-12</v>
      </c>
      <c r="BG130" s="20">
        <f t="shared" si="61"/>
        <v>2.226146305277994E-12</v>
      </c>
      <c r="BH130" s="59">
        <f t="shared" si="62"/>
        <v>293.33333333333553</v>
      </c>
      <c r="BI130" s="59">
        <f ca="1">AVERAGE(OFFSET($BH$3,0,0,'Données projet'!$E$11+1,1))-AVERAGE(OFFSET($H$3,0,0,'Données projet'!$E$11+1,1))</f>
        <v>165.87377022031535</v>
      </c>
      <c r="BJ130" s="59">
        <f t="shared" si="92"/>
        <v>272.91122662088929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20.072631949754445</v>
      </c>
      <c r="BQ130" s="21">
        <f>EXP(-LN(2)/25)*BQ129+(1-EXP(-LN(2)/25))/(LN(2)/25)*Calculateur!BL130*Calculateur!BN130*VLOOKUP('Données projet'!$B$11,Paramètres!$A$1:$I$89,3,0)*0.475*44/12</f>
        <v>3.4583395952349183</v>
      </c>
      <c r="BR130" s="21">
        <f>EXP(-LN(2)/2)*BR129+(1-EXP(-LN(2)/2))/(LN(2)/2)*BL130*BO130*VLOOKUP('Données projet'!$B$11,Paramètres!$A$1:$I$89,3,0)*0.475*44/12</f>
        <v>2.071234289045891E-12</v>
      </c>
      <c r="BS130" s="22">
        <f t="shared" si="63"/>
        <v>23.530971544991434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9.6749999999999936</v>
      </c>
      <c r="BY130" s="12">
        <f>IF('Données projet'!$A$114&gt;35,BY129+BX130-CG129,IF(A130&lt;'Données projet'!$A$114,$BV$205^A130,IF(A130='Données projet'!$A$114,'Données projet'!$B$114,BY129+BX130-CG129)))</f>
        <v>520.36500000000001</v>
      </c>
      <c r="BZ130" s="13">
        <f>BY130*VLOOKUP('Données projet'!$B$12,Paramètres!$A$1:$I$89,3,0)*VLOOKUP('Données projet'!$B$12,Paramètres!$A$1:$I$89,5,0)</f>
        <v>470.82625199999995</v>
      </c>
      <c r="CA130" s="13">
        <f t="shared" si="93"/>
        <v>105.99655557556011</v>
      </c>
      <c r="CB130" s="20">
        <f t="shared" si="64"/>
        <v>1004.6330565274337</v>
      </c>
      <c r="CC130" s="59">
        <f t="shared" si="65"/>
        <v>1297.9663898607671</v>
      </c>
      <c r="CD130" s="59">
        <f ca="1">AVERAGE(OFFSET($CC$3,0,0,'Données projet'!$E$12+1,1))-AVERAGE(OFFSET($H$3,0,0,'Données projet'!$E$12+1,1))</f>
        <v>639.86968831634636</v>
      </c>
      <c r="CE130" s="59">
        <f t="shared" si="94"/>
        <v>218.1556771431184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38.891056751474203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38.891056751474203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1.1368683772161603E-13</v>
      </c>
      <c r="CU130" s="17">
        <f>CT130*VLOOKUP('Données projet'!$B$13,Paramètres!$A$1:$I$89,3,0)*VLOOKUP('Données projet'!$B$13,Paramètres!$A$1:$I$89,5,0)</f>
        <v>9.9316821433603781E-14</v>
      </c>
      <c r="CV130" s="13">
        <f t="shared" si="95"/>
        <v>1.4932118279712753E-12</v>
      </c>
      <c r="CW130" s="20">
        <f t="shared" si="67"/>
        <v>2.7736540643801645E-12</v>
      </c>
      <c r="CX130" s="59">
        <f t="shared" si="68"/>
        <v>293.3333333333361</v>
      </c>
      <c r="CY130" s="59">
        <f ca="1">AVERAGE(OFFSET($CX$3,0,0,'Données projet'!$E$13+1,1))-AVERAGE(OFFSET($H$3,0,0,'Données projet'!$E$13+1,1))</f>
        <v>218.76600554860482</v>
      </c>
      <c r="CZ130" s="59">
        <f t="shared" si="96"/>
        <v>264.34840059907702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14.964146198502441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14.964146198502441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-1.7053025658242404E-13</v>
      </c>
      <c r="DP130" s="17">
        <f>DO130*VLOOKUP('Données projet'!$B$14,Paramètres!$A$1:$I$89,3,0)*VLOOKUP('Données projet'!$B$14,Paramètres!$A$1:$I$89,5,0)</f>
        <v>-1.4631496014771985E-13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442.97490100035287</v>
      </c>
      <c r="DU130" s="59">
        <f t="shared" si="98"/>
        <v>334.36243356457049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103.5136727120365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103.5136727120365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5.6843418860808015E-14</v>
      </c>
      <c r="EK130" s="17">
        <f>EJ130*VLOOKUP('Données projet'!$B$15,Paramètres!$A$1:$I$89,3,0)*VLOOKUP('Données projet'!$B$15,Paramètres!$A$1:$I$89,5,0)</f>
        <v>4.4337866711430253E-14</v>
      </c>
      <c r="EL130" s="13">
        <f t="shared" si="99"/>
        <v>7.3222115536967035E-13</v>
      </c>
      <c r="EM130" s="20">
        <f t="shared" si="73"/>
        <v>1.3525069634579169E-12</v>
      </c>
      <c r="EN130" s="59">
        <f t="shared" si="74"/>
        <v>293.33333333333468</v>
      </c>
      <c r="EO130" s="59">
        <f ca="1">AVERAGE(OFFSET($EN$3,0,0,'Données projet'!$E$15+1,1))-AVERAGE(OFFSET($H$3,0,0,'Données projet'!$E$15+1,1))</f>
        <v>288.82868507674738</v>
      </c>
      <c r="EP130" s="59">
        <f t="shared" si="100"/>
        <v>283.48738729114024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26.196119771922792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26.196119771922792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328.55201074501201</v>
      </c>
      <c r="FK130" s="59">
        <f t="shared" si="102"/>
        <v>321.81422611044985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37.838590992380489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37.838590992380489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353.37024194969638</v>
      </c>
      <c r="GF130" s="59">
        <f t="shared" si="104"/>
        <v>345.4750813433123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50.607477215440078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50.607477215440078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1.2710188457276673E-13</v>
      </c>
      <c r="P131" s="13">
        <f t="shared" si="87"/>
        <v>1.856866851063998E-12</v>
      </c>
      <c r="Q131" s="20">
        <f t="shared" ref="Q131:Q153" si="108">(O131+P131)*0.475*44/12</f>
        <v>3.4554122145673649E-12</v>
      </c>
      <c r="R131" s="59">
        <f t="shared" ref="R131:R194" si="109">Q131+(I131+J131)*44/12</f>
        <v>293.33333333333678</v>
      </c>
      <c r="S131" s="59">
        <f ca="1">AVERAGE(OFFSET($R$3,0,0,'Données projet'!$E$9+1,1))-AVERAGE(OFFSET($H$3,0,0,'Données projet'!$E$9+1,1))</f>
        <v>404.65492118472037</v>
      </c>
      <c r="T131" s="59">
        <f t="shared" si="88"/>
        <v>534.22295841722166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64.879859365228256</v>
      </c>
      <c r="AA131" s="21">
        <f>EXP(-LN(2)/25)*AA130+(1-EXP(-LN(2)/25))/(LN(2)/25)*Calculateur!V131*Calculateur!X131*VLOOKUP('Données projet'!$B$9,Paramètres!$A$1:$I$89,3,0)*0.475*44/12</f>
        <v>9.4466250432409957</v>
      </c>
      <c r="AB131" s="21">
        <f>EXP(-LN(2)/2)*AB130+(1-EXP(-LN(2)/2))/(LN(2)/2)*V131*Y131*VLOOKUP('Données projet'!$B$9,Paramètres!$A$1:$I$89,3,0)*0.475*44/12</f>
        <v>3.0577550482242809E-10</v>
      </c>
      <c r="AC131" s="22">
        <f t="shared" si="57"/>
        <v>74.32648440877503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-7.9808160080574461E-14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331.17634116262298</v>
      </c>
      <c r="AO131" s="59">
        <f t="shared" si="90"/>
        <v>286.28916368940605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94.370677397854791</v>
      </c>
      <c r="AV131" s="21">
        <f>EXP(-LN(2)/25)*AV130+(1-EXP(-LN(2)/25))/(LN(2)/25)*Calculateur!AQ131*Calculateur!AS131*VLOOKUP('Données projet'!$B$10,Paramètres!$A$1:$I$89,3,0)*0.475*44/12</f>
        <v>27.053182505744584</v>
      </c>
      <c r="AW131" s="21">
        <f>EXP(-LN(2)/2)*AW130+(1-EXP(-LN(2)/2))/(LN(2)/2)*AQ131*AT131*VLOOKUP('Données projet'!$B$10,Paramètres!$A$1:$I$89,3,0)*0.475*44/12</f>
        <v>1.5148901182555435E-3</v>
      </c>
      <c r="AX131" s="21">
        <f t="shared" si="60"/>
        <v>121.42537479371764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1.4210854715202004E-13</v>
      </c>
      <c r="BE131" s="13">
        <f>BD131*VLOOKUP('Données projet'!$B$11,Paramètres!$A$1:$I$89,3,0)*VLOOKUP('Données projet'!$B$11,Paramètres!$A$1:$I$89,5,0)</f>
        <v>7.7591266745002952E-14</v>
      </c>
      <c r="BF131" s="13">
        <f t="shared" si="91"/>
        <v>1.2005788606873384E-12</v>
      </c>
      <c r="BG131" s="20">
        <f t="shared" si="61"/>
        <v>2.226146305277994E-12</v>
      </c>
      <c r="BH131" s="59">
        <f t="shared" si="62"/>
        <v>293.33333333333553</v>
      </c>
      <c r="BI131" s="59">
        <f ca="1">AVERAGE(OFFSET($BH$3,0,0,'Données projet'!$E$11+1,1))-AVERAGE(OFFSET($H$3,0,0,'Données projet'!$E$11+1,1))</f>
        <v>165.87377022031535</v>
      </c>
      <c r="BJ131" s="59">
        <f t="shared" si="92"/>
        <v>272.91122662088929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19.679019880316343</v>
      </c>
      <c r="BQ131" s="21">
        <f>EXP(-LN(2)/25)*BQ130+(1-EXP(-LN(2)/25))/(LN(2)/25)*Calculateur!BL131*Calculateur!BN131*VLOOKUP('Données projet'!$B$11,Paramètres!$A$1:$I$89,3,0)*0.475*44/12</f>
        <v>3.3637711171370444</v>
      </c>
      <c r="BR131" s="21">
        <f>EXP(-LN(2)/2)*BR130+(1-EXP(-LN(2)/2))/(LN(2)/2)*BL131*BO131*VLOOKUP('Données projet'!$B$11,Paramètres!$A$1:$I$89,3,0)*0.475*44/12</f>
        <v>1.4645838112104472E-12</v>
      </c>
      <c r="BS131" s="22">
        <f t="shared" si="63"/>
        <v>23.042790997454851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9.6749999999999936</v>
      </c>
      <c r="BY131" s="12">
        <f>IF('Données projet'!$A$114&gt;35,BY130+BX131-CG130,IF(A131&lt;'Données projet'!$A$114,$BV$205^A131,IF(A131='Données projet'!$A$114,'Données projet'!$B$114,BY130+BX131-CG130)))</f>
        <v>530.04</v>
      </c>
      <c r="BZ131" s="13">
        <f>BY131*VLOOKUP('Données projet'!$B$12,Paramètres!$A$1:$I$89,3,0)*VLOOKUP('Données projet'!$B$12,Paramètres!$A$1:$I$89,5,0)</f>
        <v>479.58019199999995</v>
      </c>
      <c r="CA131" s="13">
        <f t="shared" si="93"/>
        <v>107.73605134256208</v>
      </c>
      <c r="CB131" s="20">
        <f t="shared" si="64"/>
        <v>1022.9091238216288</v>
      </c>
      <c r="CC131" s="59">
        <f t="shared" si="65"/>
        <v>1316.242457154962</v>
      </c>
      <c r="CD131" s="59">
        <f ca="1">AVERAGE(OFFSET($CC$3,0,0,'Données projet'!$E$12+1,1))-AVERAGE(OFFSET($H$3,0,0,'Données projet'!$E$12+1,1))</f>
        <v>639.86968831634636</v>
      </c>
      <c r="CE131" s="59">
        <f t="shared" si="94"/>
        <v>218.1556771431184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38.128426849780141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38.128426849780141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1.1368683772161603E-13</v>
      </c>
      <c r="CU131" s="17">
        <f>CT131*VLOOKUP('Données projet'!$B$13,Paramètres!$A$1:$I$89,3,0)*VLOOKUP('Données projet'!$B$13,Paramètres!$A$1:$I$89,5,0)</f>
        <v>9.9316821433603781E-14</v>
      </c>
      <c r="CV131" s="13">
        <f t="shared" si="95"/>
        <v>1.4932118279712753E-12</v>
      </c>
      <c r="CW131" s="20">
        <f t="shared" si="67"/>
        <v>2.7736540643801645E-12</v>
      </c>
      <c r="CX131" s="59">
        <f t="shared" si="68"/>
        <v>293.3333333333361</v>
      </c>
      <c r="CY131" s="59">
        <f ca="1">AVERAGE(OFFSET($CX$3,0,0,'Données projet'!$E$13+1,1))-AVERAGE(OFFSET($H$3,0,0,'Données projet'!$E$13+1,1))</f>
        <v>218.76600554860482</v>
      </c>
      <c r="CZ131" s="59">
        <f t="shared" si="96"/>
        <v>264.34840059907702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14.67070841877775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14.67070841877775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-1.7053025658242404E-13</v>
      </c>
      <c r="DP131" s="17">
        <f>DO131*VLOOKUP('Données projet'!$B$14,Paramètres!$A$1:$I$89,3,0)*VLOOKUP('Données projet'!$B$14,Paramètres!$A$1:$I$89,5,0)</f>
        <v>-1.4631496014771985E-13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442.97490100035287</v>
      </c>
      <c r="DU131" s="59">
        <f t="shared" si="98"/>
        <v>334.36243356457049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101.48383272725954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101.48383272725954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5.6843418860808015E-14</v>
      </c>
      <c r="EK131" s="17">
        <f>EJ131*VLOOKUP('Données projet'!$B$15,Paramètres!$A$1:$I$89,3,0)*VLOOKUP('Données projet'!$B$15,Paramètres!$A$1:$I$89,5,0)</f>
        <v>4.4337866711430253E-14</v>
      </c>
      <c r="EL131" s="13">
        <f t="shared" si="99"/>
        <v>7.3222115536967035E-13</v>
      </c>
      <c r="EM131" s="20">
        <f t="shared" si="73"/>
        <v>1.3525069634579169E-12</v>
      </c>
      <c r="EN131" s="59">
        <f t="shared" si="74"/>
        <v>293.33333333333468</v>
      </c>
      <c r="EO131" s="59">
        <f ca="1">AVERAGE(OFFSET($EN$3,0,0,'Données projet'!$E$15+1,1))-AVERAGE(OFFSET($H$3,0,0,'Données projet'!$E$15+1,1))</f>
        <v>288.82868507674738</v>
      </c>
      <c r="EP131" s="59">
        <f t="shared" si="100"/>
        <v>283.48738729114024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25.682429841250745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25.682429841250745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328.55201074501201</v>
      </c>
      <c r="FK131" s="59">
        <f t="shared" si="102"/>
        <v>321.81422611044985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37.096599302281525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37.096599302281525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353.37024194969638</v>
      </c>
      <c r="GF131" s="59">
        <f t="shared" si="104"/>
        <v>345.4750813433123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49.615095454758489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49.615095454758489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1.2710188457276673E-13</v>
      </c>
      <c r="P132" s="13">
        <f t="shared" si="87"/>
        <v>1.856866851063998E-12</v>
      </c>
      <c r="Q132" s="20">
        <f t="shared" si="108"/>
        <v>3.4554122145673649E-12</v>
      </c>
      <c r="R132" s="59">
        <f t="shared" si="109"/>
        <v>293.33333333333678</v>
      </c>
      <c r="S132" s="59">
        <f ca="1">AVERAGE(OFFSET($R$3,0,0,'Données projet'!$E$9+1,1))-AVERAGE(OFFSET($H$3,0,0,'Données projet'!$E$9+1,1))</f>
        <v>404.65492118472037</v>
      </c>
      <c r="T132" s="59">
        <f t="shared" si="88"/>
        <v>534.22295841722166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63.607604895882851</v>
      </c>
      <c r="AA132" s="21">
        <f>EXP(-LN(2)/25)*AA131+(1-EXP(-LN(2)/25))/(LN(2)/25)*Calculateur!V132*Calculateur!X132*VLOOKUP('Données projet'!$B$9,Paramètres!$A$1:$I$89,3,0)*0.475*44/12</f>
        <v>9.1883065846571501</v>
      </c>
      <c r="AB132" s="21">
        <f>EXP(-LN(2)/2)*AB131+(1-EXP(-LN(2)/2))/(LN(2)/2)*V132*Y132*VLOOKUP('Données projet'!$B$9,Paramètres!$A$1:$I$89,3,0)*0.475*44/12</f>
        <v>2.1621593298067877E-10</v>
      </c>
      <c r="AC132" s="22">
        <f t="shared" ref="AC132:AC153" si="111">SUM(Z132:AB132)</f>
        <v>72.795911480756217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-7.9808160080574461E-14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331.17634116262298</v>
      </c>
      <c r="AO132" s="59">
        <f t="shared" si="90"/>
        <v>286.28916368940605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92.520125974512453</v>
      </c>
      <c r="AV132" s="21">
        <f>EXP(-LN(2)/25)*AV131+(1-EXP(-LN(2)/25))/(LN(2)/25)*Calculateur!AQ132*Calculateur!AS132*VLOOKUP('Données projet'!$B$10,Paramètres!$A$1:$I$89,3,0)*0.475*44/12</f>
        <v>26.313411807459961</v>
      </c>
      <c r="AW132" s="21">
        <f>EXP(-LN(2)/2)*AW131+(1-EXP(-LN(2)/2))/(LN(2)/2)*AQ132*AT132*VLOOKUP('Données projet'!$B$10,Paramètres!$A$1:$I$89,3,0)*0.475*44/12</f>
        <v>1.0711890753709857E-3</v>
      </c>
      <c r="AX132" s="21">
        <f t="shared" ref="AX132:AX153" si="114">SUM(AU132:AW132)</f>
        <v>118.83460897104779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1.4210854715202004E-13</v>
      </c>
      <c r="BE132" s="13">
        <f>BD132*VLOOKUP('Données projet'!$B$11,Paramètres!$A$1:$I$89,3,0)*VLOOKUP('Données projet'!$B$11,Paramètres!$A$1:$I$89,5,0)</f>
        <v>7.7591266745002952E-14</v>
      </c>
      <c r="BF132" s="13">
        <f t="shared" si="91"/>
        <v>1.2005788606873384E-12</v>
      </c>
      <c r="BG132" s="20">
        <f t="shared" ref="BG132:BG153" si="115">(BE132+BF132)*0.475*44/12</f>
        <v>2.226146305277994E-12</v>
      </c>
      <c r="BH132" s="59">
        <f t="shared" ref="BH132:BH195" si="116">BG132+(AY132+AZ132)*44/12</f>
        <v>293.33333333333553</v>
      </c>
      <c r="BI132" s="59">
        <f ca="1">AVERAGE(OFFSET($BH$3,0,0,'Données projet'!$E$11+1,1))-AVERAGE(OFFSET($H$3,0,0,'Données projet'!$E$11+1,1))</f>
        <v>165.87377022031535</v>
      </c>
      <c r="BJ132" s="59">
        <f t="shared" si="92"/>
        <v>272.91122662088929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19.293126303480268</v>
      </c>
      <c r="BQ132" s="21">
        <f>EXP(-LN(2)/25)*BQ131+(1-EXP(-LN(2)/25))/(LN(2)/25)*Calculateur!BL132*Calculateur!BN132*VLOOKUP('Données projet'!$B$11,Paramètres!$A$1:$I$89,3,0)*0.475*44/12</f>
        <v>3.2717886190458967</v>
      </c>
      <c r="BR132" s="21">
        <f>EXP(-LN(2)/2)*BR131+(1-EXP(-LN(2)/2))/(LN(2)/2)*BL132*BO132*VLOOKUP('Données projet'!$B$11,Paramètres!$A$1:$I$89,3,0)*0.475*44/12</f>
        <v>1.0356171445229455E-12</v>
      </c>
      <c r="BS132" s="22">
        <f t="shared" ref="BS132:BS153" si="117">SUM(BP132:BR132)</f>
        <v>22.564914922527201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9.6749999999999936</v>
      </c>
      <c r="BY132" s="12">
        <f>IF('Données projet'!$A$114&gt;35,BY131+BX132-CG131,IF(A132&lt;'Données projet'!$A$114,$BV$205^A132,IF(A132='Données projet'!$A$114,'Données projet'!$B$114,BY131+BX132-CG131)))</f>
        <v>539.71499999999992</v>
      </c>
      <c r="BZ132" s="13">
        <f>BY132*VLOOKUP('Données projet'!$B$12,Paramètres!$A$1:$I$89,3,0)*VLOOKUP('Données projet'!$B$12,Paramètres!$A$1:$I$89,5,0)</f>
        <v>488.3341319999999</v>
      </c>
      <c r="CA132" s="13">
        <f t="shared" si="93"/>
        <v>109.47185492933546</v>
      </c>
      <c r="CB132" s="20">
        <f t="shared" ref="CB132:CB153" si="118">(BZ132+CA132)*0.475*44/12</f>
        <v>1041.1787605685925</v>
      </c>
      <c r="CC132" s="59">
        <f t="shared" ref="CC132:CC195" si="119">CB132+(BT132+BU132)*44/12</f>
        <v>1334.5120939019257</v>
      </c>
      <c r="CD132" s="59">
        <f ca="1">AVERAGE(OFFSET($CC$3,0,0,'Données projet'!$E$12+1,1))-AVERAGE(OFFSET($H$3,0,0,'Données projet'!$E$12+1,1))</f>
        <v>639.86968831634636</v>
      </c>
      <c r="CE132" s="59">
        <f t="shared" si="94"/>
        <v>218.1556771431184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37.380751655299989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37.380751655299989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1.1368683772161603E-13</v>
      </c>
      <c r="CU132" s="17">
        <f>CT132*VLOOKUP('Données projet'!$B$13,Paramètres!$A$1:$I$89,3,0)*VLOOKUP('Données projet'!$B$13,Paramètres!$A$1:$I$89,5,0)</f>
        <v>9.9316821433603781E-14</v>
      </c>
      <c r="CV132" s="13">
        <f t="shared" si="95"/>
        <v>1.4932118279712753E-12</v>
      </c>
      <c r="CW132" s="20">
        <f t="shared" ref="CW132:CW153" si="121">(CU132+CV132)*0.475*44/12</f>
        <v>2.7736540643801645E-12</v>
      </c>
      <c r="CX132" s="59">
        <f t="shared" ref="CX132:CX195" si="122">CW132+(CO132+CP132)*44/12</f>
        <v>293.3333333333361</v>
      </c>
      <c r="CY132" s="59">
        <f ca="1">AVERAGE(OFFSET($CX$3,0,0,'Données projet'!$E$13+1,1))-AVERAGE(OFFSET($H$3,0,0,'Données projet'!$E$13+1,1))</f>
        <v>218.76600554860482</v>
      </c>
      <c r="CZ132" s="59">
        <f t="shared" si="96"/>
        <v>264.34840059907702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14.383024774934087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14.383024774934087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-1.7053025658242404E-13</v>
      </c>
      <c r="DP132" s="17">
        <f>DO132*VLOOKUP('Données projet'!$B$14,Paramètres!$A$1:$I$89,3,0)*VLOOKUP('Données projet'!$B$14,Paramètres!$A$1:$I$89,5,0)</f>
        <v>-1.4631496014771985E-13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442.97490100035287</v>
      </c>
      <c r="DU132" s="59">
        <f t="shared" si="98"/>
        <v>334.36243356457049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99.493796666503926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99.493796666503926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5.6843418860808015E-14</v>
      </c>
      <c r="EK132" s="17">
        <f>EJ132*VLOOKUP('Données projet'!$B$15,Paramètres!$A$1:$I$89,3,0)*VLOOKUP('Données projet'!$B$15,Paramètres!$A$1:$I$89,5,0)</f>
        <v>4.4337866711430253E-14</v>
      </c>
      <c r="EL132" s="13">
        <f t="shared" si="99"/>
        <v>7.3222115536967035E-13</v>
      </c>
      <c r="EM132" s="20">
        <f t="shared" ref="EM132:EM153" si="127">(EK132+EL132)*0.475*44/12</f>
        <v>1.3525069634579169E-12</v>
      </c>
      <c r="EN132" s="59">
        <f t="shared" ref="EN132:EN195" si="128">EM132+(EE132+EF132)*44/12</f>
        <v>293.33333333333468</v>
      </c>
      <c r="EO132" s="59">
        <f ca="1">AVERAGE(OFFSET($EN$3,0,0,'Données projet'!$E$15+1,1))-AVERAGE(OFFSET($H$3,0,0,'Données projet'!$E$15+1,1))</f>
        <v>288.82868507674738</v>
      </c>
      <c r="EP132" s="59">
        <f t="shared" si="100"/>
        <v>283.48738729114024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25.178813056799257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25.178813056799257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328.55201074501201</v>
      </c>
      <c r="FK132" s="59">
        <f t="shared" si="102"/>
        <v>321.81422611044985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36.369157616655158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36.369157616655158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353.37024194969638</v>
      </c>
      <c r="GF132" s="59">
        <f t="shared" si="104"/>
        <v>345.4750813433123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48.642173695110756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48.642173695110756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1.2710188457276673E-13</v>
      </c>
      <c r="P133" s="13">
        <f t="shared" ref="P133:P196" si="141">EXP(-1.0587+0.8836*LN(O133)+0.284)</f>
        <v>1.856866851063998E-12</v>
      </c>
      <c r="Q133" s="20">
        <f t="shared" si="108"/>
        <v>3.4554122145673649E-12</v>
      </c>
      <c r="R133" s="59">
        <f t="shared" si="109"/>
        <v>293.33333333333678</v>
      </c>
      <c r="S133" s="59">
        <f ca="1">AVERAGE(OFFSET($R$3,0,0,'Données projet'!$E$9+1,1))-AVERAGE(OFFSET($H$3,0,0,'Données projet'!$E$9+1,1))</f>
        <v>404.65492118472037</v>
      </c>
      <c r="T133" s="59">
        <f t="shared" ref="T133:T196" si="142">$T$3</f>
        <v>534.22295841722166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62.360298560682708</v>
      </c>
      <c r="AA133" s="21">
        <f>EXP(-LN(2)/25)*AA132+(1-EXP(-LN(2)/25))/(LN(2)/25)*Calculateur!V133*Calculateur!X133*VLOOKUP('Données projet'!$B$9,Paramètres!$A$1:$I$89,3,0)*0.475*44/12</f>
        <v>8.9370518579076563</v>
      </c>
      <c r="AB133" s="21">
        <f>EXP(-LN(2)/2)*AB132+(1-EXP(-LN(2)/2))/(LN(2)/2)*V133*Y133*VLOOKUP('Données projet'!$B$9,Paramètres!$A$1:$I$89,3,0)*0.475*44/12</f>
        <v>1.5288775241121405E-10</v>
      </c>
      <c r="AC133" s="22">
        <f t="shared" si="111"/>
        <v>71.297350418743264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-7.9808160080574461E-14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331.17634116262298</v>
      </c>
      <c r="AO133" s="59">
        <f t="shared" ref="AO133:AO196" si="144">$AO$3</f>
        <v>286.28916368940605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90.70586273585694</v>
      </c>
      <c r="AV133" s="21">
        <f>EXP(-LN(2)/25)*AV132+(1-EXP(-LN(2)/25))/(LN(2)/25)*Calculateur!AQ133*Calculateur!AS133*VLOOKUP('Données projet'!$B$10,Paramètres!$A$1:$I$89,3,0)*0.475*44/12</f>
        <v>25.59387017782278</v>
      </c>
      <c r="AW133" s="21">
        <f>EXP(-LN(2)/2)*AW132+(1-EXP(-LN(2)/2))/(LN(2)/2)*AQ133*AT133*VLOOKUP('Données projet'!$B$10,Paramètres!$A$1:$I$89,3,0)*0.475*44/12</f>
        <v>7.5744505912777173E-4</v>
      </c>
      <c r="AX133" s="21">
        <f t="shared" si="114"/>
        <v>116.30049035873884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1.4210854715202004E-13</v>
      </c>
      <c r="BE133" s="13">
        <f>BD133*VLOOKUP('Données projet'!$B$11,Paramètres!$A$1:$I$89,3,0)*VLOOKUP('Données projet'!$B$11,Paramètres!$A$1:$I$89,5,0)</f>
        <v>7.7591266745002952E-14</v>
      </c>
      <c r="BF133" s="13">
        <f t="shared" ref="BF133:BF153" si="145">EXP(-1.0587+0.8836*LN(BE133)+0.284)</f>
        <v>1.2005788606873384E-12</v>
      </c>
      <c r="BG133" s="20">
        <f t="shared" si="115"/>
        <v>2.226146305277994E-12</v>
      </c>
      <c r="BH133" s="59">
        <f t="shared" si="116"/>
        <v>293.33333333333553</v>
      </c>
      <c r="BI133" s="59">
        <f ca="1">AVERAGE(OFFSET($BH$3,0,0,'Données projet'!$E$11+1,1))-AVERAGE(OFFSET($H$3,0,0,'Données projet'!$E$11+1,1))</f>
        <v>165.87377022031535</v>
      </c>
      <c r="BJ133" s="59">
        <f t="shared" ref="BJ133:BJ196" si="146">$BJ$3</f>
        <v>272.91122662088929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18.914799864314105</v>
      </c>
      <c r="BQ133" s="21">
        <f>EXP(-LN(2)/25)*BQ132+(1-EXP(-LN(2)/25))/(LN(2)/25)*Calculateur!BL133*Calculateur!BN133*VLOOKUP('Données projet'!$B$11,Paramètres!$A$1:$I$89,3,0)*0.475*44/12</f>
        <v>3.1823213872022009</v>
      </c>
      <c r="BR133" s="21">
        <f>EXP(-LN(2)/2)*BR132+(1-EXP(-LN(2)/2))/(LN(2)/2)*BL133*BO133*VLOOKUP('Données projet'!$B$11,Paramètres!$A$1:$I$89,3,0)*0.475*44/12</f>
        <v>7.3229190560522361E-13</v>
      </c>
      <c r="BS133" s="22">
        <f t="shared" si="117"/>
        <v>22.097121251517038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549.39</v>
      </c>
      <c r="BW133" s="12">
        <f>VLOOKUP(A133,'Données projet'!$A$113:$I$133,9,0)</f>
        <v>9.6749999999999936</v>
      </c>
      <c r="BX133" s="12">
        <f t="array" ref="BX133">INDEX(BW:BW,MIN(IF(ISNUMBER(BW133:BW329),ROW(BW133:BW329),"")))</f>
        <v>9.6749999999999936</v>
      </c>
      <c r="BY133" s="12">
        <f>IF('Données projet'!$A$114&gt;35,BY132+BX133-CG132,IF(A133&lt;'Données projet'!$A$114,$BV$205^A133,IF(A133='Données projet'!$A$114,'Données projet'!$B$114,BY132+BX133-CG132)))</f>
        <v>549.38999999999987</v>
      </c>
      <c r="BZ133" s="13">
        <f>BY133*VLOOKUP('Données projet'!$B$12,Paramètres!$A$1:$I$89,3,0)*VLOOKUP('Données projet'!$B$12,Paramètres!$A$1:$I$89,5,0)</f>
        <v>497.0880719999999</v>
      </c>
      <c r="CA133" s="13">
        <f t="shared" ref="CA133:CA153" si="147">EXP(-1.0587+0.8836*LN(BZ133)+0.284)</f>
        <v>111.20404015741785</v>
      </c>
      <c r="CB133" s="20">
        <f t="shared" si="118"/>
        <v>1059.4420953408357</v>
      </c>
      <c r="CC133" s="59">
        <f t="shared" si="119"/>
        <v>1352.775428674169</v>
      </c>
      <c r="CD133" s="59">
        <f ca="1">AVERAGE(OFFSET($CC$3,0,0,'Données projet'!$E$12+1,1))-AVERAGE(OFFSET($H$3,0,0,'Données projet'!$E$12+1,1))</f>
        <v>639.86968831634636</v>
      </c>
      <c r="CE133" s="59">
        <f t="shared" ref="CE133:CE196" si="148">$CE$3</f>
        <v>218.1556771431184</v>
      </c>
      <c r="CF133" s="15">
        <f>IF(ISNA(VLOOKUP(A133,'Données projet'!$A$113:$I$133,3,0)),0,VLOOKUP(A133,'Données projet'!$A$113:$I$133,3,0))</f>
        <v>12</v>
      </c>
      <c r="CG133" s="15">
        <f>IF(ISNA(VLOOKUP(A133,'Données projet'!$A$113:$I$133,4,0)),0,VLOOKUP(A133,'Données projet'!$A$113:$I$133,4,0))</f>
        <v>69</v>
      </c>
      <c r="CH133" s="16">
        <f>IF(ISNA(VLOOKUP(A133,'Données projet'!$A$113:$I$133,5,0)),0%,VLOOKUP(A133,'Données projet'!$A$113:$I$133,5,0)*VLOOKUP('Données projet'!$B$12,Paramètres!$A$1:$I$89,7,0))</f>
        <v>0.215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51.486144022466718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51.486144022466718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1.1368683772161603E-13</v>
      </c>
      <c r="CU133" s="17">
        <f>CT133*VLOOKUP('Données projet'!$B$13,Paramètres!$A$1:$I$89,3,0)*VLOOKUP('Données projet'!$B$13,Paramètres!$A$1:$I$89,5,0)</f>
        <v>9.9316821433603781E-14</v>
      </c>
      <c r="CV133" s="13">
        <f t="shared" ref="CV133:CV153" si="149">EXP(-1.0587+0.8836*LN(CU133)+0.284)</f>
        <v>1.4932118279712753E-12</v>
      </c>
      <c r="CW133" s="20">
        <f t="shared" si="121"/>
        <v>2.7736540643801645E-12</v>
      </c>
      <c r="CX133" s="59">
        <f t="shared" si="122"/>
        <v>293.3333333333361</v>
      </c>
      <c r="CY133" s="59">
        <f ca="1">AVERAGE(OFFSET($CX$3,0,0,'Données projet'!$E$13+1,1))-AVERAGE(OFFSET($H$3,0,0,'Données projet'!$E$13+1,1))</f>
        <v>218.76600554860482</v>
      </c>
      <c r="CZ133" s="59">
        <f t="shared" ref="CZ133:CZ196" si="150">$CZ$3</f>
        <v>264.34840059907702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14.100982431876503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14.100982431876503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-1.7053025658242404E-13</v>
      </c>
      <c r="DP133" s="17">
        <f>DO133*VLOOKUP('Données projet'!$B$14,Paramètres!$A$1:$I$89,3,0)*VLOOKUP('Données projet'!$B$14,Paramètres!$A$1:$I$89,5,0)</f>
        <v>-1.4631496014771985E-13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442.97490100035287</v>
      </c>
      <c r="DU133" s="59">
        <f t="shared" ref="DU133:DU196" si="152">$DU$3</f>
        <v>334.36243356457049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97.54278399909758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97.54278399909758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5.6843418860808015E-14</v>
      </c>
      <c r="EK133" s="17">
        <f>EJ133*VLOOKUP('Données projet'!$B$15,Paramètres!$A$1:$I$89,3,0)*VLOOKUP('Données projet'!$B$15,Paramètres!$A$1:$I$89,5,0)</f>
        <v>4.4337866711430253E-14</v>
      </c>
      <c r="EL133" s="13">
        <f t="shared" ref="EL133:EL153" si="153">EXP(-1.0587+0.8836*LN(EK133)+0.284)</f>
        <v>7.3222115536967035E-13</v>
      </c>
      <c r="EM133" s="20">
        <f t="shared" si="127"/>
        <v>1.3525069634579169E-12</v>
      </c>
      <c r="EN133" s="59">
        <f t="shared" si="128"/>
        <v>293.33333333333468</v>
      </c>
      <c r="EO133" s="59">
        <f ca="1">AVERAGE(OFFSET($EN$3,0,0,'Données projet'!$E$15+1,1))-AVERAGE(OFFSET($H$3,0,0,'Données projet'!$E$15+1,1))</f>
        <v>288.82868507674738</v>
      </c>
      <c r="EP133" s="59">
        <f t="shared" ref="EP133:EP196" si="154">$EP$3</f>
        <v>283.48738729114024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24.685071890314955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24.685071890314955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328.55201074501201</v>
      </c>
      <c r="FK133" s="59">
        <f t="shared" ref="FK133:FK196" si="156">$FK$3</f>
        <v>321.81422611044985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35.655980618788305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35.655980618788305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353.37024194969638</v>
      </c>
      <c r="GF133" s="59">
        <f t="shared" ref="GF133:GF196" si="158">$GF$3</f>
        <v>345.4750813433123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47.688330337746038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47.688330337746038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1.2710188457276673E-13</v>
      </c>
      <c r="P134" s="13">
        <f t="shared" si="141"/>
        <v>1.856866851063998E-12</v>
      </c>
      <c r="Q134" s="20">
        <f t="shared" si="108"/>
        <v>3.4554122145673649E-12</v>
      </c>
      <c r="R134" s="59">
        <f t="shared" si="109"/>
        <v>293.33333333333678</v>
      </c>
      <c r="S134" s="59">
        <f ca="1">AVERAGE(OFFSET($R$3,0,0,'Données projet'!$E$9+1,1))-AVERAGE(OFFSET($H$3,0,0,'Données projet'!$E$9+1,1))</f>
        <v>404.65492118472037</v>
      </c>
      <c r="T134" s="59">
        <f t="shared" si="142"/>
        <v>534.22295841722166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61.137451141934093</v>
      </c>
      <c r="AA134" s="21">
        <f>EXP(-LN(2)/25)*AA133+(1-EXP(-LN(2)/25))/(LN(2)/25)*Calculateur!V134*Calculateur!X134*VLOOKUP('Données projet'!$B$9,Paramètres!$A$1:$I$89,3,0)*0.475*44/12</f>
        <v>8.6926677048740402</v>
      </c>
      <c r="AB134" s="21">
        <f>EXP(-LN(2)/2)*AB133+(1-EXP(-LN(2)/2))/(LN(2)/2)*V134*Y134*VLOOKUP('Données projet'!$B$9,Paramètres!$A$1:$I$89,3,0)*0.475*44/12</f>
        <v>1.0810796649033938E-10</v>
      </c>
      <c r="AC134" s="22">
        <f t="shared" si="111"/>
        <v>69.830118846916235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-7.9808160080574461E-14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331.17634116262298</v>
      </c>
      <c r="AO134" s="59">
        <f t="shared" si="144"/>
        <v>286.28916368940605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88.92717609272016</v>
      </c>
      <c r="AV134" s="21">
        <f>EXP(-LN(2)/25)*AV133+(1-EXP(-LN(2)/25))/(LN(2)/25)*Calculateur!AQ134*Calculateur!AS134*VLOOKUP('Données projet'!$B$10,Paramètres!$A$1:$I$89,3,0)*0.475*44/12</f>
        <v>24.894004451887078</v>
      </c>
      <c r="AW134" s="21">
        <f>EXP(-LN(2)/2)*AW133+(1-EXP(-LN(2)/2))/(LN(2)/2)*AQ134*AT134*VLOOKUP('Données projet'!$B$10,Paramètres!$A$1:$I$89,3,0)*0.475*44/12</f>
        <v>5.3559453768549283E-4</v>
      </c>
      <c r="AX134" s="21">
        <f t="shared" si="114"/>
        <v>113.82171613914493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1.4210854715202004E-13</v>
      </c>
      <c r="BE134" s="13">
        <f>BD134*VLOOKUP('Données projet'!$B$11,Paramètres!$A$1:$I$89,3,0)*VLOOKUP('Données projet'!$B$11,Paramètres!$A$1:$I$89,5,0)</f>
        <v>7.7591266745002952E-14</v>
      </c>
      <c r="BF134" s="13">
        <f t="shared" si="145"/>
        <v>1.2005788606873384E-12</v>
      </c>
      <c r="BG134" s="20">
        <f t="shared" si="115"/>
        <v>2.226146305277994E-12</v>
      </c>
      <c r="BH134" s="59">
        <f t="shared" si="116"/>
        <v>293.33333333333553</v>
      </c>
      <c r="BI134" s="59">
        <f ca="1">AVERAGE(OFFSET($BH$3,0,0,'Données projet'!$E$11+1,1))-AVERAGE(OFFSET($H$3,0,0,'Données projet'!$E$11+1,1))</f>
        <v>165.87377022031535</v>
      </c>
      <c r="BJ134" s="59">
        <f t="shared" si="146"/>
        <v>272.91122662088929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18.54389217586365</v>
      </c>
      <c r="BQ134" s="21">
        <f>EXP(-LN(2)/25)*BQ133+(1-EXP(-LN(2)/25))/(LN(2)/25)*Calculateur!BL134*Calculateur!BN134*VLOOKUP('Données projet'!$B$11,Paramètres!$A$1:$I$89,3,0)*0.475*44/12</f>
        <v>3.0953006415181483</v>
      </c>
      <c r="BR134" s="21">
        <f>EXP(-LN(2)/2)*BR133+(1-EXP(-LN(2)/2))/(LN(2)/2)*BL134*BO134*VLOOKUP('Données projet'!$B$11,Paramètres!$A$1:$I$89,3,0)*0.475*44/12</f>
        <v>5.1780857226147275E-13</v>
      </c>
      <c r="BS134" s="22">
        <f t="shared" si="117"/>
        <v>21.639192817382316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9.7580000000000044</v>
      </c>
      <c r="BY134" s="12">
        <f>IF('Données projet'!$A$114&gt;35,BY133+BX134-CG133,IF(A134&lt;'Données projet'!$A$114,$BV$205^A134,IF(A134='Données projet'!$A$114,'Données projet'!$B$114,BY133+BX134-CG133)))</f>
        <v>490.14799999999991</v>
      </c>
      <c r="BZ134" s="13">
        <f>BY134*VLOOKUP('Données projet'!$B$12,Paramètres!$A$1:$I$89,3,0)*VLOOKUP('Données projet'!$B$12,Paramètres!$A$1:$I$89,5,0)</f>
        <v>443.48591039999997</v>
      </c>
      <c r="CA134" s="13">
        <f t="shared" si="147"/>
        <v>100.53912005068649</v>
      </c>
      <c r="CB134" s="20">
        <f t="shared" si="118"/>
        <v>947.51026136827886</v>
      </c>
      <c r="CC134" s="59">
        <f t="shared" si="119"/>
        <v>1240.8435947016121</v>
      </c>
      <c r="CD134" s="59">
        <f ca="1">AVERAGE(OFFSET($CC$3,0,0,'Données projet'!$E$12+1,1))-AVERAGE(OFFSET($H$3,0,0,'Données projet'!$E$12+1,1))</f>
        <v>639.86968831634636</v>
      </c>
      <c r="CE134" s="59">
        <f t="shared" si="148"/>
        <v>218.1556771431184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50.476532141633164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50.476532141633164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9.9316821433603781E-14</v>
      </c>
      <c r="CV134" s="13">
        <f t="shared" si="149"/>
        <v>1.4932118279712753E-12</v>
      </c>
      <c r="CW134" s="20">
        <f t="shared" si="121"/>
        <v>2.7736540643801645E-12</v>
      </c>
      <c r="CX134" s="59">
        <f t="shared" si="122"/>
        <v>293.3333333333361</v>
      </c>
      <c r="CY134" s="59">
        <f ca="1">AVERAGE(OFFSET($CX$3,0,0,'Données projet'!$E$13+1,1))-AVERAGE(OFFSET($H$3,0,0,'Données projet'!$E$13+1,1))</f>
        <v>218.76600554860482</v>
      </c>
      <c r="CZ134" s="59">
        <f t="shared" si="150"/>
        <v>264.34840059907702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13.824470767137434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13.824470767137434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-1.7053025658242404E-13</v>
      </c>
      <c r="DP134" s="17">
        <f>DO134*VLOOKUP('Données projet'!$B$14,Paramètres!$A$1:$I$89,3,0)*VLOOKUP('Données projet'!$B$14,Paramètres!$A$1:$I$89,5,0)</f>
        <v>-1.4631496014771985E-13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442.97490100035287</v>
      </c>
      <c r="DU134" s="59">
        <f t="shared" si="152"/>
        <v>334.36243356457049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95.630029500098857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95.630029500098857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5.6843418860808015E-14</v>
      </c>
      <c r="EK134" s="17">
        <f>EJ134*VLOOKUP('Données projet'!$B$15,Paramètres!$A$1:$I$89,3,0)*VLOOKUP('Données projet'!$B$15,Paramètres!$A$1:$I$89,5,0)</f>
        <v>4.4337866711430253E-14</v>
      </c>
      <c r="EL134" s="13">
        <f t="shared" si="153"/>
        <v>7.3222115536967035E-13</v>
      </c>
      <c r="EM134" s="20">
        <f t="shared" si="127"/>
        <v>1.3525069634579169E-12</v>
      </c>
      <c r="EN134" s="59">
        <f t="shared" si="128"/>
        <v>293.33333333333468</v>
      </c>
      <c r="EO134" s="59">
        <f ca="1">AVERAGE(OFFSET($EN$3,0,0,'Données projet'!$E$15+1,1))-AVERAGE(OFFSET($H$3,0,0,'Données projet'!$E$15+1,1))</f>
        <v>288.82868507674738</v>
      </c>
      <c r="EP134" s="59">
        <f t="shared" si="154"/>
        <v>283.48738729114024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24.201012686953035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24.201012686953035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328.55201074501201</v>
      </c>
      <c r="FK134" s="59">
        <f t="shared" si="156"/>
        <v>321.81422611044985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34.956788586854607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34.956788586854607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353.37024194969638</v>
      </c>
      <c r="GF134" s="59">
        <f t="shared" si="158"/>
        <v>345.4750813433123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46.753191266832239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46.753191266832239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1.2710188457276673E-13</v>
      </c>
      <c r="P135" s="13">
        <f t="shared" si="141"/>
        <v>1.856866851063998E-12</v>
      </c>
      <c r="Q135" s="20">
        <f t="shared" si="108"/>
        <v>3.4554122145673649E-12</v>
      </c>
      <c r="R135" s="59">
        <f t="shared" si="109"/>
        <v>293.33333333333678</v>
      </c>
      <c r="S135" s="59">
        <f ca="1">AVERAGE(OFFSET($R$3,0,0,'Données projet'!$E$9+1,1))-AVERAGE(OFFSET($H$3,0,0,'Données projet'!$E$9+1,1))</f>
        <v>404.65492118472037</v>
      </c>
      <c r="T135" s="59">
        <f t="shared" si="142"/>
        <v>534.22295841722166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59.938583015203868</v>
      </c>
      <c r="AA135" s="21">
        <f>EXP(-LN(2)/25)*AA134+(1-EXP(-LN(2)/25))/(LN(2)/25)*Calculateur!V135*Calculateur!X135*VLOOKUP('Données projet'!$B$9,Paramètres!$A$1:$I$89,3,0)*0.475*44/12</f>
        <v>8.4549662493567315</v>
      </c>
      <c r="AB135" s="21">
        <f>EXP(-LN(2)/2)*AB134+(1-EXP(-LN(2)/2))/(LN(2)/2)*V135*Y135*VLOOKUP('Données projet'!$B$9,Paramètres!$A$1:$I$89,3,0)*0.475*44/12</f>
        <v>7.6443876205607023E-11</v>
      </c>
      <c r="AC135" s="22">
        <f t="shared" si="111"/>
        <v>68.393549264637045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-7.9808160080574461E-14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331.17634116262298</v>
      </c>
      <c r="AO135" s="59">
        <f t="shared" si="144"/>
        <v>286.28916368940605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87.18336840976356</v>
      </c>
      <c r="AV135" s="21">
        <f>EXP(-LN(2)/25)*AV134+(1-EXP(-LN(2)/25))/(LN(2)/25)*Calculateur!AQ135*Calculateur!AS135*VLOOKUP('Données projet'!$B$10,Paramètres!$A$1:$I$89,3,0)*0.475*44/12</f>
        <v>24.213276591031427</v>
      </c>
      <c r="AW135" s="21">
        <f>EXP(-LN(2)/2)*AW134+(1-EXP(-LN(2)/2))/(LN(2)/2)*AQ135*AT135*VLOOKUP('Données projet'!$B$10,Paramètres!$A$1:$I$89,3,0)*0.475*44/12</f>
        <v>3.7872252956388586E-4</v>
      </c>
      <c r="AX135" s="21">
        <f t="shared" si="114"/>
        <v>111.39702372332455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1.4210854715202004E-13</v>
      </c>
      <c r="BE135" s="13">
        <f>BD135*VLOOKUP('Données projet'!$B$11,Paramètres!$A$1:$I$89,3,0)*VLOOKUP('Données projet'!$B$11,Paramètres!$A$1:$I$89,5,0)</f>
        <v>7.7591266745002952E-14</v>
      </c>
      <c r="BF135" s="13">
        <f t="shared" si="145"/>
        <v>1.2005788606873384E-12</v>
      </c>
      <c r="BG135" s="20">
        <f t="shared" si="115"/>
        <v>2.226146305277994E-12</v>
      </c>
      <c r="BH135" s="59">
        <f t="shared" si="116"/>
        <v>293.33333333333553</v>
      </c>
      <c r="BI135" s="59">
        <f ca="1">AVERAGE(OFFSET($BH$3,0,0,'Données projet'!$E$11+1,1))-AVERAGE(OFFSET($H$3,0,0,'Données projet'!$E$11+1,1))</f>
        <v>165.87377022031535</v>
      </c>
      <c r="BJ135" s="59">
        <f t="shared" si="146"/>
        <v>272.91122662088929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18.180257760952358</v>
      </c>
      <c r="BQ135" s="21">
        <f>EXP(-LN(2)/25)*BQ134+(1-EXP(-LN(2)/25))/(LN(2)/25)*Calculateur!BL135*Calculateur!BN135*VLOOKUP('Données projet'!$B$11,Paramètres!$A$1:$I$89,3,0)*0.475*44/12</f>
        <v>3.0106594827010484</v>
      </c>
      <c r="BR135" s="21">
        <f>EXP(-LN(2)/2)*BR134+(1-EXP(-LN(2)/2))/(LN(2)/2)*BL135*BO135*VLOOKUP('Données projet'!$B$11,Paramètres!$A$1:$I$89,3,0)*0.475*44/12</f>
        <v>3.6614595280261181E-13</v>
      </c>
      <c r="BS135" s="22">
        <f t="shared" si="117"/>
        <v>21.190917243653772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9.7580000000000044</v>
      </c>
      <c r="BY135" s="12">
        <f>IF('Données projet'!$A$114&gt;35,BY134+BX135-CG134,IF(A135&lt;'Données projet'!$A$114,$BV$205^A135,IF(A135='Données projet'!$A$114,'Données projet'!$B$114,BY134+BX135-CG134)))</f>
        <v>499.90599999999989</v>
      </c>
      <c r="BZ135" s="13">
        <f>BY135*VLOOKUP('Données projet'!$B$12,Paramètres!$A$1:$I$89,3,0)*VLOOKUP('Données projet'!$B$12,Paramètres!$A$1:$I$89,5,0)</f>
        <v>452.31494879999991</v>
      </c>
      <c r="CA135" s="13">
        <f t="shared" si="147"/>
        <v>102.30566449121451</v>
      </c>
      <c r="CB135" s="20">
        <f t="shared" si="118"/>
        <v>965.96423481553177</v>
      </c>
      <c r="CC135" s="59">
        <f t="shared" si="119"/>
        <v>1259.2975681488651</v>
      </c>
      <c r="CD135" s="59">
        <f ca="1">AVERAGE(OFFSET($CC$3,0,0,'Données projet'!$E$12+1,1))-AVERAGE(OFFSET($H$3,0,0,'Données projet'!$E$12+1,1))</f>
        <v>639.86968831634636</v>
      </c>
      <c r="CE135" s="59">
        <f t="shared" si="148"/>
        <v>218.1556771431184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49.486718133980318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49.486718133980318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9.9316821433603781E-14</v>
      </c>
      <c r="CV135" s="13">
        <f t="shared" si="149"/>
        <v>1.4932118279712753E-12</v>
      </c>
      <c r="CW135" s="20">
        <f t="shared" si="121"/>
        <v>2.7736540643801645E-12</v>
      </c>
      <c r="CX135" s="59">
        <f t="shared" si="122"/>
        <v>293.3333333333361</v>
      </c>
      <c r="CY135" s="59">
        <f ca="1">AVERAGE(OFFSET($CX$3,0,0,'Données projet'!$E$13+1,1))-AVERAGE(OFFSET($H$3,0,0,'Données projet'!$E$13+1,1))</f>
        <v>218.76600554860482</v>
      </c>
      <c r="CZ135" s="59">
        <f t="shared" si="150"/>
        <v>264.34840059907702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13.553381327488436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13.553381327488436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-1.7053025658242404E-13</v>
      </c>
      <c r="DP135" s="17">
        <f>DO135*VLOOKUP('Données projet'!$B$14,Paramètres!$A$1:$I$89,3,0)*VLOOKUP('Données projet'!$B$14,Paramètres!$A$1:$I$89,5,0)</f>
        <v>-1.4631496014771985E-13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442.97490100035287</v>
      </c>
      <c r="DU135" s="59">
        <f t="shared" si="152"/>
        <v>334.36243356457049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93.754782950160447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93.754782950160447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5.6843418860808015E-14</v>
      </c>
      <c r="EK135" s="17">
        <f>EJ135*VLOOKUP('Données projet'!$B$15,Paramètres!$A$1:$I$89,3,0)*VLOOKUP('Données projet'!$B$15,Paramètres!$A$1:$I$89,5,0)</f>
        <v>4.4337866711430253E-14</v>
      </c>
      <c r="EL135" s="13">
        <f t="shared" si="153"/>
        <v>7.3222115536967035E-13</v>
      </c>
      <c r="EM135" s="20">
        <f t="shared" si="127"/>
        <v>1.3525069634579169E-12</v>
      </c>
      <c r="EN135" s="59">
        <f t="shared" si="128"/>
        <v>293.33333333333468</v>
      </c>
      <c r="EO135" s="59">
        <f ca="1">AVERAGE(OFFSET($EN$3,0,0,'Données projet'!$E$15+1,1))-AVERAGE(OFFSET($H$3,0,0,'Données projet'!$E$15+1,1))</f>
        <v>288.82868507674738</v>
      </c>
      <c r="EP135" s="59">
        <f t="shared" si="154"/>
        <v>283.48738729114024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23.726445589322083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23.726445589322083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328.55201074501201</v>
      </c>
      <c r="FK135" s="59">
        <f t="shared" si="156"/>
        <v>321.81422611044985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34.271307284202102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34.271307284202102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353.37024194969638</v>
      </c>
      <c r="GF135" s="59">
        <f t="shared" si="158"/>
        <v>345.4750813433123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45.836389702720545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45.836389702720545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1.2710188457276673E-13</v>
      </c>
      <c r="P136" s="13">
        <f t="shared" si="141"/>
        <v>1.856866851063998E-12</v>
      </c>
      <c r="Q136" s="20">
        <f t="shared" si="108"/>
        <v>3.4554122145673649E-12</v>
      </c>
      <c r="R136" s="59">
        <f t="shared" si="109"/>
        <v>293.33333333333678</v>
      </c>
      <c r="S136" s="59">
        <f ca="1">AVERAGE(OFFSET($R$3,0,0,'Données projet'!$E$9+1,1))-AVERAGE(OFFSET($H$3,0,0,'Données projet'!$E$9+1,1))</f>
        <v>404.65492118472037</v>
      </c>
      <c r="T136" s="59">
        <f t="shared" si="142"/>
        <v>534.22295841722166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58.763223961201469</v>
      </c>
      <c r="AA136" s="21">
        <f>EXP(-LN(2)/25)*AA135+(1-EXP(-LN(2)/25))/(LN(2)/25)*Calculateur!V136*Calculateur!X136*VLOOKUP('Données projet'!$B$9,Paramètres!$A$1:$I$89,3,0)*0.475*44/12</f>
        <v>8.2237647526407205</v>
      </c>
      <c r="AB136" s="21">
        <f>EXP(-LN(2)/2)*AB135+(1-EXP(-LN(2)/2))/(LN(2)/2)*V136*Y136*VLOOKUP('Données projet'!$B$9,Paramètres!$A$1:$I$89,3,0)*0.475*44/12</f>
        <v>5.4053983245169692E-11</v>
      </c>
      <c r="AC136" s="22">
        <f t="shared" si="111"/>
        <v>66.986988713896253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-7.9808160080574461E-14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331.17634116262298</v>
      </c>
      <c r="AO136" s="59">
        <f t="shared" si="144"/>
        <v>286.28916368940605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85.473755731852066</v>
      </c>
      <c r="AV136" s="21">
        <f>EXP(-LN(2)/25)*AV135+(1-EXP(-LN(2)/25))/(LN(2)/25)*Calculateur!AQ136*Calculateur!AS136*VLOOKUP('Données projet'!$B$10,Paramètres!$A$1:$I$89,3,0)*0.475*44/12</f>
        <v>23.551163269328796</v>
      </c>
      <c r="AW136" s="21">
        <f>EXP(-LN(2)/2)*AW135+(1-EXP(-LN(2)/2))/(LN(2)/2)*AQ136*AT136*VLOOKUP('Données projet'!$B$10,Paramètres!$A$1:$I$89,3,0)*0.475*44/12</f>
        <v>2.6779726884274642E-4</v>
      </c>
      <c r="AX136" s="21">
        <f t="shared" si="114"/>
        <v>109.02518679844971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1.4210854715202004E-13</v>
      </c>
      <c r="BE136" s="13">
        <f>BD136*VLOOKUP('Données projet'!$B$11,Paramètres!$A$1:$I$89,3,0)*VLOOKUP('Données projet'!$B$11,Paramètres!$A$1:$I$89,5,0)</f>
        <v>7.7591266745002952E-14</v>
      </c>
      <c r="BF136" s="13">
        <f t="shared" si="145"/>
        <v>1.2005788606873384E-12</v>
      </c>
      <c r="BG136" s="20">
        <f t="shared" si="115"/>
        <v>2.226146305277994E-12</v>
      </c>
      <c r="BH136" s="59">
        <f t="shared" si="116"/>
        <v>293.33333333333553</v>
      </c>
      <c r="BI136" s="59">
        <f ca="1">AVERAGE(OFFSET($BH$3,0,0,'Données projet'!$E$11+1,1))-AVERAGE(OFFSET($H$3,0,0,'Données projet'!$E$11+1,1))</f>
        <v>165.87377022031535</v>
      </c>
      <c r="BJ136" s="59">
        <f t="shared" si="146"/>
        <v>272.91122662088929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17.823753995122381</v>
      </c>
      <c r="BQ136" s="21">
        <f>EXP(-LN(2)/25)*BQ135+(1-EXP(-LN(2)/25))/(LN(2)/25)*Calculateur!BL136*Calculateur!BN136*VLOOKUP('Données projet'!$B$11,Paramètres!$A$1:$I$89,3,0)*0.475*44/12</f>
        <v>2.928332840822887</v>
      </c>
      <c r="BR136" s="21">
        <f>EXP(-LN(2)/2)*BR135+(1-EXP(-LN(2)/2))/(LN(2)/2)*BL136*BO136*VLOOKUP('Données projet'!$B$11,Paramètres!$A$1:$I$89,3,0)*0.475*44/12</f>
        <v>2.5890428613073638E-13</v>
      </c>
      <c r="BS136" s="22">
        <f t="shared" si="117"/>
        <v>20.752086835945526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9.7580000000000044</v>
      </c>
      <c r="BY136" s="12">
        <f>IF('Données projet'!$A$114&gt;35,BY135+BX136-CG135,IF(A136&lt;'Données projet'!$A$114,$BV$205^A136,IF(A136='Données projet'!$A$114,'Données projet'!$B$114,BY135+BX136-CG135)))</f>
        <v>509.66399999999987</v>
      </c>
      <c r="BZ136" s="13">
        <f>BY136*VLOOKUP('Données projet'!$B$12,Paramètres!$A$1:$I$89,3,0)*VLOOKUP('Données projet'!$B$12,Paramètres!$A$1:$I$89,5,0)</f>
        <v>461.14398719999986</v>
      </c>
      <c r="CA136" s="13">
        <f t="shared" si="147"/>
        <v>104.06819947176997</v>
      </c>
      <c r="CB136" s="20">
        <f t="shared" si="118"/>
        <v>984.41122511999913</v>
      </c>
      <c r="CC136" s="59">
        <f t="shared" si="119"/>
        <v>1277.7445584533325</v>
      </c>
      <c r="CD136" s="59">
        <f ca="1">AVERAGE(OFFSET($CC$3,0,0,'Données projet'!$E$12+1,1))-AVERAGE(OFFSET($H$3,0,0,'Données projet'!$E$12+1,1))</f>
        <v>639.86968831634636</v>
      </c>
      <c r="CE136" s="59">
        <f t="shared" si="148"/>
        <v>218.1556771431184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48.516313775290612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48.516313775290612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9.9316821433603781E-14</v>
      </c>
      <c r="CV136" s="13">
        <f t="shared" si="149"/>
        <v>1.4932118279712753E-12</v>
      </c>
      <c r="CW136" s="20">
        <f t="shared" si="121"/>
        <v>2.7736540643801645E-12</v>
      </c>
      <c r="CX136" s="59">
        <f t="shared" si="122"/>
        <v>293.3333333333361</v>
      </c>
      <c r="CY136" s="59">
        <f ca="1">AVERAGE(OFFSET($CX$3,0,0,'Données projet'!$E$13+1,1))-AVERAGE(OFFSET($H$3,0,0,'Données projet'!$E$13+1,1))</f>
        <v>218.76600554860482</v>
      </c>
      <c r="CZ136" s="59">
        <f t="shared" si="150"/>
        <v>264.34840059907702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13.287607786402724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13.287607786402724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-1.7053025658242404E-13</v>
      </c>
      <c r="DP136" s="17">
        <f>DO136*VLOOKUP('Données projet'!$B$14,Paramètres!$A$1:$I$89,3,0)*VLOOKUP('Données projet'!$B$14,Paramètres!$A$1:$I$89,5,0)</f>
        <v>-1.4631496014771985E-13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442.97490100035287</v>
      </c>
      <c r="DU136" s="59">
        <f t="shared" si="152"/>
        <v>334.36243356457049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91.916308841278877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91.916308841278877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5.6843418860808015E-14</v>
      </c>
      <c r="EK136" s="17">
        <f>EJ136*VLOOKUP('Données projet'!$B$15,Paramètres!$A$1:$I$89,3,0)*VLOOKUP('Données projet'!$B$15,Paramètres!$A$1:$I$89,5,0)</f>
        <v>4.4337866711430253E-14</v>
      </c>
      <c r="EL136" s="13">
        <f t="shared" si="153"/>
        <v>7.3222115536967035E-13</v>
      </c>
      <c r="EM136" s="20">
        <f t="shared" si="127"/>
        <v>1.3525069634579169E-12</v>
      </c>
      <c r="EN136" s="59">
        <f t="shared" si="128"/>
        <v>293.33333333333468</v>
      </c>
      <c r="EO136" s="59">
        <f ca="1">AVERAGE(OFFSET($EN$3,0,0,'Données projet'!$E$15+1,1))-AVERAGE(OFFSET($H$3,0,0,'Données projet'!$E$15+1,1))</f>
        <v>288.82868507674738</v>
      </c>
      <c r="EP136" s="59">
        <f t="shared" si="154"/>
        <v>283.48738729114024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23.261184463018324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23.261184463018324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328.55201074501201</v>
      </c>
      <c r="FK136" s="59">
        <f t="shared" si="156"/>
        <v>321.81422611044985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33.599267851792298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33.599267851792298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353.37024194969638</v>
      </c>
      <c r="GF136" s="59">
        <f t="shared" si="158"/>
        <v>345.4750813433123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44.937566058087349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44.937566058087349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1.2710188457276673E-13</v>
      </c>
      <c r="P137" s="13">
        <f t="shared" si="141"/>
        <v>1.856866851063998E-12</v>
      </c>
      <c r="Q137" s="20">
        <f t="shared" si="108"/>
        <v>3.4554122145673649E-12</v>
      </c>
      <c r="R137" s="59">
        <f t="shared" si="109"/>
        <v>293.33333333333678</v>
      </c>
      <c r="S137" s="59">
        <f ca="1">AVERAGE(OFFSET($R$3,0,0,'Données projet'!$E$9+1,1))-AVERAGE(OFFSET($H$3,0,0,'Données projet'!$E$9+1,1))</f>
        <v>404.65492118472037</v>
      </c>
      <c r="T137" s="59">
        <f t="shared" si="142"/>
        <v>534.22295841722166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57.61091298134982</v>
      </c>
      <c r="AA137" s="21">
        <f>EXP(-LN(2)/25)*AA136+(1-EXP(-LN(2)/25))/(LN(2)/25)*Calculateur!V137*Calculateur!X137*VLOOKUP('Données projet'!$B$9,Paramètres!$A$1:$I$89,3,0)*0.475*44/12</f>
        <v>7.998885473010767</v>
      </c>
      <c r="AB137" s="21">
        <f>EXP(-LN(2)/2)*AB136+(1-EXP(-LN(2)/2))/(LN(2)/2)*V137*Y137*VLOOKUP('Données projet'!$B$9,Paramètres!$A$1:$I$89,3,0)*0.475*44/12</f>
        <v>3.8221938102803511E-11</v>
      </c>
      <c r="AC137" s="22">
        <f t="shared" si="111"/>
        <v>65.609798454398813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-7.9808160080574461E-14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331.17634116262298</v>
      </c>
      <c r="AO137" s="59">
        <f t="shared" si="144"/>
        <v>286.28916368940605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83.797667515793648</v>
      </c>
      <c r="AV137" s="21">
        <f>EXP(-LN(2)/25)*AV136+(1-EXP(-LN(2)/25))/(LN(2)/25)*Calculateur!AQ137*Calculateur!AS137*VLOOKUP('Données projet'!$B$10,Paramètres!$A$1:$I$89,3,0)*0.475*44/12</f>
        <v>22.907155471227153</v>
      </c>
      <c r="AW137" s="21">
        <f>EXP(-LN(2)/2)*AW136+(1-EXP(-LN(2)/2))/(LN(2)/2)*AQ137*AT137*VLOOKUP('Données projet'!$B$10,Paramètres!$A$1:$I$89,3,0)*0.475*44/12</f>
        <v>1.8936126478194293E-4</v>
      </c>
      <c r="AX137" s="21">
        <f t="shared" si="114"/>
        <v>106.70501234828559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1.4210854715202004E-13</v>
      </c>
      <c r="BE137" s="13">
        <f>BD137*VLOOKUP('Données projet'!$B$11,Paramètres!$A$1:$I$89,3,0)*VLOOKUP('Données projet'!$B$11,Paramètres!$A$1:$I$89,5,0)</f>
        <v>7.7591266745002952E-14</v>
      </c>
      <c r="BF137" s="13">
        <f t="shared" si="145"/>
        <v>1.2005788606873384E-12</v>
      </c>
      <c r="BG137" s="20">
        <f t="shared" si="115"/>
        <v>2.226146305277994E-12</v>
      </c>
      <c r="BH137" s="59">
        <f t="shared" si="116"/>
        <v>293.33333333333553</v>
      </c>
      <c r="BI137" s="59">
        <f ca="1">AVERAGE(OFFSET($BH$3,0,0,'Données projet'!$E$11+1,1))-AVERAGE(OFFSET($H$3,0,0,'Données projet'!$E$11+1,1))</f>
        <v>165.87377022031535</v>
      </c>
      <c r="BJ137" s="59">
        <f t="shared" si="146"/>
        <v>272.91122662088929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17.474241050694506</v>
      </c>
      <c r="BQ137" s="21">
        <f>EXP(-LN(2)/25)*BQ136+(1-EXP(-LN(2)/25))/(LN(2)/25)*Calculateur!BL137*Calculateur!BN137*VLOOKUP('Données projet'!$B$11,Paramètres!$A$1:$I$89,3,0)*0.475*44/12</f>
        <v>2.848257425296254</v>
      </c>
      <c r="BR137" s="21">
        <f>EXP(-LN(2)/2)*BR136+(1-EXP(-LN(2)/2))/(LN(2)/2)*BL137*BO137*VLOOKUP('Données projet'!$B$11,Paramètres!$A$1:$I$89,3,0)*0.475*44/12</f>
        <v>1.830729764013059E-13</v>
      </c>
      <c r="BS137" s="22">
        <f t="shared" si="117"/>
        <v>20.322498475990944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9.7580000000000044</v>
      </c>
      <c r="BY137" s="12">
        <f>IF('Données projet'!$A$114&gt;35,BY136+BX137-CG136,IF(A137&lt;'Données projet'!$A$114,$BV$205^A137,IF(A137='Données projet'!$A$114,'Données projet'!$B$114,BY136+BX137-CG136)))</f>
        <v>519.42199999999991</v>
      </c>
      <c r="BZ137" s="13">
        <f>BY137*VLOOKUP('Données projet'!$B$12,Paramètres!$A$1:$I$89,3,0)*VLOOKUP('Données projet'!$B$12,Paramètres!$A$1:$I$89,5,0)</f>
        <v>469.97302559999986</v>
      </c>
      <c r="CA137" s="13">
        <f t="shared" si="147"/>
        <v>105.82681060782481</v>
      </c>
      <c r="CB137" s="20">
        <f t="shared" si="118"/>
        <v>1002.8513813952947</v>
      </c>
      <c r="CC137" s="59">
        <f t="shared" si="119"/>
        <v>1296.184714728628</v>
      </c>
      <c r="CD137" s="59">
        <f ca="1">AVERAGE(OFFSET($CC$3,0,0,'Données projet'!$E$12+1,1))-AVERAGE(OFFSET($H$3,0,0,'Données projet'!$E$12+1,1))</f>
        <v>639.86968831634636</v>
      </c>
      <c r="CE137" s="59">
        <f t="shared" si="148"/>
        <v>218.1556771431184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47.564938454186596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47.564938454186596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9.9316821433603781E-14</v>
      </c>
      <c r="CV137" s="13">
        <f t="shared" si="149"/>
        <v>1.4932118279712753E-12</v>
      </c>
      <c r="CW137" s="20">
        <f t="shared" si="121"/>
        <v>2.7736540643801645E-12</v>
      </c>
      <c r="CX137" s="59">
        <f t="shared" si="122"/>
        <v>293.3333333333361</v>
      </c>
      <c r="CY137" s="59">
        <f ca="1">AVERAGE(OFFSET($CX$3,0,0,'Données projet'!$E$13+1,1))-AVERAGE(OFFSET($H$3,0,0,'Données projet'!$E$13+1,1))</f>
        <v>218.76600554860482</v>
      </c>
      <c r="CZ137" s="59">
        <f t="shared" si="150"/>
        <v>264.34840059907702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13.027045902351849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13.027045902351849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-1.7053025658242404E-13</v>
      </c>
      <c r="DP137" s="17">
        <f>DO137*VLOOKUP('Données projet'!$B$14,Paramètres!$A$1:$I$89,3,0)*VLOOKUP('Données projet'!$B$14,Paramètres!$A$1:$I$89,5,0)</f>
        <v>-1.4631496014771985E-13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442.97490100035287</v>
      </c>
      <c r="DU137" s="59">
        <f t="shared" si="152"/>
        <v>334.36243356457049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90.11388608831399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90.11388608831399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5.6843418860808015E-14</v>
      </c>
      <c r="EK137" s="17">
        <f>EJ137*VLOOKUP('Données projet'!$B$15,Paramètres!$A$1:$I$89,3,0)*VLOOKUP('Données projet'!$B$15,Paramètres!$A$1:$I$89,5,0)</f>
        <v>4.4337866711430253E-14</v>
      </c>
      <c r="EL137" s="13">
        <f t="shared" si="153"/>
        <v>7.3222115536967035E-13</v>
      </c>
      <c r="EM137" s="20">
        <f t="shared" si="127"/>
        <v>1.3525069634579169E-12</v>
      </c>
      <c r="EN137" s="59">
        <f t="shared" si="128"/>
        <v>293.33333333333468</v>
      </c>
      <c r="EO137" s="59">
        <f ca="1">AVERAGE(OFFSET($EN$3,0,0,'Données projet'!$E$15+1,1))-AVERAGE(OFFSET($H$3,0,0,'Données projet'!$E$15+1,1))</f>
        <v>288.82868507674738</v>
      </c>
      <c r="EP137" s="59">
        <f t="shared" si="154"/>
        <v>283.48738729114024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22.805046823620117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22.805046823620117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328.55201074501201</v>
      </c>
      <c r="FK137" s="59">
        <f t="shared" si="156"/>
        <v>321.81422611044985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32.940406702748476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32.940406702748476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353.37024194969638</v>
      </c>
      <c r="GF137" s="59">
        <f t="shared" si="158"/>
        <v>345.4750813433123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44.056367796897113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44.056367796897113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1.2710188457276673E-13</v>
      </c>
      <c r="P138" s="13">
        <f t="shared" si="141"/>
        <v>1.856866851063998E-12</v>
      </c>
      <c r="Q138" s="20">
        <f t="shared" si="108"/>
        <v>3.4554122145673649E-12</v>
      </c>
      <c r="R138" s="59">
        <f t="shared" si="109"/>
        <v>293.33333333333678</v>
      </c>
      <c r="S138" s="59">
        <f ca="1">AVERAGE(OFFSET($R$3,0,0,'Données projet'!$E$9+1,1))-AVERAGE(OFFSET($H$3,0,0,'Données projet'!$E$9+1,1))</f>
        <v>404.65492118472037</v>
      </c>
      <c r="T138" s="59">
        <f t="shared" si="142"/>
        <v>534.22295841722166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56.481198116972763</v>
      </c>
      <c r="AA138" s="21">
        <f>EXP(-LN(2)/25)*AA137+(1-EXP(-LN(2)/25))/(LN(2)/25)*Calculateur!V138*Calculateur!X138*VLOOKUP('Données projet'!$B$9,Paramètres!$A$1:$I$89,3,0)*0.475*44/12</f>
        <v>7.7801555291081819</v>
      </c>
      <c r="AB138" s="21">
        <f>EXP(-LN(2)/2)*AB137+(1-EXP(-LN(2)/2))/(LN(2)/2)*V138*Y138*VLOOKUP('Données projet'!$B$9,Paramètres!$A$1:$I$89,3,0)*0.475*44/12</f>
        <v>2.7026991622584846E-11</v>
      </c>
      <c r="AC138" s="22">
        <f t="shared" si="111"/>
        <v>64.261353646107978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-7.9808160080574461E-14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331.17634116262298</v>
      </c>
      <c r="AO138" s="59">
        <f t="shared" si="144"/>
        <v>286.28916368940605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82.154446367339276</v>
      </c>
      <c r="AV138" s="21">
        <f>EXP(-LN(2)/25)*AV137+(1-EXP(-LN(2)/25))/(LN(2)/25)*Calculateur!AQ138*Calculateur!AS138*VLOOKUP('Données projet'!$B$10,Paramètres!$A$1:$I$89,3,0)*0.475*44/12</f>
        <v>22.280758100231495</v>
      </c>
      <c r="AW138" s="21">
        <f>EXP(-LN(2)/2)*AW137+(1-EXP(-LN(2)/2))/(LN(2)/2)*AQ138*AT138*VLOOKUP('Données projet'!$B$10,Paramètres!$A$1:$I$89,3,0)*0.475*44/12</f>
        <v>1.3389863442137321E-4</v>
      </c>
      <c r="AX138" s="21">
        <f t="shared" si="114"/>
        <v>104.43533836620519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1.4210854715202004E-13</v>
      </c>
      <c r="BE138" s="13">
        <f>BD138*VLOOKUP('Données projet'!$B$11,Paramètres!$A$1:$I$89,3,0)*VLOOKUP('Données projet'!$B$11,Paramètres!$A$1:$I$89,5,0)</f>
        <v>7.7591266745002952E-14</v>
      </c>
      <c r="BF138" s="13">
        <f t="shared" si="145"/>
        <v>1.2005788606873384E-12</v>
      </c>
      <c r="BG138" s="20">
        <f t="shared" si="115"/>
        <v>2.226146305277994E-12</v>
      </c>
      <c r="BH138" s="59">
        <f t="shared" si="116"/>
        <v>293.33333333333553</v>
      </c>
      <c r="BI138" s="59">
        <f ca="1">AVERAGE(OFFSET($BH$3,0,0,'Données projet'!$E$11+1,1))-AVERAGE(OFFSET($H$3,0,0,'Données projet'!$E$11+1,1))</f>
        <v>165.87377022031535</v>
      </c>
      <c r="BJ138" s="59">
        <f t="shared" si="146"/>
        <v>272.91122662088929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17.131581841925016</v>
      </c>
      <c r="BQ138" s="21">
        <f>EXP(-LN(2)/25)*BQ137+(1-EXP(-LN(2)/25))/(LN(2)/25)*Calculateur!BL138*Calculateur!BN138*VLOOKUP('Données projet'!$B$11,Paramètres!$A$1:$I$89,3,0)*0.475*44/12</f>
        <v>2.7703716762181796</v>
      </c>
      <c r="BR138" s="21">
        <f>EXP(-LN(2)/2)*BR137+(1-EXP(-LN(2)/2))/(LN(2)/2)*BL138*BO138*VLOOKUP('Données projet'!$B$11,Paramètres!$A$1:$I$89,3,0)*0.475*44/12</f>
        <v>1.2945214306536819E-13</v>
      </c>
      <c r="BS138" s="22">
        <f t="shared" si="117"/>
        <v>19.901953518143323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9.7580000000000044</v>
      </c>
      <c r="BY138" s="12">
        <f>IF('Données projet'!$A$114&gt;35,BY137+BX138-CG137,IF(A138&lt;'Données projet'!$A$114,$BV$205^A138,IF(A138='Données projet'!$A$114,'Données projet'!$B$114,BY137+BX138-CG137)))</f>
        <v>529.17999999999995</v>
      </c>
      <c r="BZ138" s="13">
        <f>BY138*VLOOKUP('Données projet'!$B$12,Paramètres!$A$1:$I$89,3,0)*VLOOKUP('Données projet'!$B$12,Paramètres!$A$1:$I$89,5,0)</f>
        <v>478.80206399999992</v>
      </c>
      <c r="CA138" s="13">
        <f t="shared" si="147"/>
        <v>107.58158011396365</v>
      </c>
      <c r="CB138" s="20">
        <f t="shared" si="118"/>
        <v>1021.2848468318198</v>
      </c>
      <c r="CC138" s="59">
        <f t="shared" si="119"/>
        <v>1314.618180165153</v>
      </c>
      <c r="CD138" s="59">
        <f ca="1">AVERAGE(OFFSET($CC$3,0,0,'Données projet'!$E$12+1,1))-AVERAGE(OFFSET($H$3,0,0,'Données projet'!$E$12+1,1))</f>
        <v>639.86968831634636</v>
      </c>
      <c r="CE138" s="59">
        <f t="shared" si="148"/>
        <v>218.1556771431184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46.632219022847778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46.632219022847778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9.9316821433603781E-14</v>
      </c>
      <c r="CV138" s="13">
        <f t="shared" si="149"/>
        <v>1.4932118279712753E-12</v>
      </c>
      <c r="CW138" s="20">
        <f t="shared" si="121"/>
        <v>2.7736540643801645E-12</v>
      </c>
      <c r="CX138" s="59">
        <f t="shared" si="122"/>
        <v>293.3333333333361</v>
      </c>
      <c r="CY138" s="59">
        <f ca="1">AVERAGE(OFFSET($CX$3,0,0,'Données projet'!$E$13+1,1))-AVERAGE(OFFSET($H$3,0,0,'Données projet'!$E$13+1,1))</f>
        <v>218.76600554860482</v>
      </c>
      <c r="CZ138" s="59">
        <f t="shared" si="150"/>
        <v>264.34840059907702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12.771593477920156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12.771593477920156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-1.7053025658242404E-13</v>
      </c>
      <c r="DP138" s="17">
        <f>DO138*VLOOKUP('Données projet'!$B$14,Paramètres!$A$1:$I$89,3,0)*VLOOKUP('Données projet'!$B$14,Paramètres!$A$1:$I$89,5,0)</f>
        <v>-1.4631496014771985E-13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442.97490100035287</v>
      </c>
      <c r="DU138" s="59">
        <f t="shared" si="152"/>
        <v>334.36243356457049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88.346807746165425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88.346807746165425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5.6843418860808015E-14</v>
      </c>
      <c r="EK138" s="17">
        <f>EJ138*VLOOKUP('Données projet'!$B$15,Paramètres!$A$1:$I$89,3,0)*VLOOKUP('Données projet'!$B$15,Paramètres!$A$1:$I$89,5,0)</f>
        <v>4.4337866711430253E-14</v>
      </c>
      <c r="EL138" s="13">
        <f t="shared" si="153"/>
        <v>7.3222115536967035E-13</v>
      </c>
      <c r="EM138" s="20">
        <f t="shared" si="127"/>
        <v>1.3525069634579169E-12</v>
      </c>
      <c r="EN138" s="59">
        <f t="shared" si="128"/>
        <v>293.33333333333468</v>
      </c>
      <c r="EO138" s="59">
        <f ca="1">AVERAGE(OFFSET($EN$3,0,0,'Données projet'!$E$15+1,1))-AVERAGE(OFFSET($H$3,0,0,'Données projet'!$E$15+1,1))</f>
        <v>288.82868507674738</v>
      </c>
      <c r="EP138" s="59">
        <f t="shared" si="154"/>
        <v>283.48738729114024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22.357853765114019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22.357853765114019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328.55201074501201</v>
      </c>
      <c r="FK138" s="59">
        <f t="shared" si="156"/>
        <v>321.81422611044985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32.294465418971782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32.294465418971782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353.37024194969638</v>
      </c>
      <c r="GF138" s="59">
        <f t="shared" si="158"/>
        <v>345.4750813433123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43.192449296130953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43.192449296130953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1.2710188457276673E-13</v>
      </c>
      <c r="P139" s="13">
        <f t="shared" si="141"/>
        <v>1.856866851063998E-12</v>
      </c>
      <c r="Q139" s="20">
        <f t="shared" si="108"/>
        <v>3.4554122145673649E-12</v>
      </c>
      <c r="R139" s="59">
        <f t="shared" si="109"/>
        <v>293.33333333333678</v>
      </c>
      <c r="S139" s="59">
        <f ca="1">AVERAGE(OFFSET($R$3,0,0,'Données projet'!$E$9+1,1))-AVERAGE(OFFSET($H$3,0,0,'Données projet'!$E$9+1,1))</f>
        <v>404.65492118472037</v>
      </c>
      <c r="T139" s="59">
        <f t="shared" si="142"/>
        <v>534.22295841722166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55.373636272028108</v>
      </c>
      <c r="AA139" s="21">
        <f>EXP(-LN(2)/25)*AA138+(1-EXP(-LN(2)/25))/(LN(2)/25)*Calculateur!V139*Calculateur!X139*VLOOKUP('Données projet'!$B$9,Paramètres!$A$1:$I$89,3,0)*0.475*44/12</f>
        <v>7.5674067670241207</v>
      </c>
      <c r="AB139" s="21">
        <f>EXP(-LN(2)/2)*AB138+(1-EXP(-LN(2)/2))/(LN(2)/2)*V139*Y139*VLOOKUP('Données projet'!$B$9,Paramètres!$A$1:$I$89,3,0)*0.475*44/12</f>
        <v>1.9110969051401756E-11</v>
      </c>
      <c r="AC139" s="22">
        <f t="shared" si="111"/>
        <v>62.941043039071346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-7.9808160080574461E-14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331.17634116262298</v>
      </c>
      <c r="AO139" s="59">
        <f t="shared" si="144"/>
        <v>286.28916368940605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80.543447783340156</v>
      </c>
      <c r="AV139" s="21">
        <f>EXP(-LN(2)/25)*AV138+(1-EXP(-LN(2)/25))/(LN(2)/25)*Calculateur!AQ139*Calculateur!AS139*VLOOKUP('Données projet'!$B$10,Paramètres!$A$1:$I$89,3,0)*0.475*44/12</f>
        <v>21.67148959828652</v>
      </c>
      <c r="AW139" s="21">
        <f>EXP(-LN(2)/2)*AW138+(1-EXP(-LN(2)/2))/(LN(2)/2)*AQ139*AT139*VLOOKUP('Données projet'!$B$10,Paramètres!$A$1:$I$89,3,0)*0.475*44/12</f>
        <v>9.4680632390971466E-5</v>
      </c>
      <c r="AX139" s="21">
        <f t="shared" si="114"/>
        <v>102.21503206225906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1.4210854715202004E-13</v>
      </c>
      <c r="BE139" s="13">
        <f>BD139*VLOOKUP('Données projet'!$B$11,Paramètres!$A$1:$I$89,3,0)*VLOOKUP('Données projet'!$B$11,Paramètres!$A$1:$I$89,5,0)</f>
        <v>7.7591266745002952E-14</v>
      </c>
      <c r="BF139" s="13">
        <f t="shared" si="145"/>
        <v>1.2005788606873384E-12</v>
      </c>
      <c r="BG139" s="20">
        <f t="shared" si="115"/>
        <v>2.226146305277994E-12</v>
      </c>
      <c r="BH139" s="59">
        <f t="shared" si="116"/>
        <v>293.33333333333553</v>
      </c>
      <c r="BI139" s="59">
        <f ca="1">AVERAGE(OFFSET($BH$3,0,0,'Données projet'!$E$11+1,1))-AVERAGE(OFFSET($H$3,0,0,'Données projet'!$E$11+1,1))</f>
        <v>165.87377022031535</v>
      </c>
      <c r="BJ139" s="59">
        <f t="shared" si="146"/>
        <v>272.91122662088929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16.795641971238013</v>
      </c>
      <c r="BQ139" s="21">
        <f>EXP(-LN(2)/25)*BQ138+(1-EXP(-LN(2)/25))/(LN(2)/25)*Calculateur!BL139*Calculateur!BN139*VLOOKUP('Données projet'!$B$11,Paramètres!$A$1:$I$89,3,0)*0.475*44/12</f>
        <v>2.6946157170444787</v>
      </c>
      <c r="BR139" s="21">
        <f>EXP(-LN(2)/2)*BR138+(1-EXP(-LN(2)/2))/(LN(2)/2)*BL139*BO139*VLOOKUP('Données projet'!$B$11,Paramètres!$A$1:$I$89,3,0)*0.475*44/12</f>
        <v>9.1536488200652951E-14</v>
      </c>
      <c r="BS139" s="22">
        <f t="shared" si="117"/>
        <v>19.490257688282583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9.7580000000000044</v>
      </c>
      <c r="BY139" s="12">
        <f>IF('Données projet'!$A$114&gt;35,BY138+BX139-CG138,IF(A139&lt;'Données projet'!$A$114,$BV$205^A139,IF(A139='Données projet'!$A$114,'Données projet'!$B$114,BY138+BX139-CG138)))</f>
        <v>538.93799999999999</v>
      </c>
      <c r="BZ139" s="13">
        <f>BY139*VLOOKUP('Données projet'!$B$12,Paramètres!$A$1:$I$89,3,0)*VLOOKUP('Données projet'!$B$12,Paramètres!$A$1:$I$89,5,0)</f>
        <v>487.63110239999997</v>
      </c>
      <c r="CA139" s="13">
        <f t="shared" si="147"/>
        <v>109.33258699915334</v>
      </c>
      <c r="CB139" s="20">
        <f t="shared" si="118"/>
        <v>1039.7117590368587</v>
      </c>
      <c r="CC139" s="59">
        <f t="shared" si="119"/>
        <v>1333.0450923701919</v>
      </c>
      <c r="CD139" s="59">
        <f ca="1">AVERAGE(OFFSET($CC$3,0,0,'Données projet'!$E$12+1,1))-AVERAGE(OFFSET($H$3,0,0,'Données projet'!$E$12+1,1))</f>
        <v>639.86968831634636</v>
      </c>
      <c r="CE139" s="59">
        <f t="shared" si="148"/>
        <v>218.1556771431184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45.717789650654836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45.717789650654836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9.9316821433603781E-14</v>
      </c>
      <c r="CV139" s="13">
        <f t="shared" si="149"/>
        <v>1.4932118279712753E-12</v>
      </c>
      <c r="CW139" s="20">
        <f t="shared" si="121"/>
        <v>2.7736540643801645E-12</v>
      </c>
      <c r="CX139" s="59">
        <f t="shared" si="122"/>
        <v>293.3333333333361</v>
      </c>
      <c r="CY139" s="59">
        <f ca="1">AVERAGE(OFFSET($CX$3,0,0,'Données projet'!$E$13+1,1))-AVERAGE(OFFSET($H$3,0,0,'Données projet'!$E$13+1,1))</f>
        <v>218.76600554860482</v>
      </c>
      <c r="CZ139" s="59">
        <f t="shared" si="150"/>
        <v>264.34840059907702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12.521150319720974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12.521150319720974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-1.7053025658242404E-13</v>
      </c>
      <c r="DP139" s="17">
        <f>DO139*VLOOKUP('Données projet'!$B$14,Paramètres!$A$1:$I$89,3,0)*VLOOKUP('Données projet'!$B$14,Paramètres!$A$1:$I$89,5,0)</f>
        <v>-1.4631496014771985E-13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442.97490100035287</v>
      </c>
      <c r="DU139" s="59">
        <f t="shared" si="152"/>
        <v>334.36243356457049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86.614380732495022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86.614380732495022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5.6843418860808015E-14</v>
      </c>
      <c r="EK139" s="17">
        <f>EJ139*VLOOKUP('Données projet'!$B$15,Paramètres!$A$1:$I$89,3,0)*VLOOKUP('Données projet'!$B$15,Paramètres!$A$1:$I$89,5,0)</f>
        <v>4.4337866711430253E-14</v>
      </c>
      <c r="EL139" s="13">
        <f t="shared" si="153"/>
        <v>7.3222115536967035E-13</v>
      </c>
      <c r="EM139" s="20">
        <f t="shared" si="127"/>
        <v>1.3525069634579169E-12</v>
      </c>
      <c r="EN139" s="59">
        <f t="shared" si="128"/>
        <v>293.33333333333468</v>
      </c>
      <c r="EO139" s="59">
        <f ca="1">AVERAGE(OFFSET($EN$3,0,0,'Données projet'!$E$15+1,1))-AVERAGE(OFFSET($H$3,0,0,'Données projet'!$E$15+1,1))</f>
        <v>288.82868507674738</v>
      </c>
      <c r="EP139" s="59">
        <f t="shared" si="154"/>
        <v>283.48738729114024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21.919429889724395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21.919429889724395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328.55201074501201</v>
      </c>
      <c r="FK139" s="59">
        <f t="shared" si="156"/>
        <v>321.81422611044985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31.661190649784668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31.661190649784668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353.37024194969638</v>
      </c>
      <c r="GF139" s="59">
        <f t="shared" si="158"/>
        <v>345.4750813433123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42.345471710226562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42.345471710226562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1.2710188457276673E-13</v>
      </c>
      <c r="P140" s="13">
        <f t="shared" si="141"/>
        <v>1.856866851063998E-12</v>
      </c>
      <c r="Q140" s="20">
        <f t="shared" si="108"/>
        <v>3.4554122145673649E-12</v>
      </c>
      <c r="R140" s="59">
        <f t="shared" si="109"/>
        <v>293.33333333333678</v>
      </c>
      <c r="S140" s="59">
        <f ca="1">AVERAGE(OFFSET($R$3,0,0,'Données projet'!$E$9+1,1))-AVERAGE(OFFSET($H$3,0,0,'Données projet'!$E$9+1,1))</f>
        <v>404.65492118472037</v>
      </c>
      <c r="T140" s="59">
        <f t="shared" si="142"/>
        <v>534.22295841722166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54.287793039316803</v>
      </c>
      <c r="AA140" s="21">
        <f>EXP(-LN(2)/25)*AA139+(1-EXP(-LN(2)/25))/(LN(2)/25)*Calculateur!V140*Calculateur!X140*VLOOKUP('Données projet'!$B$9,Paramètres!$A$1:$I$89,3,0)*0.475*44/12</f>
        <v>7.3604756310272199</v>
      </c>
      <c r="AB140" s="21">
        <f>EXP(-LN(2)/2)*AB139+(1-EXP(-LN(2)/2))/(LN(2)/2)*V140*Y140*VLOOKUP('Données projet'!$B$9,Paramètres!$A$1:$I$89,3,0)*0.475*44/12</f>
        <v>1.3513495811292423E-11</v>
      </c>
      <c r="AC140" s="22">
        <f t="shared" si="111"/>
        <v>61.648268670357538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-7.9808160080574461E-14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331.17634116262298</v>
      </c>
      <c r="AO140" s="59">
        <f t="shared" si="144"/>
        <v>286.28916368940605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78.964039898961147</v>
      </c>
      <c r="AV140" s="21">
        <f>EXP(-LN(2)/25)*AV139+(1-EXP(-LN(2)/25))/(LN(2)/25)*Calculateur!AQ140*Calculateur!AS140*VLOOKUP('Données projet'!$B$10,Paramètres!$A$1:$I$89,3,0)*0.475*44/12</f>
        <v>21.078881575567269</v>
      </c>
      <c r="AW140" s="21">
        <f>EXP(-LN(2)/2)*AW139+(1-EXP(-LN(2)/2))/(LN(2)/2)*AQ140*AT140*VLOOKUP('Données projet'!$B$10,Paramètres!$A$1:$I$89,3,0)*0.475*44/12</f>
        <v>6.6949317210686604E-5</v>
      </c>
      <c r="AX140" s="21">
        <f t="shared" si="114"/>
        <v>100.04298842384563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1.4210854715202004E-13</v>
      </c>
      <c r="BE140" s="13">
        <f>BD140*VLOOKUP('Données projet'!$B$11,Paramètres!$A$1:$I$89,3,0)*VLOOKUP('Données projet'!$B$11,Paramètres!$A$1:$I$89,5,0)</f>
        <v>7.7591266745002952E-14</v>
      </c>
      <c r="BF140" s="13">
        <f t="shared" si="145"/>
        <v>1.2005788606873384E-12</v>
      </c>
      <c r="BG140" s="20">
        <f t="shared" si="115"/>
        <v>2.226146305277994E-12</v>
      </c>
      <c r="BH140" s="59">
        <f t="shared" si="116"/>
        <v>293.33333333333553</v>
      </c>
      <c r="BI140" s="59">
        <f ca="1">AVERAGE(OFFSET($BH$3,0,0,'Données projet'!$E$11+1,1))-AVERAGE(OFFSET($H$3,0,0,'Données projet'!$E$11+1,1))</f>
        <v>165.87377022031535</v>
      </c>
      <c r="BJ140" s="59">
        <f t="shared" si="146"/>
        <v>272.91122662088929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16.466289676512094</v>
      </c>
      <c r="BQ140" s="21">
        <f>EXP(-LN(2)/25)*BQ139+(1-EXP(-LN(2)/25))/(LN(2)/25)*Calculateur!BL140*Calculateur!BN140*VLOOKUP('Données projet'!$B$11,Paramètres!$A$1:$I$89,3,0)*0.475*44/12</f>
        <v>2.6209313085582155</v>
      </c>
      <c r="BR140" s="21">
        <f>EXP(-LN(2)/2)*BR139+(1-EXP(-LN(2)/2))/(LN(2)/2)*BL140*BO140*VLOOKUP('Données projet'!$B$11,Paramètres!$A$1:$I$89,3,0)*0.475*44/12</f>
        <v>6.4726071532684094E-14</v>
      </c>
      <c r="BS140" s="22">
        <f t="shared" si="117"/>
        <v>19.087220985070374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9.7580000000000044</v>
      </c>
      <c r="BY140" s="12">
        <f>IF('Données projet'!$A$114&gt;35,BY139+BX140-CG139,IF(A140&lt;'Données projet'!$A$114,$BV$205^A140,IF(A140='Données projet'!$A$114,'Données projet'!$B$114,BY139+BX140-CG139)))</f>
        <v>548.69600000000003</v>
      </c>
      <c r="BZ140" s="13">
        <f>BY140*VLOOKUP('Données projet'!$B$12,Paramètres!$A$1:$I$89,3,0)*VLOOKUP('Données projet'!$B$12,Paramètres!$A$1:$I$89,5,0)</f>
        <v>496.46014079999998</v>
      </c>
      <c r="CA140" s="13">
        <f t="shared" si="147"/>
        <v>111.07990724747054</v>
      </c>
      <c r="CB140" s="20">
        <f t="shared" si="118"/>
        <v>1058.1322503493443</v>
      </c>
      <c r="CC140" s="59">
        <f t="shared" si="119"/>
        <v>1351.4655836826776</v>
      </c>
      <c r="CD140" s="59">
        <f ca="1">AVERAGE(OFFSET($CC$3,0,0,'Données projet'!$E$12+1,1))-AVERAGE(OFFSET($H$3,0,0,'Données projet'!$E$12+1,1))</f>
        <v>639.86968831634636</v>
      </c>
      <c r="CE140" s="59">
        <f t="shared" si="148"/>
        <v>218.1556771431184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44.821291680703759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44.821291680703759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9.9316821433603781E-14</v>
      </c>
      <c r="CV140" s="13">
        <f t="shared" si="149"/>
        <v>1.4932118279712753E-12</v>
      </c>
      <c r="CW140" s="20">
        <f t="shared" si="121"/>
        <v>2.7736540643801645E-12</v>
      </c>
      <c r="CX140" s="59">
        <f t="shared" si="122"/>
        <v>293.3333333333361</v>
      </c>
      <c r="CY140" s="59">
        <f ca="1">AVERAGE(OFFSET($CX$3,0,0,'Données projet'!$E$13+1,1))-AVERAGE(OFFSET($H$3,0,0,'Données projet'!$E$13+1,1))</f>
        <v>218.76600554860482</v>
      </c>
      <c r="CZ140" s="59">
        <f t="shared" si="150"/>
        <v>264.34840059907702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12.275618199098835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12.275618199098835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-1.7053025658242404E-13</v>
      </c>
      <c r="DP140" s="17">
        <f>DO140*VLOOKUP('Données projet'!$B$14,Paramètres!$A$1:$I$89,3,0)*VLOOKUP('Données projet'!$B$14,Paramètres!$A$1:$I$89,5,0)</f>
        <v>-1.4631496014771985E-13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442.97490100035287</v>
      </c>
      <c r="DU140" s="59">
        <f t="shared" si="152"/>
        <v>334.36243356457049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84.91592555588656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84.91592555588656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5.6843418860808015E-14</v>
      </c>
      <c r="EK140" s="17">
        <f>EJ140*VLOOKUP('Données projet'!$B$15,Paramètres!$A$1:$I$89,3,0)*VLOOKUP('Données projet'!$B$15,Paramètres!$A$1:$I$89,5,0)</f>
        <v>4.4337866711430253E-14</v>
      </c>
      <c r="EL140" s="13">
        <f t="shared" si="153"/>
        <v>7.3222115536967035E-13</v>
      </c>
      <c r="EM140" s="20">
        <f t="shared" si="127"/>
        <v>1.3525069634579169E-12</v>
      </c>
      <c r="EN140" s="59">
        <f t="shared" si="128"/>
        <v>293.33333333333468</v>
      </c>
      <c r="EO140" s="59">
        <f ca="1">AVERAGE(OFFSET($EN$3,0,0,'Données projet'!$E$15+1,1))-AVERAGE(OFFSET($H$3,0,0,'Données projet'!$E$15+1,1))</f>
        <v>288.82868507674738</v>
      </c>
      <c r="EP140" s="59">
        <f t="shared" si="154"/>
        <v>283.48738729114024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21.489603239118999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21.489603239118999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328.55201074501201</v>
      </c>
      <c r="FK140" s="59">
        <f t="shared" si="156"/>
        <v>321.81422611044985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31.040334012561843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31.040334012561843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353.37024194969638</v>
      </c>
      <c r="GF140" s="59">
        <f t="shared" si="158"/>
        <v>345.4750813433123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41.515102838176439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41.515102838176439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1.2710188457276673E-13</v>
      </c>
      <c r="P141" s="13">
        <f t="shared" si="141"/>
        <v>1.856866851063998E-12</v>
      </c>
      <c r="Q141" s="20">
        <f t="shared" si="108"/>
        <v>3.4554122145673649E-12</v>
      </c>
      <c r="R141" s="59">
        <f t="shared" si="109"/>
        <v>293.33333333333678</v>
      </c>
      <c r="S141" s="59">
        <f ca="1">AVERAGE(OFFSET($R$3,0,0,'Données projet'!$E$9+1,1))-AVERAGE(OFFSET($H$3,0,0,'Données projet'!$E$9+1,1))</f>
        <v>404.65492118472037</v>
      </c>
      <c r="T141" s="59">
        <f t="shared" si="142"/>
        <v>534.22295841722166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53.223242530099988</v>
      </c>
      <c r="AA141" s="21">
        <f>EXP(-LN(2)/25)*AA140+(1-EXP(-LN(2)/25))/(LN(2)/25)*Calculateur!V141*Calculateur!X141*VLOOKUP('Données projet'!$B$9,Paramètres!$A$1:$I$89,3,0)*0.475*44/12</f>
        <v>7.1592030378261899</v>
      </c>
      <c r="AB141" s="21">
        <f>EXP(-LN(2)/2)*AB140+(1-EXP(-LN(2)/2))/(LN(2)/2)*V141*Y141*VLOOKUP('Données projet'!$B$9,Paramètres!$A$1:$I$89,3,0)*0.475*44/12</f>
        <v>9.5554845257008778E-12</v>
      </c>
      <c r="AC141" s="22">
        <f t="shared" si="111"/>
        <v>60.382445567935733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-7.9808160080574461E-14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331.17634116262298</v>
      </c>
      <c r="AO141" s="59">
        <f t="shared" si="144"/>
        <v>286.28916368940605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77.415603239851123</v>
      </c>
      <c r="AV141" s="21">
        <f>EXP(-LN(2)/25)*AV140+(1-EXP(-LN(2)/25))/(LN(2)/25)*Calculateur!AQ141*Calculateur!AS141*VLOOKUP('Données projet'!$B$10,Paramètres!$A$1:$I$89,3,0)*0.475*44/12</f>
        <v>20.502478450393177</v>
      </c>
      <c r="AW141" s="21">
        <f>EXP(-LN(2)/2)*AW140+(1-EXP(-LN(2)/2))/(LN(2)/2)*AQ141*AT141*VLOOKUP('Données projet'!$B$10,Paramètres!$A$1:$I$89,3,0)*0.475*44/12</f>
        <v>4.7340316195485733E-5</v>
      </c>
      <c r="AX141" s="21">
        <f t="shared" si="114"/>
        <v>97.918129030560493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1.4210854715202004E-13</v>
      </c>
      <c r="BE141" s="13">
        <f>BD141*VLOOKUP('Données projet'!$B$11,Paramètres!$A$1:$I$89,3,0)*VLOOKUP('Données projet'!$B$11,Paramètres!$A$1:$I$89,5,0)</f>
        <v>7.7591266745002952E-14</v>
      </c>
      <c r="BF141" s="13">
        <f t="shared" si="145"/>
        <v>1.2005788606873384E-12</v>
      </c>
      <c r="BG141" s="20">
        <f t="shared" si="115"/>
        <v>2.226146305277994E-12</v>
      </c>
      <c r="BH141" s="59">
        <f t="shared" si="116"/>
        <v>293.33333333333553</v>
      </c>
      <c r="BI141" s="59">
        <f ca="1">AVERAGE(OFFSET($BH$3,0,0,'Données projet'!$E$11+1,1))-AVERAGE(OFFSET($H$3,0,0,'Données projet'!$E$11+1,1))</f>
        <v>165.87377022031535</v>
      </c>
      <c r="BJ141" s="59">
        <f t="shared" si="146"/>
        <v>272.91122662088929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16.143395779400688</v>
      </c>
      <c r="BQ141" s="21">
        <f>EXP(-LN(2)/25)*BQ140+(1-EXP(-LN(2)/25))/(LN(2)/25)*Calculateur!BL141*Calculateur!BN141*VLOOKUP('Données projet'!$B$11,Paramètres!$A$1:$I$89,3,0)*0.475*44/12</f>
        <v>2.5492618040969037</v>
      </c>
      <c r="BR141" s="21">
        <f>EXP(-LN(2)/2)*BR140+(1-EXP(-LN(2)/2))/(LN(2)/2)*BL141*BO141*VLOOKUP('Données projet'!$B$11,Paramètres!$A$1:$I$89,3,0)*0.475*44/12</f>
        <v>4.5768244100326476E-14</v>
      </c>
      <c r="BS141" s="22">
        <f t="shared" si="117"/>
        <v>18.692657583497638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9.7580000000000044</v>
      </c>
      <c r="BY141" s="12">
        <f>IF('Données projet'!$A$114&gt;35,BY140+BX141-CG140,IF(A141&lt;'Données projet'!$A$114,$BV$205^A141,IF(A141='Données projet'!$A$114,'Données projet'!$B$114,BY140+BX141-CG140)))</f>
        <v>558.45400000000006</v>
      </c>
      <c r="BZ141" s="13">
        <f>BY141*VLOOKUP('Données projet'!$B$12,Paramètres!$A$1:$I$89,3,0)*VLOOKUP('Données projet'!$B$12,Paramètres!$A$1:$I$89,5,0)</f>
        <v>505.28917920000004</v>
      </c>
      <c r="CA141" s="13">
        <f t="shared" si="147"/>
        <v>112.82361398560894</v>
      </c>
      <c r="CB141" s="20">
        <f t="shared" si="118"/>
        <v>1076.5464481316023</v>
      </c>
      <c r="CC141" s="59">
        <f t="shared" si="119"/>
        <v>1369.8797814649356</v>
      </c>
      <c r="CD141" s="59">
        <f ca="1">AVERAGE(OFFSET($CC$3,0,0,'Données projet'!$E$12+1,1))-AVERAGE(OFFSET($H$3,0,0,'Données projet'!$E$12+1,1))</f>
        <v>639.86968831634636</v>
      </c>
      <c r="CE141" s="59">
        <f t="shared" si="148"/>
        <v>218.1556771431184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43.942373489133651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43.942373489133651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9.9316821433603781E-14</v>
      </c>
      <c r="CV141" s="13">
        <f t="shared" si="149"/>
        <v>1.4932118279712753E-12</v>
      </c>
      <c r="CW141" s="20">
        <f t="shared" si="121"/>
        <v>2.7736540643801645E-12</v>
      </c>
      <c r="CX141" s="59">
        <f t="shared" si="122"/>
        <v>293.3333333333361</v>
      </c>
      <c r="CY141" s="59">
        <f ca="1">AVERAGE(OFFSET($CX$3,0,0,'Données projet'!$E$13+1,1))-AVERAGE(OFFSET($H$3,0,0,'Données projet'!$E$13+1,1))</f>
        <v>218.76600554860482</v>
      </c>
      <c r="CZ141" s="59">
        <f t="shared" si="150"/>
        <v>264.34840059907702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12.03490081360229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12.03490081360229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-1.7053025658242404E-13</v>
      </c>
      <c r="DP141" s="17">
        <f>DO141*VLOOKUP('Données projet'!$B$14,Paramètres!$A$1:$I$89,3,0)*VLOOKUP('Données projet'!$B$14,Paramètres!$A$1:$I$89,5,0)</f>
        <v>-1.4631496014771985E-13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442.97490100035287</v>
      </c>
      <c r="DU141" s="59">
        <f t="shared" si="152"/>
        <v>334.36243356457049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83.250776049336025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83.250776049336025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5.6843418860808015E-14</v>
      </c>
      <c r="EK141" s="17">
        <f>EJ141*VLOOKUP('Données projet'!$B$15,Paramètres!$A$1:$I$89,3,0)*VLOOKUP('Données projet'!$B$15,Paramètres!$A$1:$I$89,5,0)</f>
        <v>4.4337866711430253E-14</v>
      </c>
      <c r="EL141" s="13">
        <f t="shared" si="153"/>
        <v>7.3222115536967035E-13</v>
      </c>
      <c r="EM141" s="20">
        <f t="shared" si="127"/>
        <v>1.3525069634579169E-12</v>
      </c>
      <c r="EN141" s="59">
        <f t="shared" si="128"/>
        <v>293.33333333333468</v>
      </c>
      <c r="EO141" s="59">
        <f ca="1">AVERAGE(OFFSET($EN$3,0,0,'Données projet'!$E$15+1,1))-AVERAGE(OFFSET($H$3,0,0,'Données projet'!$E$15+1,1))</f>
        <v>288.82868507674738</v>
      </c>
      <c r="EP141" s="59">
        <f t="shared" si="154"/>
        <v>283.48738729114024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21.068205226963606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21.068205226963606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328.55201074501201</v>
      </c>
      <c r="FK141" s="59">
        <f t="shared" si="156"/>
        <v>321.81422611044985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30.431651995309799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30.431651995309799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353.37024194969638</v>
      </c>
      <c r="GF141" s="59">
        <f t="shared" si="158"/>
        <v>345.4750813433123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40.701016993232216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40.701016993232216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1.2710188457276673E-13</v>
      </c>
      <c r="P142" s="13">
        <f t="shared" si="141"/>
        <v>1.856866851063998E-12</v>
      </c>
      <c r="Q142" s="20">
        <f t="shared" si="108"/>
        <v>3.4554122145673649E-12</v>
      </c>
      <c r="R142" s="59">
        <f t="shared" si="109"/>
        <v>293.33333333333678</v>
      </c>
      <c r="S142" s="59">
        <f ca="1">AVERAGE(OFFSET($R$3,0,0,'Données projet'!$E$9+1,1))-AVERAGE(OFFSET($H$3,0,0,'Données projet'!$E$9+1,1))</f>
        <v>404.65492118472037</v>
      </c>
      <c r="T142" s="59">
        <f t="shared" si="142"/>
        <v>534.22295841722166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52.179567207057218</v>
      </c>
      <c r="AA142" s="21">
        <f>EXP(-LN(2)/25)*AA141+(1-EXP(-LN(2)/25))/(LN(2)/25)*Calculateur!V142*Calculateur!X142*VLOOKUP('Données projet'!$B$9,Paramètres!$A$1:$I$89,3,0)*0.475*44/12</f>
        <v>6.9634342542707079</v>
      </c>
      <c r="AB142" s="21">
        <f>EXP(-LN(2)/2)*AB141+(1-EXP(-LN(2)/2))/(LN(2)/2)*V142*Y142*VLOOKUP('Données projet'!$B$9,Paramètres!$A$1:$I$89,3,0)*0.475*44/12</f>
        <v>6.7567479056462115E-12</v>
      </c>
      <c r="AC142" s="22">
        <f t="shared" si="111"/>
        <v>59.143001461334684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-7.9808160080574461E-14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331.17634116262298</v>
      </c>
      <c r="AO142" s="59">
        <f t="shared" si="144"/>
        <v>286.28916368940605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75.897530479173142</v>
      </c>
      <c r="AV142" s="21">
        <f>EXP(-LN(2)/25)*AV141+(1-EXP(-LN(2)/25))/(LN(2)/25)*Calculateur!AQ142*Calculateur!AS142*VLOOKUP('Données projet'!$B$10,Paramètres!$A$1:$I$89,3,0)*0.475*44/12</f>
        <v>19.941837098988692</v>
      </c>
      <c r="AW142" s="21">
        <f>EXP(-LN(2)/2)*AW141+(1-EXP(-LN(2)/2))/(LN(2)/2)*AQ142*AT142*VLOOKUP('Données projet'!$B$10,Paramètres!$A$1:$I$89,3,0)*0.475*44/12</f>
        <v>3.3474658605343302E-5</v>
      </c>
      <c r="AX142" s="21">
        <f t="shared" si="114"/>
        <v>95.839401052820449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1.4210854715202004E-13</v>
      </c>
      <c r="BE142" s="13">
        <f>BD142*VLOOKUP('Données projet'!$B$11,Paramètres!$A$1:$I$89,3,0)*VLOOKUP('Données projet'!$B$11,Paramètres!$A$1:$I$89,5,0)</f>
        <v>7.7591266745002952E-14</v>
      </c>
      <c r="BF142" s="13">
        <f t="shared" si="145"/>
        <v>1.2005788606873384E-12</v>
      </c>
      <c r="BG142" s="20">
        <f t="shared" si="115"/>
        <v>2.226146305277994E-12</v>
      </c>
      <c r="BH142" s="59">
        <f t="shared" si="116"/>
        <v>293.33333333333553</v>
      </c>
      <c r="BI142" s="59">
        <f ca="1">AVERAGE(OFFSET($BH$3,0,0,'Données projet'!$E$11+1,1))-AVERAGE(OFFSET($H$3,0,0,'Données projet'!$E$11+1,1))</f>
        <v>165.87377022031535</v>
      </c>
      <c r="BJ142" s="59">
        <f t="shared" si="146"/>
        <v>272.91122662088929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15.826833634665805</v>
      </c>
      <c r="BQ142" s="21">
        <f>EXP(-LN(2)/25)*BQ141+(1-EXP(-LN(2)/25))/(LN(2)/25)*Calculateur!BL142*Calculateur!BN142*VLOOKUP('Données projet'!$B$11,Paramètres!$A$1:$I$89,3,0)*0.475*44/12</f>
        <v>2.479552106004022</v>
      </c>
      <c r="BR142" s="21">
        <f>EXP(-LN(2)/2)*BR141+(1-EXP(-LN(2)/2))/(LN(2)/2)*BL142*BO142*VLOOKUP('Données projet'!$B$11,Paramètres!$A$1:$I$89,3,0)*0.475*44/12</f>
        <v>3.2363035766342047E-14</v>
      </c>
      <c r="BS142" s="22">
        <f t="shared" si="117"/>
        <v>18.30638574066986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9.7580000000000044</v>
      </c>
      <c r="BY142" s="12">
        <f>IF('Données projet'!$A$114&gt;35,BY141+BX142-CG141,IF(A142&lt;'Données projet'!$A$114,$BV$205^A142,IF(A142='Données projet'!$A$114,'Données projet'!$B$114,BY141+BX142-CG141)))</f>
        <v>568.2120000000001</v>
      </c>
      <c r="BZ142" s="13">
        <f>BY142*VLOOKUP('Données projet'!$B$12,Paramètres!$A$1:$I$89,3,0)*VLOOKUP('Données projet'!$B$12,Paramètres!$A$1:$I$89,5,0)</f>
        <v>514.11821760000009</v>
      </c>
      <c r="CA142" s="13">
        <f t="shared" si="147"/>
        <v>114.56377763834736</v>
      </c>
      <c r="CB142" s="20">
        <f t="shared" si="118"/>
        <v>1094.9544750401217</v>
      </c>
      <c r="CC142" s="59">
        <f t="shared" si="119"/>
        <v>1388.2878083734549</v>
      </c>
      <c r="CD142" s="59">
        <f ca="1">AVERAGE(OFFSET($CC$3,0,0,'Données projet'!$E$12+1,1))-AVERAGE(OFFSET($H$3,0,0,'Données projet'!$E$12+1,1))</f>
        <v>639.86968831634636</v>
      </c>
      <c r="CE142" s="59">
        <f t="shared" si="148"/>
        <v>218.1556771431184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43.080690347213071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43.080690347213071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9.9316821433603781E-14</v>
      </c>
      <c r="CV142" s="13">
        <f t="shared" si="149"/>
        <v>1.4932118279712753E-12</v>
      </c>
      <c r="CW142" s="20">
        <f t="shared" si="121"/>
        <v>2.7736540643801645E-12</v>
      </c>
      <c r="CX142" s="59">
        <f t="shared" si="122"/>
        <v>293.3333333333361</v>
      </c>
      <c r="CY142" s="59">
        <f ca="1">AVERAGE(OFFSET($CX$3,0,0,'Données projet'!$E$13+1,1))-AVERAGE(OFFSET($H$3,0,0,'Données projet'!$E$13+1,1))</f>
        <v>218.76600554860482</v>
      </c>
      <c r="CZ142" s="59">
        <f t="shared" si="150"/>
        <v>264.34840059907702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11.798903749212224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11.798903749212224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-1.7053025658242404E-13</v>
      </c>
      <c r="DP142" s="17">
        <f>DO142*VLOOKUP('Données projet'!$B$14,Paramètres!$A$1:$I$89,3,0)*VLOOKUP('Données projet'!$B$14,Paramètres!$A$1:$I$89,5,0)</f>
        <v>-1.4631496014771985E-13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442.97490100035287</v>
      </c>
      <c r="DU142" s="59">
        <f t="shared" si="152"/>
        <v>334.36243356457049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81.618279108968025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81.618279108968025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5.6843418860808015E-14</v>
      </c>
      <c r="EK142" s="17">
        <f>EJ142*VLOOKUP('Données projet'!$B$15,Paramètres!$A$1:$I$89,3,0)*VLOOKUP('Données projet'!$B$15,Paramètres!$A$1:$I$89,5,0)</f>
        <v>4.4337866711430253E-14</v>
      </c>
      <c r="EL142" s="13">
        <f t="shared" si="153"/>
        <v>7.3222115536967035E-13</v>
      </c>
      <c r="EM142" s="20">
        <f t="shared" si="127"/>
        <v>1.3525069634579169E-12</v>
      </c>
      <c r="EN142" s="59">
        <f t="shared" si="128"/>
        <v>293.33333333333468</v>
      </c>
      <c r="EO142" s="59">
        <f ca="1">AVERAGE(OFFSET($EN$3,0,0,'Données projet'!$E$15+1,1))-AVERAGE(OFFSET($H$3,0,0,'Données projet'!$E$15+1,1))</f>
        <v>288.82868507674738</v>
      </c>
      <c r="EP142" s="59">
        <f t="shared" si="154"/>
        <v>283.48738729114024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20.655070572799172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20.655070572799172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328.55201074501201</v>
      </c>
      <c r="FK142" s="59">
        <f t="shared" si="156"/>
        <v>321.81422611044985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29.834905861156699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29.834905861156699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353.37024194969638</v>
      </c>
      <c r="GF142" s="59">
        <f t="shared" si="158"/>
        <v>345.4750813433123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39.902894875164016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39.902894875164016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1.2710188457276673E-13</v>
      </c>
      <c r="P143" s="13">
        <f t="shared" si="141"/>
        <v>1.856866851063998E-12</v>
      </c>
      <c r="Q143" s="20">
        <f t="shared" si="108"/>
        <v>3.4554122145673649E-12</v>
      </c>
      <c r="R143" s="59">
        <f t="shared" si="109"/>
        <v>293.33333333333678</v>
      </c>
      <c r="S143" s="59">
        <f ca="1">AVERAGE(OFFSET($R$3,0,0,'Données projet'!$E$9+1,1))-AVERAGE(OFFSET($H$3,0,0,'Données projet'!$E$9+1,1))</f>
        <v>404.65492118472037</v>
      </c>
      <c r="T143" s="59">
        <f t="shared" si="142"/>
        <v>534.22295841722166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51.156357720520226</v>
      </c>
      <c r="AA143" s="21">
        <f>EXP(-LN(2)/25)*AA142+(1-EXP(-LN(2)/25))/(LN(2)/25)*Calculateur!V143*Calculateur!X143*VLOOKUP('Données projet'!$B$9,Paramètres!$A$1:$I$89,3,0)*0.475*44/12</f>
        <v>6.7730187783965832</v>
      </c>
      <c r="AB143" s="21">
        <f>EXP(-LN(2)/2)*AB142+(1-EXP(-LN(2)/2))/(LN(2)/2)*V143*Y143*VLOOKUP('Données projet'!$B$9,Paramètres!$A$1:$I$89,3,0)*0.475*44/12</f>
        <v>4.7777422628504389E-12</v>
      </c>
      <c r="AC143" s="22">
        <f t="shared" si="111"/>
        <v>57.929376498921584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-7.9808160080574461E-14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331.17634116262298</v>
      </c>
      <c r="AO143" s="59">
        <f t="shared" si="144"/>
        <v>286.28916368940605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74.4092261993991</v>
      </c>
      <c r="AV143" s="21">
        <f>EXP(-LN(2)/25)*AV142+(1-EXP(-LN(2)/25))/(LN(2)/25)*Calculateur!AQ143*Calculateur!AS143*VLOOKUP('Données projet'!$B$10,Paramètres!$A$1:$I$89,3,0)*0.475*44/12</f>
        <v>19.396526514821211</v>
      </c>
      <c r="AW143" s="21">
        <f>EXP(-LN(2)/2)*AW142+(1-EXP(-LN(2)/2))/(LN(2)/2)*AQ143*AT143*VLOOKUP('Données projet'!$B$10,Paramètres!$A$1:$I$89,3,0)*0.475*44/12</f>
        <v>2.3670158097742866E-5</v>
      </c>
      <c r="AX143" s="21">
        <f t="shared" si="114"/>
        <v>93.805776384378419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1.4210854715202004E-13</v>
      </c>
      <c r="BE143" s="13">
        <f>BD143*VLOOKUP('Données projet'!$B$11,Paramètres!$A$1:$I$89,3,0)*VLOOKUP('Données projet'!$B$11,Paramètres!$A$1:$I$89,5,0)</f>
        <v>7.7591266745002952E-14</v>
      </c>
      <c r="BF143" s="13">
        <f t="shared" si="145"/>
        <v>1.2005788606873384E-12</v>
      </c>
      <c r="BG143" s="20">
        <f t="shared" si="115"/>
        <v>2.226146305277994E-12</v>
      </c>
      <c r="BH143" s="59">
        <f t="shared" si="116"/>
        <v>293.33333333333553</v>
      </c>
      <c r="BI143" s="59">
        <f ca="1">AVERAGE(OFFSET($BH$3,0,0,'Données projet'!$E$11+1,1))-AVERAGE(OFFSET($H$3,0,0,'Données projet'!$E$11+1,1))</f>
        <v>165.87377022031535</v>
      </c>
      <c r="BJ143" s="59">
        <f t="shared" si="146"/>
        <v>272.91122662088929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15.516479080505331</v>
      </c>
      <c r="BQ143" s="21">
        <f>EXP(-LN(2)/25)*BQ142+(1-EXP(-LN(2)/25))/(LN(2)/25)*Calculateur!BL143*Calculateur!BN143*VLOOKUP('Données projet'!$B$11,Paramètres!$A$1:$I$89,3,0)*0.475*44/12</f>
        <v>2.4117486232713636</v>
      </c>
      <c r="BR143" s="21">
        <f>EXP(-LN(2)/2)*BR142+(1-EXP(-LN(2)/2))/(LN(2)/2)*BL143*BO143*VLOOKUP('Données projet'!$B$11,Paramètres!$A$1:$I$89,3,0)*0.475*44/12</f>
        <v>2.2884122050163238E-14</v>
      </c>
      <c r="BS143" s="22">
        <f t="shared" si="117"/>
        <v>17.928227703776717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577.97</v>
      </c>
      <c r="BW143" s="12">
        <f>VLOOKUP(A143,'Données projet'!$A$113:$I$133,9,0)</f>
        <v>9.7580000000000044</v>
      </c>
      <c r="BX143" s="12">
        <f t="array" ref="BX143">INDEX(BW:BW,MIN(IF(ISNUMBER(BW143:BW339),ROW(BW143:BW339),"")))</f>
        <v>9.7580000000000044</v>
      </c>
      <c r="BY143" s="12">
        <f>IF('Données projet'!$A$114&gt;35,BY142+BX143-CG142,IF(A143&lt;'Données projet'!$A$114,$BV$205^A143,IF(A143='Données projet'!$A$114,'Données projet'!$B$114,BY142+BX143-CG142)))</f>
        <v>577.97000000000014</v>
      </c>
      <c r="BZ143" s="13">
        <f>BY143*VLOOKUP('Données projet'!$B$12,Paramètres!$A$1:$I$89,3,0)*VLOOKUP('Données projet'!$B$12,Paramètres!$A$1:$I$89,5,0)</f>
        <v>522.94725600000015</v>
      </c>
      <c r="CA143" s="13">
        <f t="shared" si="147"/>
        <v>116.30046607303619</v>
      </c>
      <c r="CB143" s="20">
        <f t="shared" si="118"/>
        <v>1113.356449277205</v>
      </c>
      <c r="CC143" s="59">
        <f t="shared" si="119"/>
        <v>1406.6897826105383</v>
      </c>
      <c r="CD143" s="59">
        <f ca="1">AVERAGE(OFFSET($CC$3,0,0,'Données projet'!$E$12+1,1))-AVERAGE(OFFSET($H$3,0,0,'Données projet'!$E$12+1,1))</f>
        <v>639.86968831634636</v>
      </c>
      <c r="CE143" s="59">
        <f t="shared" si="148"/>
        <v>218.1556771431184</v>
      </c>
      <c r="CF143" s="15">
        <f>IF(ISNA(VLOOKUP(A143,'Données projet'!$A$113:$I$133,3,0)),0,VLOOKUP(A143,'Données projet'!$A$113:$I$133,3,0))</f>
        <v>13</v>
      </c>
      <c r="CG143" s="15">
        <f>IF(ISNA(VLOOKUP(A143,'Données projet'!$A$113:$I$133,4,0)),0,VLOOKUP(A143,'Données projet'!$A$113:$I$133,4,0))</f>
        <v>67.930000000000007</v>
      </c>
      <c r="CH143" s="16">
        <f>IF(ISNA(VLOOKUP(A143,'Données projet'!$A$113:$I$133,5,0)),0%,VLOOKUP(A143,'Données projet'!$A$113:$I$133,5,0)*VLOOKUP('Données projet'!$B$12,Paramètres!$A$1:$I$89,7,0))</f>
        <v>0.25800000000000001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59.765868231463941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59.765868231463941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9.9316821433603781E-14</v>
      </c>
      <c r="CV143" s="13">
        <f t="shared" si="149"/>
        <v>1.4932118279712753E-12</v>
      </c>
      <c r="CW143" s="20">
        <f t="shared" si="121"/>
        <v>2.7736540643801645E-12</v>
      </c>
      <c r="CX143" s="59">
        <f t="shared" si="122"/>
        <v>293.3333333333361</v>
      </c>
      <c r="CY143" s="59">
        <f ca="1">AVERAGE(OFFSET($CX$3,0,0,'Données projet'!$E$13+1,1))-AVERAGE(OFFSET($H$3,0,0,'Données projet'!$E$13+1,1))</f>
        <v>218.76600554860482</v>
      </c>
      <c r="CZ143" s="59">
        <f t="shared" si="150"/>
        <v>264.34840059907702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11.567534443310851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11.567534443310851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-1.7053025658242404E-13</v>
      </c>
      <c r="DP143" s="17">
        <f>DO143*VLOOKUP('Données projet'!$B$14,Paramètres!$A$1:$I$89,3,0)*VLOOKUP('Données projet'!$B$14,Paramètres!$A$1:$I$89,5,0)</f>
        <v>-1.4631496014771985E-13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442.97490100035287</v>
      </c>
      <c r="DU143" s="59">
        <f t="shared" si="152"/>
        <v>334.36243356457049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80.017794437875835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80.017794437875835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5.6843418860808015E-14</v>
      </c>
      <c r="EK143" s="17">
        <f>EJ143*VLOOKUP('Données projet'!$B$15,Paramètres!$A$1:$I$89,3,0)*VLOOKUP('Données projet'!$B$15,Paramètres!$A$1:$I$89,5,0)</f>
        <v>4.4337866711430253E-14</v>
      </c>
      <c r="EL143" s="13">
        <f t="shared" si="153"/>
        <v>7.3222115536967035E-13</v>
      </c>
      <c r="EM143" s="20">
        <f t="shared" si="127"/>
        <v>1.3525069634579169E-12</v>
      </c>
      <c r="EN143" s="59">
        <f t="shared" si="128"/>
        <v>293.33333333333468</v>
      </c>
      <c r="EO143" s="59">
        <f ca="1">AVERAGE(OFFSET($EN$3,0,0,'Données projet'!$E$15+1,1))-AVERAGE(OFFSET($H$3,0,0,'Données projet'!$E$15+1,1))</f>
        <v>288.82868507674738</v>
      </c>
      <c r="EP143" s="59">
        <f t="shared" si="154"/>
        <v>283.48738729114024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20.250037237215647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20.250037237215647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328.55201074501201</v>
      </c>
      <c r="FK143" s="59">
        <f t="shared" si="156"/>
        <v>321.81422611044985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29.249861554715139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29.249861554715139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353.37024194969638</v>
      </c>
      <c r="GF143" s="59">
        <f t="shared" si="158"/>
        <v>345.4750813433123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39.120423445024713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39.120423445024713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1.2710188457276673E-13</v>
      </c>
      <c r="P144" s="13">
        <f t="shared" si="141"/>
        <v>1.856866851063998E-12</v>
      </c>
      <c r="Q144" s="20">
        <f t="shared" si="108"/>
        <v>3.4554122145673649E-12</v>
      </c>
      <c r="R144" s="59">
        <f t="shared" si="109"/>
        <v>293.33333333333678</v>
      </c>
      <c r="S144" s="59">
        <f ca="1">AVERAGE(OFFSET($R$3,0,0,'Données projet'!$E$9+1,1))-AVERAGE(OFFSET($H$3,0,0,'Données projet'!$E$9+1,1))</f>
        <v>404.65492118472037</v>
      </c>
      <c r="T144" s="59">
        <f t="shared" si="142"/>
        <v>534.22295841722166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50.153212747918062</v>
      </c>
      <c r="AA144" s="21">
        <f>EXP(-LN(2)/25)*AA143+(1-EXP(-LN(2)/25))/(LN(2)/25)*Calculateur!V144*Calculateur!X144*VLOOKUP('Données projet'!$B$9,Paramètres!$A$1:$I$89,3,0)*0.475*44/12</f>
        <v>6.5878102237237508</v>
      </c>
      <c r="AB144" s="21">
        <f>EXP(-LN(2)/2)*AB143+(1-EXP(-LN(2)/2))/(LN(2)/2)*V144*Y144*VLOOKUP('Données projet'!$B$9,Paramètres!$A$1:$I$89,3,0)*0.475*44/12</f>
        <v>3.3783739528231058E-12</v>
      </c>
      <c r="AC144" s="22">
        <f t="shared" si="111"/>
        <v>56.741022971645187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-7.9808160080574461E-14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331.17634116262298</v>
      </c>
      <c r="AO144" s="59">
        <f t="shared" si="144"/>
        <v>286.28916368940605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72.950106658775454</v>
      </c>
      <c r="AV144" s="21">
        <f>EXP(-LN(2)/25)*AV143+(1-EXP(-LN(2)/25))/(LN(2)/25)*Calculateur!AQ144*Calculateur!AS144*VLOOKUP('Données projet'!$B$10,Paramètres!$A$1:$I$89,3,0)*0.475*44/12</f>
        <v>18.866127477254427</v>
      </c>
      <c r="AW144" s="21">
        <f>EXP(-LN(2)/2)*AW143+(1-EXP(-LN(2)/2))/(LN(2)/2)*AQ144*AT144*VLOOKUP('Données projet'!$B$10,Paramètres!$A$1:$I$89,3,0)*0.475*44/12</f>
        <v>1.6737329302671651E-5</v>
      </c>
      <c r="AX144" s="21">
        <f t="shared" si="114"/>
        <v>91.816250873359181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1.4210854715202004E-13</v>
      </c>
      <c r="BE144" s="13">
        <f>BD144*VLOOKUP('Données projet'!$B$11,Paramètres!$A$1:$I$89,3,0)*VLOOKUP('Données projet'!$B$11,Paramètres!$A$1:$I$89,5,0)</f>
        <v>7.7591266745002952E-14</v>
      </c>
      <c r="BF144" s="13">
        <f t="shared" si="145"/>
        <v>1.2005788606873384E-12</v>
      </c>
      <c r="BG144" s="20">
        <f t="shared" si="115"/>
        <v>2.226146305277994E-12</v>
      </c>
      <c r="BH144" s="59">
        <f t="shared" si="116"/>
        <v>293.33333333333553</v>
      </c>
      <c r="BI144" s="59">
        <f ca="1">AVERAGE(OFFSET($BH$3,0,0,'Données projet'!$E$11+1,1))-AVERAGE(OFFSET($H$3,0,0,'Données projet'!$E$11+1,1))</f>
        <v>165.87377022031535</v>
      </c>
      <c r="BJ144" s="59">
        <f t="shared" si="146"/>
        <v>272.91122662088929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15.212210389854356</v>
      </c>
      <c r="BQ144" s="21">
        <f>EXP(-LN(2)/25)*BQ143+(1-EXP(-LN(2)/25))/(LN(2)/25)*Calculateur!BL144*Calculateur!BN144*VLOOKUP('Données projet'!$B$11,Paramètres!$A$1:$I$89,3,0)*0.475*44/12</f>
        <v>2.3457992303396602</v>
      </c>
      <c r="BR144" s="21">
        <f>EXP(-LN(2)/2)*BR143+(1-EXP(-LN(2)/2))/(LN(2)/2)*BL144*BO144*VLOOKUP('Données projet'!$B$11,Paramètres!$A$1:$I$89,3,0)*0.475*44/12</f>
        <v>1.6181517883171024E-14</v>
      </c>
      <c r="BS144" s="22">
        <f t="shared" si="117"/>
        <v>17.558009620194035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9.7629999999999946</v>
      </c>
      <c r="BY144" s="12">
        <f>IF('Données projet'!$A$114&gt;35,BY143+BX144-CG143,IF(A144&lt;'Données projet'!$A$114,$BV$205^A144,IF(A144='Données projet'!$A$114,'Données projet'!$B$114,BY143+BX144-CG143)))</f>
        <v>519.80300000000011</v>
      </c>
      <c r="BZ144" s="13">
        <f>BY144*VLOOKUP('Données projet'!$B$12,Paramètres!$A$1:$I$89,3,0)*VLOOKUP('Données projet'!$B$12,Paramètres!$A$1:$I$89,5,0)</f>
        <v>470.31775440000007</v>
      </c>
      <c r="CA144" s="13">
        <f t="shared" si="147"/>
        <v>105.8953969299622</v>
      </c>
      <c r="CB144" s="20">
        <f t="shared" si="118"/>
        <v>1003.5712385663511</v>
      </c>
      <c r="CC144" s="59">
        <f t="shared" si="119"/>
        <v>1296.9045718996845</v>
      </c>
      <c r="CD144" s="59">
        <f ca="1">AVERAGE(OFFSET($CC$3,0,0,'Données projet'!$E$12+1,1))-AVERAGE(OFFSET($H$3,0,0,'Données projet'!$E$12+1,1))</f>
        <v>639.86968831634636</v>
      </c>
      <c r="CE144" s="59">
        <f t="shared" si="148"/>
        <v>218.1556771431184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58.593896009025059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58.593896009025059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9.9316821433603781E-14</v>
      </c>
      <c r="CV144" s="13">
        <f t="shared" si="149"/>
        <v>1.4932118279712753E-12</v>
      </c>
      <c r="CW144" s="20">
        <f t="shared" si="121"/>
        <v>2.7736540643801645E-12</v>
      </c>
      <c r="CX144" s="59">
        <f t="shared" si="122"/>
        <v>293.3333333333361</v>
      </c>
      <c r="CY144" s="59">
        <f ca="1">AVERAGE(OFFSET($CX$3,0,0,'Données projet'!$E$13+1,1))-AVERAGE(OFFSET($H$3,0,0,'Données projet'!$E$13+1,1))</f>
        <v>218.76600554860482</v>
      </c>
      <c r="CZ144" s="59">
        <f t="shared" si="150"/>
        <v>264.34840059907702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11.340702148376863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11.340702148376863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-1.7053025658242404E-13</v>
      </c>
      <c r="DP144" s="17">
        <f>DO144*VLOOKUP('Données projet'!$B$14,Paramètres!$A$1:$I$89,3,0)*VLOOKUP('Données projet'!$B$14,Paramètres!$A$1:$I$89,5,0)</f>
        <v>-1.4631496014771985E-13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442.97490100035287</v>
      </c>
      <c r="DU144" s="59">
        <f t="shared" si="152"/>
        <v>334.36243356457049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78.448694294984506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78.448694294984506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5.6843418860808015E-14</v>
      </c>
      <c r="EK144" s="17">
        <f>EJ144*VLOOKUP('Données projet'!$B$15,Paramètres!$A$1:$I$89,3,0)*VLOOKUP('Données projet'!$B$15,Paramètres!$A$1:$I$89,5,0)</f>
        <v>4.4337866711430253E-14</v>
      </c>
      <c r="EL144" s="13">
        <f t="shared" si="153"/>
        <v>7.3222115536967035E-13</v>
      </c>
      <c r="EM144" s="20">
        <f t="shared" si="127"/>
        <v>1.3525069634579169E-12</v>
      </c>
      <c r="EN144" s="59">
        <f t="shared" si="128"/>
        <v>293.33333333333468</v>
      </c>
      <c r="EO144" s="59">
        <f ca="1">AVERAGE(OFFSET($EN$3,0,0,'Données projet'!$E$15+1,1))-AVERAGE(OFFSET($H$3,0,0,'Données projet'!$E$15+1,1))</f>
        <v>288.82868507674738</v>
      </c>
      <c r="EP144" s="59">
        <f t="shared" si="154"/>
        <v>283.48738729114024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19.852946358296972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19.852946358296972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328.55201074501201</v>
      </c>
      <c r="FK144" s="59">
        <f t="shared" si="156"/>
        <v>321.81422611044985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28.676289610281106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28.676289610281106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353.37024194969638</v>
      </c>
      <c r="GF144" s="59">
        <f t="shared" si="158"/>
        <v>345.4750813433123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38.353295802369992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38.353295802369992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1.2710188457276673E-13</v>
      </c>
      <c r="P145" s="13">
        <f t="shared" si="141"/>
        <v>1.856866851063998E-12</v>
      </c>
      <c r="Q145" s="20">
        <f t="shared" si="108"/>
        <v>3.4554122145673649E-12</v>
      </c>
      <c r="R145" s="59">
        <f t="shared" si="109"/>
        <v>293.33333333333678</v>
      </c>
      <c r="S145" s="59">
        <f ca="1">AVERAGE(OFFSET($R$3,0,0,'Données projet'!$E$9+1,1))-AVERAGE(OFFSET($H$3,0,0,'Données projet'!$E$9+1,1))</f>
        <v>404.65492118472037</v>
      </c>
      <c r="T145" s="59">
        <f t="shared" si="142"/>
        <v>534.22295841722166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49.169738836370612</v>
      </c>
      <c r="AA145" s="21">
        <f>EXP(-LN(2)/25)*AA144+(1-EXP(-LN(2)/25))/(LN(2)/25)*Calculateur!V145*Calculateur!X145*VLOOKUP('Données projet'!$B$9,Paramètres!$A$1:$I$89,3,0)*0.475*44/12</f>
        <v>6.407666206718142</v>
      </c>
      <c r="AB145" s="21">
        <f>EXP(-LN(2)/2)*AB144+(1-EXP(-LN(2)/2))/(LN(2)/2)*V145*Y145*VLOOKUP('Données projet'!$B$9,Paramètres!$A$1:$I$89,3,0)*0.475*44/12</f>
        <v>2.3888711314252195E-12</v>
      </c>
      <c r="AC145" s="22">
        <f t="shared" si="111"/>
        <v>55.57740504309114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-7.9808160080574461E-14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331.17634116262298</v>
      </c>
      <c r="AO145" s="59">
        <f t="shared" si="144"/>
        <v>286.28916368940605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71.519599562368398</v>
      </c>
      <c r="AV145" s="21">
        <f>EXP(-LN(2)/25)*AV144+(1-EXP(-LN(2)/25))/(LN(2)/25)*Calculateur!AQ145*Calculateur!AS145*VLOOKUP('Données projet'!$B$10,Paramètres!$A$1:$I$89,3,0)*0.475*44/12</f>
        <v>18.350232229262378</v>
      </c>
      <c r="AW145" s="21">
        <f>EXP(-LN(2)/2)*AW144+(1-EXP(-LN(2)/2))/(LN(2)/2)*AQ145*AT145*VLOOKUP('Données projet'!$B$10,Paramètres!$A$1:$I$89,3,0)*0.475*44/12</f>
        <v>1.1835079048871433E-5</v>
      </c>
      <c r="AX145" s="21">
        <f t="shared" si="114"/>
        <v>89.869843626709823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1.4210854715202004E-13</v>
      </c>
      <c r="BE145" s="13">
        <f>BD145*VLOOKUP('Données projet'!$B$11,Paramètres!$A$1:$I$89,3,0)*VLOOKUP('Données projet'!$B$11,Paramètres!$A$1:$I$89,5,0)</f>
        <v>7.7591266745002952E-14</v>
      </c>
      <c r="BF145" s="13">
        <f t="shared" si="145"/>
        <v>1.2005788606873384E-12</v>
      </c>
      <c r="BG145" s="20">
        <f t="shared" si="115"/>
        <v>2.226146305277994E-12</v>
      </c>
      <c r="BH145" s="59">
        <f t="shared" si="116"/>
        <v>293.33333333333553</v>
      </c>
      <c r="BI145" s="59">
        <f ca="1">AVERAGE(OFFSET($BH$3,0,0,'Données projet'!$E$11+1,1))-AVERAGE(OFFSET($H$3,0,0,'Données projet'!$E$11+1,1))</f>
        <v>165.87377022031535</v>
      </c>
      <c r="BJ145" s="59">
        <f t="shared" si="146"/>
        <v>272.91122662088929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14.913908222641471</v>
      </c>
      <c r="BQ145" s="21">
        <f>EXP(-LN(2)/25)*BQ144+(1-EXP(-LN(2)/25))/(LN(2)/25)*Calculateur!BL145*Calculateur!BN145*VLOOKUP('Données projet'!$B$11,Paramètres!$A$1:$I$89,3,0)*0.475*44/12</f>
        <v>2.2816532270258021</v>
      </c>
      <c r="BR145" s="21">
        <f>EXP(-LN(2)/2)*BR144+(1-EXP(-LN(2)/2))/(LN(2)/2)*BL145*BO145*VLOOKUP('Données projet'!$B$11,Paramètres!$A$1:$I$89,3,0)*0.475*44/12</f>
        <v>1.1442061025081619E-14</v>
      </c>
      <c r="BS145" s="22">
        <f t="shared" si="117"/>
        <v>17.195561449667284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9.7629999999999946</v>
      </c>
      <c r="BY145" s="12">
        <f>IF('Données projet'!$A$114&gt;35,BY144+BX145-CG144,IF(A145&lt;'Données projet'!$A$114,$BV$205^A145,IF(A145='Données projet'!$A$114,'Données projet'!$B$114,BY144+BX145-CG144)))</f>
        <v>529.56600000000014</v>
      </c>
      <c r="BZ145" s="13">
        <f>BY145*VLOOKUP('Données projet'!$B$12,Paramètres!$A$1:$I$89,3,0)*VLOOKUP('Données projet'!$B$12,Paramètres!$A$1:$I$89,5,0)</f>
        <v>479.15131680000013</v>
      </c>
      <c r="CA145" s="13">
        <f t="shared" si="147"/>
        <v>107.65091616068732</v>
      </c>
      <c r="CB145" s="20">
        <f t="shared" si="118"/>
        <v>1022.0138890731972</v>
      </c>
      <c r="CC145" s="59">
        <f t="shared" si="119"/>
        <v>1315.3472224065306</v>
      </c>
      <c r="CD145" s="59">
        <f ca="1">AVERAGE(OFFSET($CC$3,0,0,'Données projet'!$E$12+1,1))-AVERAGE(OFFSET($H$3,0,0,'Données projet'!$E$12+1,1))</f>
        <v>639.86968831634636</v>
      </c>
      <c r="CE145" s="59">
        <f t="shared" si="148"/>
        <v>218.1556771431184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57.444905447035737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57.444905447035737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9.9316821433603781E-14</v>
      </c>
      <c r="CV145" s="13">
        <f t="shared" si="149"/>
        <v>1.4932118279712753E-12</v>
      </c>
      <c r="CW145" s="20">
        <f t="shared" si="121"/>
        <v>2.7736540643801645E-12</v>
      </c>
      <c r="CX145" s="59">
        <f t="shared" si="122"/>
        <v>293.3333333333361</v>
      </c>
      <c r="CY145" s="59">
        <f ca="1">AVERAGE(OFFSET($CX$3,0,0,'Données projet'!$E$13+1,1))-AVERAGE(OFFSET($H$3,0,0,'Données projet'!$E$13+1,1))</f>
        <v>218.76600554860482</v>
      </c>
      <c r="CZ145" s="59">
        <f t="shared" si="150"/>
        <v>264.34840059907702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11.118317896392492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11.118317896392492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-1.7053025658242404E-13</v>
      </c>
      <c r="DP145" s="17">
        <f>DO145*VLOOKUP('Données projet'!$B$14,Paramètres!$A$1:$I$89,3,0)*VLOOKUP('Données projet'!$B$14,Paramètres!$A$1:$I$89,5,0)</f>
        <v>-1.4631496014771985E-13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442.97490100035287</v>
      </c>
      <c r="DU145" s="59">
        <f t="shared" si="152"/>
        <v>334.36243356457049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76.910363248838692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76.910363248838692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5.6843418860808015E-14</v>
      </c>
      <c r="EK145" s="17">
        <f>EJ145*VLOOKUP('Données projet'!$B$15,Paramètres!$A$1:$I$89,3,0)*VLOOKUP('Données projet'!$B$15,Paramètres!$A$1:$I$89,5,0)</f>
        <v>4.4337866711430253E-14</v>
      </c>
      <c r="EL145" s="13">
        <f t="shared" si="153"/>
        <v>7.3222115536967035E-13</v>
      </c>
      <c r="EM145" s="20">
        <f t="shared" si="127"/>
        <v>1.3525069634579169E-12</v>
      </c>
      <c r="EN145" s="59">
        <f t="shared" si="128"/>
        <v>293.33333333333468</v>
      </c>
      <c r="EO145" s="59">
        <f ca="1">AVERAGE(OFFSET($EN$3,0,0,'Données projet'!$E$15+1,1))-AVERAGE(OFFSET($H$3,0,0,'Données projet'!$E$15+1,1))</f>
        <v>288.82868507674738</v>
      </c>
      <c r="EP145" s="59">
        <f t="shared" si="154"/>
        <v>283.48738729114024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19.463642189312374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19.463642189312374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328.55201074501201</v>
      </c>
      <c r="FK145" s="59">
        <f t="shared" si="156"/>
        <v>321.81422611044985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28.113965061833081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28.113965061833081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353.37024194969638</v>
      </c>
      <c r="GF145" s="59">
        <f t="shared" si="158"/>
        <v>345.4750813433123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37.601211064886073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37.601211064886073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1.2710188457276673E-13</v>
      </c>
      <c r="P146" s="13">
        <f t="shared" si="141"/>
        <v>1.856866851063998E-12</v>
      </c>
      <c r="Q146" s="20">
        <f t="shared" si="108"/>
        <v>3.4554122145673649E-12</v>
      </c>
      <c r="R146" s="59">
        <f t="shared" si="109"/>
        <v>293.33333333333678</v>
      </c>
      <c r="S146" s="59">
        <f ca="1">AVERAGE(OFFSET($R$3,0,0,'Données projet'!$E$9+1,1))-AVERAGE(OFFSET($H$3,0,0,'Données projet'!$E$9+1,1))</f>
        <v>404.65492118472037</v>
      </c>
      <c r="T146" s="59">
        <f t="shared" si="142"/>
        <v>534.22295841722166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48.205550248368752</v>
      </c>
      <c r="AA146" s="21">
        <f>EXP(-LN(2)/25)*AA145+(1-EXP(-LN(2)/25))/(LN(2)/25)*Calculateur!V146*Calculateur!X146*VLOOKUP('Données projet'!$B$9,Paramètres!$A$1:$I$89,3,0)*0.475*44/12</f>
        <v>6.2324482373309138</v>
      </c>
      <c r="AB146" s="21">
        <f>EXP(-LN(2)/2)*AB145+(1-EXP(-LN(2)/2))/(LN(2)/2)*V146*Y146*VLOOKUP('Données projet'!$B$9,Paramètres!$A$1:$I$89,3,0)*0.475*44/12</f>
        <v>1.6891869764115529E-12</v>
      </c>
      <c r="AC146" s="22">
        <f t="shared" si="111"/>
        <v>54.437998485701357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-7.9808160080574461E-14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331.17634116262298</v>
      </c>
      <c r="AO146" s="59">
        <f t="shared" si="144"/>
        <v>286.28916368940605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70.117143837598704</v>
      </c>
      <c r="AV146" s="21">
        <f>EXP(-LN(2)/25)*AV145+(1-EXP(-LN(2)/25))/(LN(2)/25)*Calculateur!AQ146*Calculateur!AS146*VLOOKUP('Données projet'!$B$10,Paramètres!$A$1:$I$89,3,0)*0.475*44/12</f>
        <v>17.848444163956426</v>
      </c>
      <c r="AW146" s="21">
        <f>EXP(-LN(2)/2)*AW145+(1-EXP(-LN(2)/2))/(LN(2)/2)*AQ146*AT146*VLOOKUP('Données projet'!$B$10,Paramètres!$A$1:$I$89,3,0)*0.475*44/12</f>
        <v>8.3686646513358255E-6</v>
      </c>
      <c r="AX146" s="21">
        <f t="shared" si="114"/>
        <v>87.965596370219785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1.4210854715202004E-13</v>
      </c>
      <c r="BE146" s="13">
        <f>BD146*VLOOKUP('Données projet'!$B$11,Paramètres!$A$1:$I$89,3,0)*VLOOKUP('Données projet'!$B$11,Paramètres!$A$1:$I$89,5,0)</f>
        <v>7.7591266745002952E-14</v>
      </c>
      <c r="BF146" s="13">
        <f t="shared" si="145"/>
        <v>1.2005788606873384E-12</v>
      </c>
      <c r="BG146" s="20">
        <f t="shared" si="115"/>
        <v>2.226146305277994E-12</v>
      </c>
      <c r="BH146" s="59">
        <f t="shared" si="116"/>
        <v>293.33333333333553</v>
      </c>
      <c r="BI146" s="59">
        <f ca="1">AVERAGE(OFFSET($BH$3,0,0,'Données projet'!$E$11+1,1))-AVERAGE(OFFSET($H$3,0,0,'Données projet'!$E$11+1,1))</f>
        <v>165.87377022031535</v>
      </c>
      <c r="BJ146" s="59">
        <f t="shared" si="146"/>
        <v>272.91122662088929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14.621455578981275</v>
      </c>
      <c r="BQ146" s="21">
        <f>EXP(-LN(2)/25)*BQ145+(1-EXP(-LN(2)/25))/(LN(2)/25)*Calculateur!BL146*Calculateur!BN146*VLOOKUP('Données projet'!$B$11,Paramètres!$A$1:$I$89,3,0)*0.475*44/12</f>
        <v>2.2192612995458529</v>
      </c>
      <c r="BR146" s="21">
        <f>EXP(-LN(2)/2)*BR145+(1-EXP(-LN(2)/2))/(LN(2)/2)*BL146*BO146*VLOOKUP('Données projet'!$B$11,Paramètres!$A$1:$I$89,3,0)*0.475*44/12</f>
        <v>8.0907589415855118E-15</v>
      </c>
      <c r="BS146" s="22">
        <f t="shared" si="117"/>
        <v>16.840716878527136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9.7629999999999946</v>
      </c>
      <c r="BY146" s="12">
        <f>IF('Données projet'!$A$114&gt;35,BY145+BX146-CG145,IF(A146&lt;'Données projet'!$A$114,$BV$205^A146,IF(A146='Données projet'!$A$114,'Données projet'!$B$114,BY145+BX146-CG145)))</f>
        <v>539.32900000000018</v>
      </c>
      <c r="BZ146" s="13">
        <f>BY146*VLOOKUP('Données projet'!$B$12,Paramètres!$A$1:$I$89,3,0)*VLOOKUP('Données projet'!$B$12,Paramètres!$A$1:$I$89,5,0)</f>
        <v>487.98487920000014</v>
      </c>
      <c r="CA146" s="13">
        <f t="shared" si="147"/>
        <v>109.40267197846353</v>
      </c>
      <c r="CB146" s="20">
        <f t="shared" si="118"/>
        <v>1040.4499849691574</v>
      </c>
      <c r="CC146" s="59">
        <f t="shared" si="119"/>
        <v>1333.7833183024907</v>
      </c>
      <c r="CD146" s="59">
        <f ca="1">AVERAGE(OFFSET($CC$3,0,0,'Données projet'!$E$12+1,1))-AVERAGE(OFFSET($H$3,0,0,'Données projet'!$E$12+1,1))</f>
        <v>639.86968831634636</v>
      </c>
      <c r="CE146" s="59">
        <f t="shared" si="148"/>
        <v>218.1556771431184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56.318445889151981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56.318445889151981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9.9316821433603781E-14</v>
      </c>
      <c r="CV146" s="13">
        <f t="shared" si="149"/>
        <v>1.4932118279712753E-12</v>
      </c>
      <c r="CW146" s="20">
        <f t="shared" si="121"/>
        <v>2.7736540643801645E-12</v>
      </c>
      <c r="CX146" s="59">
        <f t="shared" si="122"/>
        <v>293.3333333333361</v>
      </c>
      <c r="CY146" s="59">
        <f ca="1">AVERAGE(OFFSET($CX$3,0,0,'Données projet'!$E$13+1,1))-AVERAGE(OFFSET($H$3,0,0,'Données projet'!$E$13+1,1))</f>
        <v>218.76600554860482</v>
      </c>
      <c r="CZ146" s="59">
        <f t="shared" si="150"/>
        <v>264.34840059907702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10.900294463948534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10.900294463948534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-1.7053025658242404E-13</v>
      </c>
      <c r="DP146" s="17">
        <f>DO146*VLOOKUP('Données projet'!$B$14,Paramètres!$A$1:$I$89,3,0)*VLOOKUP('Données projet'!$B$14,Paramètres!$A$1:$I$89,5,0)</f>
        <v>-1.4631496014771985E-13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442.97490100035287</v>
      </c>
      <c r="DU146" s="59">
        <f t="shared" si="152"/>
        <v>334.36243356457049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75.402197936218499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75.402197936218499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5.6843418860808015E-14</v>
      </c>
      <c r="EK146" s="17">
        <f>EJ146*VLOOKUP('Données projet'!$B$15,Paramètres!$A$1:$I$89,3,0)*VLOOKUP('Données projet'!$B$15,Paramètres!$A$1:$I$89,5,0)</f>
        <v>4.4337866711430253E-14</v>
      </c>
      <c r="EL146" s="13">
        <f t="shared" si="153"/>
        <v>7.3222115536967035E-13</v>
      </c>
      <c r="EM146" s="20">
        <f t="shared" si="127"/>
        <v>1.3525069634579169E-12</v>
      </c>
      <c r="EN146" s="59">
        <f t="shared" si="128"/>
        <v>293.33333333333468</v>
      </c>
      <c r="EO146" s="59">
        <f ca="1">AVERAGE(OFFSET($EN$3,0,0,'Données projet'!$E$15+1,1))-AVERAGE(OFFSET($H$3,0,0,'Données projet'!$E$15+1,1))</f>
        <v>288.82868507674738</v>
      </c>
      <c r="EP146" s="59">
        <f t="shared" si="154"/>
        <v>283.48738729114024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19.081972037629466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19.081972037629466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328.55201074501201</v>
      </c>
      <c r="FK146" s="59">
        <f t="shared" si="156"/>
        <v>321.81422611044985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27.562667354796016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27.562667354796016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353.37024194969638</v>
      </c>
      <c r="GF146" s="59">
        <f t="shared" si="158"/>
        <v>345.4750813433123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36.863874250377812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36.863874250377812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1.2710188457276673E-13</v>
      </c>
      <c r="P147" s="13">
        <f t="shared" si="141"/>
        <v>1.856866851063998E-12</v>
      </c>
      <c r="Q147" s="20">
        <f t="shared" si="108"/>
        <v>3.4554122145673649E-12</v>
      </c>
      <c r="R147" s="59">
        <f t="shared" si="109"/>
        <v>293.33333333333678</v>
      </c>
      <c r="S147" s="59">
        <f ca="1">AVERAGE(OFFSET($R$3,0,0,'Données projet'!$E$9+1,1))-AVERAGE(OFFSET($H$3,0,0,'Données projet'!$E$9+1,1))</f>
        <v>404.65492118472037</v>
      </c>
      <c r="T147" s="59">
        <f t="shared" si="142"/>
        <v>534.22295841722166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47.260268810480639</v>
      </c>
      <c r="AA147" s="21">
        <f>EXP(-LN(2)/25)*AA146+(1-EXP(-LN(2)/25))/(LN(2)/25)*Calculateur!V147*Calculateur!X147*VLOOKUP('Données projet'!$B$9,Paramètres!$A$1:$I$89,3,0)*0.475*44/12</f>
        <v>6.0620216125308914</v>
      </c>
      <c r="AB147" s="21">
        <f>EXP(-LN(2)/2)*AB146+(1-EXP(-LN(2)/2))/(LN(2)/2)*V147*Y147*VLOOKUP('Données projet'!$B$9,Paramètres!$A$1:$I$89,3,0)*0.475*44/12</f>
        <v>1.1944355657126097E-12</v>
      </c>
      <c r="AC147" s="22">
        <f t="shared" si="111"/>
        <v>53.322290423012724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-7.9808160080574461E-14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331.17634116262298</v>
      </c>
      <c r="AO147" s="59">
        <f t="shared" si="144"/>
        <v>286.28916368940605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68.742189414178227</v>
      </c>
      <c r="AV147" s="21">
        <f>EXP(-LN(2)/25)*AV146+(1-EXP(-LN(2)/25))/(LN(2)/25)*Calculateur!AQ147*Calculateur!AS147*VLOOKUP('Données projet'!$B$10,Paramètres!$A$1:$I$89,3,0)*0.475*44/12</f>
        <v>17.360377519684153</v>
      </c>
      <c r="AW147" s="21">
        <f>EXP(-LN(2)/2)*AW146+(1-EXP(-LN(2)/2))/(LN(2)/2)*AQ147*AT147*VLOOKUP('Données projet'!$B$10,Paramètres!$A$1:$I$89,3,0)*0.475*44/12</f>
        <v>5.9175395244357166E-6</v>
      </c>
      <c r="AX147" s="21">
        <f t="shared" si="114"/>
        <v>86.102572851401902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1.4210854715202004E-13</v>
      </c>
      <c r="BE147" s="13">
        <f>BD147*VLOOKUP('Données projet'!$B$11,Paramètres!$A$1:$I$89,3,0)*VLOOKUP('Données projet'!$B$11,Paramètres!$A$1:$I$89,5,0)</f>
        <v>7.7591266745002952E-14</v>
      </c>
      <c r="BF147" s="13">
        <f t="shared" si="145"/>
        <v>1.2005788606873384E-12</v>
      </c>
      <c r="BG147" s="20">
        <f t="shared" si="115"/>
        <v>2.226146305277994E-12</v>
      </c>
      <c r="BH147" s="59">
        <f t="shared" si="116"/>
        <v>293.33333333333553</v>
      </c>
      <c r="BI147" s="59">
        <f ca="1">AVERAGE(OFFSET($BH$3,0,0,'Données projet'!$E$11+1,1))-AVERAGE(OFFSET($H$3,0,0,'Données projet'!$E$11+1,1))</f>
        <v>165.87377022031535</v>
      </c>
      <c r="BJ147" s="59">
        <f t="shared" si="146"/>
        <v>272.91122662088929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14.334737753284756</v>
      </c>
      <c r="BQ147" s="21">
        <f>EXP(-LN(2)/25)*BQ146+(1-EXP(-LN(2)/25))/(LN(2)/25)*Calculateur!BL147*Calculateur!BN147*VLOOKUP('Données projet'!$B$11,Paramètres!$A$1:$I$89,3,0)*0.475*44/12</f>
        <v>2.1585754826038919</v>
      </c>
      <c r="BR147" s="21">
        <f>EXP(-LN(2)/2)*BR146+(1-EXP(-LN(2)/2))/(LN(2)/2)*BL147*BO147*VLOOKUP('Données projet'!$B$11,Paramètres!$A$1:$I$89,3,0)*0.475*44/12</f>
        <v>5.7210305125408095E-15</v>
      </c>
      <c r="BS147" s="22">
        <f t="shared" si="117"/>
        <v>16.493313235888657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9.7629999999999946</v>
      </c>
      <c r="BY147" s="12">
        <f>IF('Données projet'!$A$114&gt;35,BY146+BX147-CG146,IF(A147&lt;'Données projet'!$A$114,$BV$205^A147,IF(A147='Données projet'!$A$114,'Données projet'!$B$114,BY146+BX147-CG146)))</f>
        <v>549.09200000000021</v>
      </c>
      <c r="BZ147" s="13">
        <f>BY147*VLOOKUP('Données projet'!$B$12,Paramètres!$A$1:$I$89,3,0)*VLOOKUP('Données projet'!$B$12,Paramètres!$A$1:$I$89,5,0)</f>
        <v>496.8184416000002</v>
      </c>
      <c r="CA147" s="13">
        <f t="shared" si="147"/>
        <v>111.15074036719078</v>
      </c>
      <c r="CB147" s="20">
        <f t="shared" si="118"/>
        <v>1058.8796585928574</v>
      </c>
      <c r="CC147" s="59">
        <f t="shared" si="119"/>
        <v>1352.2129919261906</v>
      </c>
      <c r="CD147" s="59">
        <f ca="1">AVERAGE(OFFSET($CC$3,0,0,'Données projet'!$E$12+1,1))-AVERAGE(OFFSET($H$3,0,0,'Données projet'!$E$12+1,1))</f>
        <v>639.86968831634636</v>
      </c>
      <c r="CE147" s="59">
        <f t="shared" si="148"/>
        <v>218.1556771431184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55.214075516125838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55.214075516125838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9.9316821433603781E-14</v>
      </c>
      <c r="CV147" s="13">
        <f t="shared" si="149"/>
        <v>1.4932118279712753E-12</v>
      </c>
      <c r="CW147" s="20">
        <f t="shared" si="121"/>
        <v>2.7736540643801645E-12</v>
      </c>
      <c r="CX147" s="59">
        <f t="shared" si="122"/>
        <v>293.3333333333361</v>
      </c>
      <c r="CY147" s="59">
        <f ca="1">AVERAGE(OFFSET($CX$3,0,0,'Données projet'!$E$13+1,1))-AVERAGE(OFFSET($H$3,0,0,'Données projet'!$E$13+1,1))</f>
        <v>218.76600554860482</v>
      </c>
      <c r="CZ147" s="59">
        <f t="shared" si="150"/>
        <v>264.34840059907702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10.686546338033638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10.686546338033638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-1.7053025658242404E-13</v>
      </c>
      <c r="DP147" s="17">
        <f>DO147*VLOOKUP('Données projet'!$B$14,Paramètres!$A$1:$I$89,3,0)*VLOOKUP('Données projet'!$B$14,Paramètres!$A$1:$I$89,5,0)</f>
        <v>-1.4631496014771985E-13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442.97490100035287</v>
      </c>
      <c r="DU147" s="59">
        <f t="shared" si="152"/>
        <v>334.36243356457049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73.923606825488775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73.923606825488775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5.6843418860808015E-14</v>
      </c>
      <c r="EK147" s="17">
        <f>EJ147*VLOOKUP('Données projet'!$B$15,Paramètres!$A$1:$I$89,3,0)*VLOOKUP('Données projet'!$B$15,Paramètres!$A$1:$I$89,5,0)</f>
        <v>4.4337866711430253E-14</v>
      </c>
      <c r="EL147" s="13">
        <f t="shared" si="153"/>
        <v>7.3222115536967035E-13</v>
      </c>
      <c r="EM147" s="20">
        <f t="shared" si="127"/>
        <v>1.3525069634579169E-12</v>
      </c>
      <c r="EN147" s="59">
        <f t="shared" si="128"/>
        <v>293.33333333333468</v>
      </c>
      <c r="EO147" s="59">
        <f ca="1">AVERAGE(OFFSET($EN$3,0,0,'Données projet'!$E$15+1,1))-AVERAGE(OFFSET($H$3,0,0,'Données projet'!$E$15+1,1))</f>
        <v>288.82868507674738</v>
      </c>
      <c r="EP147" s="59">
        <f t="shared" si="154"/>
        <v>283.48738729114024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18.707786204825254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18.707786204825254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328.55201074501201</v>
      </c>
      <c r="FK147" s="59">
        <f t="shared" si="156"/>
        <v>321.81422611044985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27.022180259535549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27.022180259535549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353.37024194969638</v>
      </c>
      <c r="GF147" s="59">
        <f t="shared" si="158"/>
        <v>345.4750813433123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36.140996161071008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36.140996161071008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1.2710188457276673E-13</v>
      </c>
      <c r="P148" s="13">
        <f t="shared" si="141"/>
        <v>1.856866851063998E-12</v>
      </c>
      <c r="Q148" s="20">
        <f t="shared" si="108"/>
        <v>3.4554122145673649E-12</v>
      </c>
      <c r="R148" s="59">
        <f t="shared" si="109"/>
        <v>293.33333333333678</v>
      </c>
      <c r="S148" s="59">
        <f ca="1">AVERAGE(OFFSET($R$3,0,0,'Données projet'!$E$9+1,1))-AVERAGE(OFFSET($H$3,0,0,'Données projet'!$E$9+1,1))</f>
        <v>404.65492118472037</v>
      </c>
      <c r="T148" s="59">
        <f t="shared" si="142"/>
        <v>534.22295841722166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46.333523765024765</v>
      </c>
      <c r="AA148" s="21">
        <f>EXP(-LN(2)/25)*AA147+(1-EXP(-LN(2)/25))/(LN(2)/25)*Calculateur!V148*Calculateur!X148*VLOOKUP('Données projet'!$B$9,Paramètres!$A$1:$I$89,3,0)*0.475*44/12</f>
        <v>5.8962553127483721</v>
      </c>
      <c r="AB148" s="21">
        <f>EXP(-LN(2)/2)*AB147+(1-EXP(-LN(2)/2))/(LN(2)/2)*V148*Y148*VLOOKUP('Données projet'!$B$9,Paramètres!$A$1:$I$89,3,0)*0.475*44/12</f>
        <v>8.4459348820577644E-13</v>
      </c>
      <c r="AC148" s="22">
        <f t="shared" si="111"/>
        <v>52.229779077773983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-7.9808160080574461E-14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331.17634116262298</v>
      </c>
      <c r="AO148" s="59">
        <f t="shared" si="144"/>
        <v>286.28916368940605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67.39419700836163</v>
      </c>
      <c r="AV148" s="21">
        <f>EXP(-LN(2)/25)*AV147+(1-EXP(-LN(2)/25))/(LN(2)/25)*Calculateur!AQ148*Calculateur!AS148*VLOOKUP('Données projet'!$B$10,Paramètres!$A$1:$I$89,3,0)*0.475*44/12</f>
        <v>16.885657083465816</v>
      </c>
      <c r="AW148" s="21">
        <f>EXP(-LN(2)/2)*AW147+(1-EXP(-LN(2)/2))/(LN(2)/2)*AQ148*AT148*VLOOKUP('Données projet'!$B$10,Paramètres!$A$1:$I$89,3,0)*0.475*44/12</f>
        <v>4.1843323256679127E-6</v>
      </c>
      <c r="AX148" s="21">
        <f t="shared" si="114"/>
        <v>84.279858276159771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1.4210854715202004E-13</v>
      </c>
      <c r="BE148" s="13">
        <f>BD148*VLOOKUP('Données projet'!$B$11,Paramètres!$A$1:$I$89,3,0)*VLOOKUP('Données projet'!$B$11,Paramètres!$A$1:$I$89,5,0)</f>
        <v>7.7591266745002952E-14</v>
      </c>
      <c r="BF148" s="13">
        <f t="shared" si="145"/>
        <v>1.2005788606873384E-12</v>
      </c>
      <c r="BG148" s="20">
        <f t="shared" si="115"/>
        <v>2.226146305277994E-12</v>
      </c>
      <c r="BH148" s="59">
        <f t="shared" si="116"/>
        <v>293.33333333333553</v>
      </c>
      <c r="BI148" s="59">
        <f ca="1">AVERAGE(OFFSET($BH$3,0,0,'Données projet'!$E$11+1,1))-AVERAGE(OFFSET($H$3,0,0,'Données projet'!$E$11+1,1))</f>
        <v>165.87377022031535</v>
      </c>
      <c r="BJ148" s="59">
        <f t="shared" si="146"/>
        <v>272.91122662088929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14.05364228926954</v>
      </c>
      <c r="BQ148" s="21">
        <f>EXP(-LN(2)/25)*BQ147+(1-EXP(-LN(2)/25))/(LN(2)/25)*Calculateur!BL148*Calculateur!BN148*VLOOKUP('Données projet'!$B$11,Paramètres!$A$1:$I$89,3,0)*0.475*44/12</f>
        <v>2.0995491225175371</v>
      </c>
      <c r="BR148" s="21">
        <f>EXP(-LN(2)/2)*BR147+(1-EXP(-LN(2)/2))/(LN(2)/2)*BL148*BO148*VLOOKUP('Données projet'!$B$11,Paramètres!$A$1:$I$89,3,0)*0.475*44/12</f>
        <v>4.0453794707927559E-15</v>
      </c>
      <c r="BS148" s="22">
        <f t="shared" si="117"/>
        <v>16.153191411787081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9.7629999999999946</v>
      </c>
      <c r="BY148" s="12">
        <f>IF('Données projet'!$A$114&gt;35,BY147+BX148-CG147,IF(A148&lt;'Données projet'!$A$114,$BV$205^A148,IF(A148='Données projet'!$A$114,'Données projet'!$B$114,BY147+BX148-CG147)))</f>
        <v>558.85500000000025</v>
      </c>
      <c r="BZ148" s="13">
        <f>BY148*VLOOKUP('Données projet'!$B$12,Paramètres!$A$1:$I$89,3,0)*VLOOKUP('Données projet'!$B$12,Paramètres!$A$1:$I$89,5,0)</f>
        <v>505.6520040000002</v>
      </c>
      <c r="CA148" s="13">
        <f t="shared" si="147"/>
        <v>112.89519445399058</v>
      </c>
      <c r="CB148" s="20">
        <f t="shared" si="118"/>
        <v>1077.3030373073673</v>
      </c>
      <c r="CC148" s="59">
        <f t="shared" si="119"/>
        <v>1370.6363706407005</v>
      </c>
      <c r="CD148" s="59">
        <f ca="1">AVERAGE(OFFSET($CC$3,0,0,'Données projet'!$E$12+1,1))-AVERAGE(OFFSET($H$3,0,0,'Données projet'!$E$12+1,1))</f>
        <v>639.86968831634636</v>
      </c>
      <c r="CE148" s="59">
        <f t="shared" si="148"/>
        <v>218.1556771431184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54.131361172515319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54.131361172515319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9.9316821433603781E-14</v>
      </c>
      <c r="CV148" s="13">
        <f t="shared" si="149"/>
        <v>1.4932118279712753E-12</v>
      </c>
      <c r="CW148" s="20">
        <f t="shared" si="121"/>
        <v>2.7736540643801645E-12</v>
      </c>
      <c r="CX148" s="59">
        <f t="shared" si="122"/>
        <v>293.3333333333361</v>
      </c>
      <c r="CY148" s="59">
        <f ca="1">AVERAGE(OFFSET($CX$3,0,0,'Données projet'!$E$13+1,1))-AVERAGE(OFFSET($H$3,0,0,'Données projet'!$E$13+1,1))</f>
        <v>218.76600554860482</v>
      </c>
      <c r="CZ148" s="59">
        <f t="shared" si="150"/>
        <v>264.34840059907702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10.476989682494452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10.476989682494452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-1.7053025658242404E-13</v>
      </c>
      <c r="DP148" s="17">
        <f>DO148*VLOOKUP('Données projet'!$B$14,Paramètres!$A$1:$I$89,3,0)*VLOOKUP('Données projet'!$B$14,Paramètres!$A$1:$I$89,5,0)</f>
        <v>-1.4631496014771985E-13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442.97490100035287</v>
      </c>
      <c r="DU148" s="59">
        <f t="shared" si="152"/>
        <v>334.36243356457049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72.474009984588946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72.474009984588946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5.6843418860808015E-14</v>
      </c>
      <c r="EK148" s="17">
        <f>EJ148*VLOOKUP('Données projet'!$B$15,Paramètres!$A$1:$I$89,3,0)*VLOOKUP('Données projet'!$B$15,Paramètres!$A$1:$I$89,5,0)</f>
        <v>4.4337866711430253E-14</v>
      </c>
      <c r="EL148" s="13">
        <f t="shared" si="153"/>
        <v>7.3222115536967035E-13</v>
      </c>
      <c r="EM148" s="20">
        <f t="shared" si="127"/>
        <v>1.3525069634579169E-12</v>
      </c>
      <c r="EN148" s="59">
        <f t="shared" si="128"/>
        <v>293.33333333333468</v>
      </c>
      <c r="EO148" s="59">
        <f ca="1">AVERAGE(OFFSET($EN$3,0,0,'Données projet'!$E$15+1,1))-AVERAGE(OFFSET($H$3,0,0,'Données projet'!$E$15+1,1))</f>
        <v>288.82868507674738</v>
      </c>
      <c r="EP148" s="59">
        <f t="shared" si="154"/>
        <v>283.48738729114024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18.34093792797151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18.34093792797151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328.55201074501201</v>
      </c>
      <c r="FK148" s="59">
        <f t="shared" si="156"/>
        <v>321.81422611044985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26.492291786548563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26.492291786548563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353.37024194969638</v>
      </c>
      <c r="GF148" s="59">
        <f t="shared" si="158"/>
        <v>345.4750813433123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35.432293270183415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35.432293270183415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1.2710188457276673E-13</v>
      </c>
      <c r="P149" s="13">
        <f t="shared" si="141"/>
        <v>1.856866851063998E-12</v>
      </c>
      <c r="Q149" s="20">
        <f t="shared" si="108"/>
        <v>3.4554122145673649E-12</v>
      </c>
      <c r="R149" s="59">
        <f t="shared" si="109"/>
        <v>293.33333333333678</v>
      </c>
      <c r="S149" s="59">
        <f ca="1">AVERAGE(OFFSET($R$3,0,0,'Données projet'!$E$9+1,1))-AVERAGE(OFFSET($H$3,0,0,'Données projet'!$E$9+1,1))</f>
        <v>404.65492118472037</v>
      </c>
      <c r="T149" s="59">
        <f t="shared" si="142"/>
        <v>534.22295841722166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45.424951624651619</v>
      </c>
      <c r="AA149" s="21">
        <f>EXP(-LN(2)/25)*AA148+(1-EXP(-LN(2)/25))/(LN(2)/25)*Calculateur!V149*Calculateur!X149*VLOOKUP('Données projet'!$B$9,Paramètres!$A$1:$I$89,3,0)*0.475*44/12</f>
        <v>5.7350219011506773</v>
      </c>
      <c r="AB149" s="21">
        <f>EXP(-LN(2)/2)*AB148+(1-EXP(-LN(2)/2))/(LN(2)/2)*V149*Y149*VLOOKUP('Données projet'!$B$9,Paramètres!$A$1:$I$89,3,0)*0.475*44/12</f>
        <v>5.9721778285630486E-13</v>
      </c>
      <c r="AC149" s="22">
        <f t="shared" si="111"/>
        <v>51.159973525802897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-7.9808160080574461E-14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331.17634116262298</v>
      </c>
      <c r="AO149" s="59">
        <f t="shared" si="144"/>
        <v>286.28916368940605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66.072637911428913</v>
      </c>
      <c r="AV149" s="21">
        <f>EXP(-LN(2)/25)*AV148+(1-EXP(-LN(2)/25))/(LN(2)/25)*Calculateur!AQ149*Calculateur!AS149*VLOOKUP('Données projet'!$B$10,Paramètres!$A$1:$I$89,3,0)*0.475*44/12</f>
        <v>16.423917902540328</v>
      </c>
      <c r="AW149" s="21">
        <f>EXP(-LN(2)/2)*AW148+(1-EXP(-LN(2)/2))/(LN(2)/2)*AQ149*AT149*VLOOKUP('Données projet'!$B$10,Paramètres!$A$1:$I$89,3,0)*0.475*44/12</f>
        <v>2.9587697622178583E-6</v>
      </c>
      <c r="AX149" s="21">
        <f t="shared" si="114"/>
        <v>82.496558772738993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1.4210854715202004E-13</v>
      </c>
      <c r="BE149" s="13">
        <f>BD149*VLOOKUP('Données projet'!$B$11,Paramètres!$A$1:$I$89,3,0)*VLOOKUP('Données projet'!$B$11,Paramètres!$A$1:$I$89,5,0)</f>
        <v>7.7591266745002952E-14</v>
      </c>
      <c r="BF149" s="13">
        <f t="shared" si="145"/>
        <v>1.2005788606873384E-12</v>
      </c>
      <c r="BG149" s="20">
        <f t="shared" si="115"/>
        <v>2.226146305277994E-12</v>
      </c>
      <c r="BH149" s="59">
        <f t="shared" si="116"/>
        <v>293.33333333333553</v>
      </c>
      <c r="BI149" s="59">
        <f ca="1">AVERAGE(OFFSET($BH$3,0,0,'Données projet'!$E$11+1,1))-AVERAGE(OFFSET($H$3,0,0,'Données projet'!$E$11+1,1))</f>
        <v>165.87377022031535</v>
      </c>
      <c r="BJ149" s="59">
        <f t="shared" si="146"/>
        <v>272.91122662088929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13.778058935852359</v>
      </c>
      <c r="BQ149" s="21">
        <f>EXP(-LN(2)/25)*BQ148+(1-EXP(-LN(2)/25))/(LN(2)/25)*Calculateur!BL149*Calculateur!BN149*VLOOKUP('Données projet'!$B$11,Paramètres!$A$1:$I$89,3,0)*0.475*44/12</f>
        <v>2.0421368413518053</v>
      </c>
      <c r="BR149" s="21">
        <f>EXP(-LN(2)/2)*BR148+(1-EXP(-LN(2)/2))/(LN(2)/2)*BL149*BO149*VLOOKUP('Données projet'!$B$11,Paramètres!$A$1:$I$89,3,0)*0.475*44/12</f>
        <v>2.8605152562704047E-15</v>
      </c>
      <c r="BS149" s="22">
        <f t="shared" si="117"/>
        <v>15.820195777204168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9.7629999999999946</v>
      </c>
      <c r="BY149" s="12">
        <f>IF('Données projet'!$A$114&gt;35,BY148+BX149-CG148,IF(A149&lt;'Données projet'!$A$114,$BV$205^A149,IF(A149='Données projet'!$A$114,'Données projet'!$B$114,BY148+BX149-CG148)))</f>
        <v>568.61800000000028</v>
      </c>
      <c r="BZ149" s="13">
        <f>BY149*VLOOKUP('Données projet'!$B$12,Paramètres!$A$1:$I$89,3,0)*VLOOKUP('Données projet'!$B$12,Paramètres!$A$1:$I$89,5,0)</f>
        <v>514.48556640000027</v>
      </c>
      <c r="CA149" s="13">
        <f t="shared" si="147"/>
        <v>114.63610466460781</v>
      </c>
      <c r="CB149" s="20">
        <f t="shared" si="118"/>
        <v>1095.720243770859</v>
      </c>
      <c r="CC149" s="59">
        <f t="shared" si="119"/>
        <v>1389.0535771041923</v>
      </c>
      <c r="CD149" s="59">
        <f ca="1">AVERAGE(OFFSET($CC$3,0,0,'Données projet'!$E$12+1,1))-AVERAGE(OFFSET($H$3,0,0,'Données projet'!$E$12+1,1))</f>
        <v>639.86968831634636</v>
      </c>
      <c r="CE149" s="59">
        <f t="shared" si="148"/>
        <v>218.1556771431184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53.069878196792466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53.069878196792466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9.9316821433603781E-14</v>
      </c>
      <c r="CV149" s="13">
        <f t="shared" si="149"/>
        <v>1.4932118279712753E-12</v>
      </c>
      <c r="CW149" s="20">
        <f t="shared" si="121"/>
        <v>2.7736540643801645E-12</v>
      </c>
      <c r="CX149" s="59">
        <f t="shared" si="122"/>
        <v>293.3333333333361</v>
      </c>
      <c r="CY149" s="59">
        <f ca="1">AVERAGE(OFFSET($CX$3,0,0,'Données projet'!$E$13+1,1))-AVERAGE(OFFSET($H$3,0,0,'Données projet'!$E$13+1,1))</f>
        <v>218.76600554860482</v>
      </c>
      <c r="CZ149" s="59">
        <f t="shared" si="150"/>
        <v>264.34840059907702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10.271542305153449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10.271542305153449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-1.7053025658242404E-13</v>
      </c>
      <c r="DP149" s="17">
        <f>DO149*VLOOKUP('Données projet'!$B$14,Paramètres!$A$1:$I$89,3,0)*VLOOKUP('Données projet'!$B$14,Paramètres!$A$1:$I$89,5,0)</f>
        <v>-1.4631496014771985E-13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442.97490100035287</v>
      </c>
      <c r="DU149" s="59">
        <f t="shared" si="152"/>
        <v>334.36243356457049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71.052838853572382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71.052838853572382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5.6843418860808015E-14</v>
      </c>
      <c r="EK149" s="17">
        <f>EJ149*VLOOKUP('Données projet'!$B$15,Paramètres!$A$1:$I$89,3,0)*VLOOKUP('Données projet'!$B$15,Paramètres!$A$1:$I$89,5,0)</f>
        <v>4.4337866711430253E-14</v>
      </c>
      <c r="EL149" s="13">
        <f t="shared" si="153"/>
        <v>7.3222115536967035E-13</v>
      </c>
      <c r="EM149" s="20">
        <f t="shared" si="127"/>
        <v>1.3525069634579169E-12</v>
      </c>
      <c r="EN149" s="59">
        <f t="shared" si="128"/>
        <v>293.33333333333468</v>
      </c>
      <c r="EO149" s="59">
        <f ca="1">AVERAGE(OFFSET($EN$3,0,0,'Données projet'!$E$15+1,1))-AVERAGE(OFFSET($H$3,0,0,'Données projet'!$E$15+1,1))</f>
        <v>288.82868507674738</v>
      </c>
      <c r="EP149" s="59">
        <f t="shared" si="154"/>
        <v>283.48738729114024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17.981283322071512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17.981283322071512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328.55201074501201</v>
      </c>
      <c r="FK149" s="59">
        <f t="shared" si="156"/>
        <v>321.81422611044985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25.972794103316797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25.972794103316797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353.37024194969638</v>
      </c>
      <c r="GF149" s="59">
        <f t="shared" si="158"/>
        <v>345.4750813433123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34.737487610720045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34.737487610720045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1.2710188457276673E-13</v>
      </c>
      <c r="P150" s="13">
        <f t="shared" si="141"/>
        <v>1.856866851063998E-12</v>
      </c>
      <c r="Q150" s="20">
        <f t="shared" si="108"/>
        <v>3.4554122145673649E-12</v>
      </c>
      <c r="R150" s="59">
        <f t="shared" si="109"/>
        <v>293.33333333333678</v>
      </c>
      <c r="S150" s="59">
        <f ca="1">AVERAGE(OFFSET($R$3,0,0,'Données projet'!$E$9+1,1))-AVERAGE(OFFSET($H$3,0,0,'Données projet'!$E$9+1,1))</f>
        <v>404.65492118472037</v>
      </c>
      <c r="T150" s="59">
        <f t="shared" si="142"/>
        <v>534.22295841722166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44.534196029776901</v>
      </c>
      <c r="AA150" s="21">
        <f>EXP(-LN(2)/25)*AA149+(1-EXP(-LN(2)/25))/(LN(2)/25)*Calculateur!V150*Calculateur!X150*VLOOKUP('Données projet'!$B$9,Paramètres!$A$1:$I$89,3,0)*0.475*44/12</f>
        <v>5.5781974256720179</v>
      </c>
      <c r="AB150" s="21">
        <f>EXP(-LN(2)/2)*AB149+(1-EXP(-LN(2)/2))/(LN(2)/2)*V150*Y150*VLOOKUP('Données projet'!$B$9,Paramètres!$A$1:$I$89,3,0)*0.475*44/12</f>
        <v>4.2229674410288822E-13</v>
      </c>
      <c r="AC150" s="22">
        <f t="shared" si="111"/>
        <v>50.112393455449336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-7.9808160080574461E-14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331.17634116262298</v>
      </c>
      <c r="AO150" s="59">
        <f t="shared" si="144"/>
        <v>286.28916368940605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64.776993782315586</v>
      </c>
      <c r="AV150" s="21">
        <f>EXP(-LN(2)/25)*AV149+(1-EXP(-LN(2)/25))/(LN(2)/25)*Calculateur!AQ150*Calculateur!AS150*VLOOKUP('Données projet'!$B$10,Paramètres!$A$1:$I$89,3,0)*0.475*44/12</f>
        <v>15.974805003799057</v>
      </c>
      <c r="AW150" s="21">
        <f>EXP(-LN(2)/2)*AW149+(1-EXP(-LN(2)/2))/(LN(2)/2)*AQ150*AT150*VLOOKUP('Données projet'!$B$10,Paramètres!$A$1:$I$89,3,0)*0.475*44/12</f>
        <v>2.0921661628339564E-6</v>
      </c>
      <c r="AX150" s="21">
        <f t="shared" si="114"/>
        <v>80.751800878280804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1.4210854715202004E-13</v>
      </c>
      <c r="BE150" s="13">
        <f>BD150*VLOOKUP('Données projet'!$B$11,Paramètres!$A$1:$I$89,3,0)*VLOOKUP('Données projet'!$B$11,Paramètres!$A$1:$I$89,5,0)</f>
        <v>7.7591266745002952E-14</v>
      </c>
      <c r="BF150" s="13">
        <f t="shared" si="145"/>
        <v>1.2005788606873384E-12</v>
      </c>
      <c r="BG150" s="20">
        <f t="shared" si="115"/>
        <v>2.226146305277994E-12</v>
      </c>
      <c r="BH150" s="59">
        <f t="shared" si="116"/>
        <v>293.33333333333553</v>
      </c>
      <c r="BI150" s="59">
        <f ca="1">AVERAGE(OFFSET($BH$3,0,0,'Données projet'!$E$11+1,1))-AVERAGE(OFFSET($H$3,0,0,'Données projet'!$E$11+1,1))</f>
        <v>165.87377022031535</v>
      </c>
      <c r="BJ150" s="59">
        <f t="shared" si="146"/>
        <v>272.91122662088929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13.50787960390644</v>
      </c>
      <c r="BQ150" s="21">
        <f>EXP(-LN(2)/25)*BQ149+(1-EXP(-LN(2)/25))/(LN(2)/25)*Calculateur!BL150*Calculateur!BN150*VLOOKUP('Données projet'!$B$11,Paramètres!$A$1:$I$89,3,0)*0.475*44/12</f>
        <v>1.986294502033731</v>
      </c>
      <c r="BR150" s="21">
        <f>EXP(-LN(2)/2)*BR149+(1-EXP(-LN(2)/2))/(LN(2)/2)*BL150*BO150*VLOOKUP('Données projet'!$B$11,Paramètres!$A$1:$I$89,3,0)*0.475*44/12</f>
        <v>2.0226897353963779E-15</v>
      </c>
      <c r="BS150" s="22">
        <f t="shared" si="117"/>
        <v>15.494174105940173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9.7629999999999946</v>
      </c>
      <c r="BY150" s="12">
        <f>IF('Données projet'!$A$114&gt;35,BY149+BX150-CG149,IF(A150&lt;'Données projet'!$A$114,$BV$205^A150,IF(A150='Données projet'!$A$114,'Données projet'!$B$114,BY149+BX150-CG149)))</f>
        <v>578.38100000000031</v>
      </c>
      <c r="BZ150" s="13">
        <f>BY150*VLOOKUP('Données projet'!$B$12,Paramètres!$A$1:$I$89,3,0)*VLOOKUP('Données projet'!$B$12,Paramètres!$A$1:$I$89,5,0)</f>
        <v>523.31912880000027</v>
      </c>
      <c r="CA150" s="13">
        <f t="shared" si="147"/>
        <v>116.37353886784062</v>
      </c>
      <c r="CB150" s="20">
        <f t="shared" si="118"/>
        <v>1114.131396188156</v>
      </c>
      <c r="CC150" s="59">
        <f t="shared" si="119"/>
        <v>1407.4647295214893</v>
      </c>
      <c r="CD150" s="59">
        <f ca="1">AVERAGE(OFFSET($CC$3,0,0,'Données projet'!$E$12+1,1))-AVERAGE(OFFSET($H$3,0,0,'Données projet'!$E$12+1,1))</f>
        <v>639.86968831634636</v>
      </c>
      <c r="CE150" s="59">
        <f t="shared" si="148"/>
        <v>218.1556771431184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52.029210254782853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52.029210254782853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9.9316821433603781E-14</v>
      </c>
      <c r="CV150" s="13">
        <f t="shared" si="149"/>
        <v>1.4932118279712753E-12</v>
      </c>
      <c r="CW150" s="20">
        <f t="shared" si="121"/>
        <v>2.7736540643801645E-12</v>
      </c>
      <c r="CX150" s="59">
        <f t="shared" si="122"/>
        <v>293.3333333333361</v>
      </c>
      <c r="CY150" s="59">
        <f ca="1">AVERAGE(OFFSET($CX$3,0,0,'Données projet'!$E$13+1,1))-AVERAGE(OFFSET($H$3,0,0,'Données projet'!$E$13+1,1))</f>
        <v>218.76600554860482</v>
      </c>
      <c r="CZ150" s="59">
        <f t="shared" si="150"/>
        <v>264.34840059907702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10.070123625571577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10.070123625571577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-1.7053025658242404E-13</v>
      </c>
      <c r="DP150" s="17">
        <f>DO150*VLOOKUP('Données projet'!$B$14,Paramètres!$A$1:$I$89,3,0)*VLOOKUP('Données projet'!$B$14,Paramètres!$A$1:$I$89,5,0)</f>
        <v>-1.4631496014771985E-13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442.97490100035287</v>
      </c>
      <c r="DU150" s="59">
        <f t="shared" si="152"/>
        <v>334.36243356457049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69.659536021606257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69.659536021606257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5.6843418860808015E-14</v>
      </c>
      <c r="EK150" s="17">
        <f>EJ150*VLOOKUP('Données projet'!$B$15,Paramètres!$A$1:$I$89,3,0)*VLOOKUP('Données projet'!$B$15,Paramètres!$A$1:$I$89,5,0)</f>
        <v>4.4337866711430253E-14</v>
      </c>
      <c r="EL150" s="13">
        <f t="shared" si="153"/>
        <v>7.3222115536967035E-13</v>
      </c>
      <c r="EM150" s="20">
        <f t="shared" si="127"/>
        <v>1.3525069634579169E-12</v>
      </c>
      <c r="EN150" s="59">
        <f t="shared" si="128"/>
        <v>293.33333333333468</v>
      </c>
      <c r="EO150" s="59">
        <f ca="1">AVERAGE(OFFSET($EN$3,0,0,'Données projet'!$E$15+1,1))-AVERAGE(OFFSET($H$3,0,0,'Données projet'!$E$15+1,1))</f>
        <v>288.82868507674738</v>
      </c>
      <c r="EP150" s="59">
        <f t="shared" si="154"/>
        <v>283.48738729114024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17.628681323625564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17.628681323625564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328.55201074501201</v>
      </c>
      <c r="FK150" s="59">
        <f t="shared" si="156"/>
        <v>321.81422611044985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25.463483452790907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25.463483452790907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353.37024194969638</v>
      </c>
      <c r="GF150" s="59">
        <f t="shared" si="158"/>
        <v>345.4750813433123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34.056306666449146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34.056306666449146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1.2710188457276673E-13</v>
      </c>
      <c r="P151" s="13">
        <f t="shared" si="141"/>
        <v>1.856866851063998E-12</v>
      </c>
      <c r="Q151" s="20">
        <f t="shared" si="108"/>
        <v>3.4554122145673649E-12</v>
      </c>
      <c r="R151" s="59">
        <f t="shared" si="109"/>
        <v>293.33333333333678</v>
      </c>
      <c r="S151" s="59">
        <f ca="1">AVERAGE(OFFSET($R$3,0,0,'Données projet'!$E$9+1,1))-AVERAGE(OFFSET($H$3,0,0,'Données projet'!$E$9+1,1))</f>
        <v>404.65492118472037</v>
      </c>
      <c r="T151" s="59">
        <f t="shared" si="142"/>
        <v>534.22295841722166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43.660907608810412</v>
      </c>
      <c r="AA151" s="21">
        <f>EXP(-LN(2)/25)*AA150+(1-EXP(-LN(2)/25))/(LN(2)/25)*Calculateur!V151*Calculateur!X151*VLOOKUP('Données projet'!$B$9,Paramètres!$A$1:$I$89,3,0)*0.475*44/12</f>
        <v>5.4256613237223634</v>
      </c>
      <c r="AB151" s="21">
        <f>EXP(-LN(2)/2)*AB150+(1-EXP(-LN(2)/2))/(LN(2)/2)*V151*Y151*VLOOKUP('Données projet'!$B$9,Paramètres!$A$1:$I$89,3,0)*0.475*44/12</f>
        <v>2.9860889142815243E-13</v>
      </c>
      <c r="AC151" s="22">
        <f t="shared" si="111"/>
        <v>49.086568932533076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-7.9808160080574461E-14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331.17634116262298</v>
      </c>
      <c r="AO151" s="59">
        <f t="shared" si="144"/>
        <v>286.28916368940605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63.506756444309289</v>
      </c>
      <c r="AV151" s="21">
        <f>EXP(-LN(2)/25)*AV150+(1-EXP(-LN(2)/25))/(LN(2)/25)*Calculateur!AQ151*Calculateur!AS151*VLOOKUP('Données projet'!$B$10,Paramètres!$A$1:$I$89,3,0)*0.475*44/12</f>
        <v>15.537973120891687</v>
      </c>
      <c r="AW151" s="21">
        <f>EXP(-LN(2)/2)*AW150+(1-EXP(-LN(2)/2))/(LN(2)/2)*AQ151*AT151*VLOOKUP('Données projet'!$B$10,Paramètres!$A$1:$I$89,3,0)*0.475*44/12</f>
        <v>1.4793848811089292E-6</v>
      </c>
      <c r="AX151" s="21">
        <f t="shared" si="114"/>
        <v>79.044731044585859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1.4210854715202004E-13</v>
      </c>
      <c r="BE151" s="13">
        <f>BD151*VLOOKUP('Données projet'!$B$11,Paramètres!$A$1:$I$89,3,0)*VLOOKUP('Données projet'!$B$11,Paramètres!$A$1:$I$89,5,0)</f>
        <v>7.7591266745002952E-14</v>
      </c>
      <c r="BF151" s="13">
        <f t="shared" si="145"/>
        <v>1.2005788606873384E-12</v>
      </c>
      <c r="BG151" s="20">
        <f t="shared" si="115"/>
        <v>2.226146305277994E-12</v>
      </c>
      <c r="BH151" s="59">
        <f t="shared" si="116"/>
        <v>293.33333333333553</v>
      </c>
      <c r="BI151" s="59">
        <f ca="1">AVERAGE(OFFSET($BH$3,0,0,'Données projet'!$E$11+1,1))-AVERAGE(OFFSET($H$3,0,0,'Données projet'!$E$11+1,1))</f>
        <v>165.87377022031535</v>
      </c>
      <c r="BJ151" s="59">
        <f t="shared" si="146"/>
        <v>272.91122662088929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13.24299832386686</v>
      </c>
      <c r="BQ151" s="21">
        <f>EXP(-LN(2)/25)*BQ150+(1-EXP(-LN(2)/25))/(LN(2)/25)*Calculateur!BL151*Calculateur!BN151*VLOOKUP('Données projet'!$B$11,Paramètres!$A$1:$I$89,3,0)*0.475*44/12</f>
        <v>1.9319791744209305</v>
      </c>
      <c r="BR151" s="21">
        <f>EXP(-LN(2)/2)*BR150+(1-EXP(-LN(2)/2))/(LN(2)/2)*BL151*BO151*VLOOKUP('Données projet'!$B$11,Paramètres!$A$1:$I$89,3,0)*0.475*44/12</f>
        <v>1.4302576281352024E-15</v>
      </c>
      <c r="BS151" s="22">
        <f t="shared" si="117"/>
        <v>15.174977498287793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9.7629999999999946</v>
      </c>
      <c r="BY151" s="12">
        <f>IF('Données projet'!$A$114&gt;35,BY150+BX151-CG150,IF(A151&lt;'Données projet'!$A$114,$BV$205^A151,IF(A151='Données projet'!$A$114,'Données projet'!$B$114,BY150+BX151-CG150)))</f>
        <v>588.14400000000035</v>
      </c>
      <c r="BZ151" s="13">
        <f>BY151*VLOOKUP('Données projet'!$B$12,Paramètres!$A$1:$I$89,3,0)*VLOOKUP('Données projet'!$B$12,Paramètres!$A$1:$I$89,5,0)</f>
        <v>532.15269120000028</v>
      </c>
      <c r="CA151" s="13">
        <f t="shared" si="147"/>
        <v>118.10756250993946</v>
      </c>
      <c r="CB151" s="20">
        <f t="shared" si="118"/>
        <v>1132.5366085448115</v>
      </c>
      <c r="CC151" s="59">
        <f t="shared" si="119"/>
        <v>1425.8699418781448</v>
      </c>
      <c r="CD151" s="59">
        <f ca="1">AVERAGE(OFFSET($CC$3,0,0,'Données projet'!$E$12+1,1))-AVERAGE(OFFSET($H$3,0,0,'Données projet'!$E$12+1,1))</f>
        <v>639.86968831634636</v>
      </c>
      <c r="CE151" s="59">
        <f t="shared" si="148"/>
        <v>218.1556771431184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51.008949176371274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51.008949176371274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9.9316821433603781E-14</v>
      </c>
      <c r="CV151" s="13">
        <f t="shared" si="149"/>
        <v>1.4932118279712753E-12</v>
      </c>
      <c r="CW151" s="20">
        <f t="shared" si="121"/>
        <v>2.7736540643801645E-12</v>
      </c>
      <c r="CX151" s="59">
        <f t="shared" si="122"/>
        <v>293.3333333333361</v>
      </c>
      <c r="CY151" s="59">
        <f ca="1">AVERAGE(OFFSET($CX$3,0,0,'Données projet'!$E$13+1,1))-AVERAGE(OFFSET($H$3,0,0,'Données projet'!$E$13+1,1))</f>
        <v>218.76600554860482</v>
      </c>
      <c r="CZ151" s="59">
        <f t="shared" si="150"/>
        <v>264.34840059907702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9.8726546434430418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9.8726546434430418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-1.7053025658242404E-13</v>
      </c>
      <c r="DP151" s="17">
        <f>DO151*VLOOKUP('Données projet'!$B$14,Paramètres!$A$1:$I$89,3,0)*VLOOKUP('Données projet'!$B$14,Paramètres!$A$1:$I$89,5,0)</f>
        <v>-1.4631496014771985E-13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442.97490100035287</v>
      </c>
      <c r="DU151" s="59">
        <f t="shared" si="152"/>
        <v>334.36243356457049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68.293555008344185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68.293555008344185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5.6843418860808015E-14</v>
      </c>
      <c r="EK151" s="17">
        <f>EJ151*VLOOKUP('Données projet'!$B$15,Paramètres!$A$1:$I$89,3,0)*VLOOKUP('Données projet'!$B$15,Paramètres!$A$1:$I$89,5,0)</f>
        <v>4.4337866711430253E-14</v>
      </c>
      <c r="EL151" s="13">
        <f t="shared" si="153"/>
        <v>7.3222115536967035E-13</v>
      </c>
      <c r="EM151" s="20">
        <f t="shared" si="127"/>
        <v>1.3525069634579169E-12</v>
      </c>
      <c r="EN151" s="59">
        <f t="shared" si="128"/>
        <v>293.33333333333468</v>
      </c>
      <c r="EO151" s="59">
        <f ca="1">AVERAGE(OFFSET($EN$3,0,0,'Données projet'!$E$15+1,1))-AVERAGE(OFFSET($H$3,0,0,'Données projet'!$E$15+1,1))</f>
        <v>288.82868507674738</v>
      </c>
      <c r="EP151" s="59">
        <f t="shared" si="154"/>
        <v>283.48738729114024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17.282993635303161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17.282993635303161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328.55201074501201</v>
      </c>
      <c r="FK151" s="59">
        <f t="shared" si="156"/>
        <v>321.81422611044985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24.964160073473007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24.964160073473007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353.37024194969638</v>
      </c>
      <c r="GF151" s="59">
        <f t="shared" si="158"/>
        <v>345.4750813433123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33.388483265016049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33.388483265016049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1.2710188457276673E-13</v>
      </c>
      <c r="P152" s="13">
        <f t="shared" si="141"/>
        <v>1.856866851063998E-12</v>
      </c>
      <c r="Q152" s="20">
        <f t="shared" si="108"/>
        <v>3.4554122145673649E-12</v>
      </c>
      <c r="R152" s="59">
        <f t="shared" si="109"/>
        <v>293.33333333333678</v>
      </c>
      <c r="S152" s="59">
        <f ca="1">AVERAGE(OFFSET($R$3,0,0,'Données projet'!$E$9+1,1))-AVERAGE(OFFSET($H$3,0,0,'Données projet'!$E$9+1,1))</f>
        <v>404.65492118472037</v>
      </c>
      <c r="T152" s="59">
        <f t="shared" si="142"/>
        <v>534.22295841722166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42.804743841125735</v>
      </c>
      <c r="AA152" s="21">
        <f>EXP(-LN(2)/25)*AA151+(1-EXP(-LN(2)/25))/(LN(2)/25)*Calculateur!V152*Calculateur!X152*VLOOKUP('Données projet'!$B$9,Paramètres!$A$1:$I$89,3,0)*0.475*44/12</f>
        <v>5.2772963295020467</v>
      </c>
      <c r="AB152" s="21">
        <f>EXP(-LN(2)/2)*AB151+(1-EXP(-LN(2)/2))/(LN(2)/2)*V152*Y152*VLOOKUP('Données projet'!$B$9,Paramètres!$A$1:$I$89,3,0)*0.475*44/12</f>
        <v>2.1114837205144411E-13</v>
      </c>
      <c r="AC152" s="22">
        <f t="shared" si="111"/>
        <v>48.082040170627991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-7.9808160080574461E-14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331.17634116262298</v>
      </c>
      <c r="AO152" s="59">
        <f t="shared" si="144"/>
        <v>286.28916368940605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62.261427685733025</v>
      </c>
      <c r="AV152" s="21">
        <f>EXP(-LN(2)/25)*AV151+(1-EXP(-LN(2)/25))/(LN(2)/25)*Calculateur!AQ152*Calculateur!AS152*VLOOKUP('Données projet'!$B$10,Paramètres!$A$1:$I$89,3,0)*0.475*44/12</f>
        <v>15.113086428794411</v>
      </c>
      <c r="AW152" s="21">
        <f>EXP(-LN(2)/2)*AW151+(1-EXP(-LN(2)/2))/(LN(2)/2)*AQ152*AT152*VLOOKUP('Données projet'!$B$10,Paramètres!$A$1:$I$89,3,0)*0.475*44/12</f>
        <v>1.0460830814169782E-6</v>
      </c>
      <c r="AX152" s="21">
        <f t="shared" si="114"/>
        <v>77.374515160610528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1.4210854715202004E-13</v>
      </c>
      <c r="BE152" s="13">
        <f>BD152*VLOOKUP('Données projet'!$B$11,Paramètres!$A$1:$I$89,3,0)*VLOOKUP('Données projet'!$B$11,Paramètres!$A$1:$I$89,5,0)</f>
        <v>7.7591266745002952E-14</v>
      </c>
      <c r="BF152" s="13">
        <f t="shared" si="145"/>
        <v>1.2005788606873384E-12</v>
      </c>
      <c r="BG152" s="20">
        <f t="shared" si="115"/>
        <v>2.226146305277994E-12</v>
      </c>
      <c r="BH152" s="59">
        <f t="shared" si="116"/>
        <v>293.33333333333553</v>
      </c>
      <c r="BI152" s="59">
        <f ca="1">AVERAGE(OFFSET($BH$3,0,0,'Données projet'!$E$11+1,1))-AVERAGE(OFFSET($H$3,0,0,'Données projet'!$E$11+1,1))</f>
        <v>165.87377022031535</v>
      </c>
      <c r="BJ152" s="59">
        <f t="shared" si="146"/>
        <v>272.91122662088929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12.983311204167229</v>
      </c>
      <c r="BQ152" s="21">
        <f>EXP(-LN(2)/25)*BQ151+(1-EXP(-LN(2)/25))/(LN(2)/25)*Calculateur!BL152*Calculateur!BN152*VLOOKUP('Données projet'!$B$11,Paramètres!$A$1:$I$89,3,0)*0.475*44/12</f>
        <v>1.8791491022980209</v>
      </c>
      <c r="BR152" s="21">
        <f>EXP(-LN(2)/2)*BR151+(1-EXP(-LN(2)/2))/(LN(2)/2)*BL152*BO152*VLOOKUP('Données projet'!$B$11,Paramètres!$A$1:$I$89,3,0)*0.475*44/12</f>
        <v>1.011344867698189E-15</v>
      </c>
      <c r="BS152" s="22">
        <f t="shared" si="117"/>
        <v>14.862460306465252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9.7629999999999946</v>
      </c>
      <c r="BY152" s="12">
        <f>IF('Données projet'!$A$114&gt;35,BY151+BX152-CG151,IF(A152&lt;'Données projet'!$A$114,$BV$205^A152,IF(A152='Données projet'!$A$114,'Données projet'!$B$114,BY151+BX152-CG151)))</f>
        <v>597.90700000000038</v>
      </c>
      <c r="BZ152" s="13">
        <f>BY152*VLOOKUP('Données projet'!$B$12,Paramètres!$A$1:$I$89,3,0)*VLOOKUP('Données projet'!$B$12,Paramètres!$A$1:$I$89,5,0)</f>
        <v>540.98625360000028</v>
      </c>
      <c r="CA152" s="13">
        <f t="shared" si="147"/>
        <v>119.83823873983083</v>
      </c>
      <c r="CB152" s="20">
        <f t="shared" si="118"/>
        <v>1150.9359908252056</v>
      </c>
      <c r="CC152" s="59">
        <f t="shared" si="119"/>
        <v>1444.2693241585389</v>
      </c>
      <c r="CD152" s="59">
        <f ca="1">AVERAGE(OFFSET($CC$3,0,0,'Données projet'!$E$12+1,1))-AVERAGE(OFFSET($H$3,0,0,'Données projet'!$E$12+1,1))</f>
        <v>639.86968831634636</v>
      </c>
      <c r="CE152" s="59">
        <f t="shared" si="148"/>
        <v>218.1556771431184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50.008694795409539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50.008694795409539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9.9316821433603781E-14</v>
      </c>
      <c r="CV152" s="13">
        <f t="shared" si="149"/>
        <v>1.4932118279712753E-12</v>
      </c>
      <c r="CW152" s="20">
        <f t="shared" si="121"/>
        <v>2.7736540643801645E-12</v>
      </c>
      <c r="CX152" s="59">
        <f t="shared" si="122"/>
        <v>293.3333333333361</v>
      </c>
      <c r="CY152" s="59">
        <f ca="1">AVERAGE(OFFSET($CX$3,0,0,'Données projet'!$E$13+1,1))-AVERAGE(OFFSET($H$3,0,0,'Données projet'!$E$13+1,1))</f>
        <v>218.76600554860482</v>
      </c>
      <c r="CZ152" s="59">
        <f t="shared" si="150"/>
        <v>264.34840059907702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9.6790579076098595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9.6790579076098595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-1.7053025658242404E-13</v>
      </c>
      <c r="DP152" s="17">
        <f>DO152*VLOOKUP('Données projet'!$B$14,Paramètres!$A$1:$I$89,3,0)*VLOOKUP('Données projet'!$B$14,Paramètres!$A$1:$I$89,5,0)</f>
        <v>-1.4631496014771985E-13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442.97490100035287</v>
      </c>
      <c r="DU152" s="59">
        <f t="shared" si="152"/>
        <v>334.36243356457049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66.954360049586029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66.954360049586029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5.6843418860808015E-14</v>
      </c>
      <c r="EK152" s="17">
        <f>EJ152*VLOOKUP('Données projet'!$B$15,Paramètres!$A$1:$I$89,3,0)*VLOOKUP('Données projet'!$B$15,Paramètres!$A$1:$I$89,5,0)</f>
        <v>4.4337866711430253E-14</v>
      </c>
      <c r="EL152" s="13">
        <f t="shared" si="153"/>
        <v>7.3222115536967035E-13</v>
      </c>
      <c r="EM152" s="20">
        <f t="shared" si="127"/>
        <v>1.3525069634579169E-12</v>
      </c>
      <c r="EN152" s="59">
        <f t="shared" si="128"/>
        <v>293.33333333333468</v>
      </c>
      <c r="EO152" s="59">
        <f ca="1">AVERAGE(OFFSET($EN$3,0,0,'Données projet'!$E$15+1,1))-AVERAGE(OFFSET($H$3,0,0,'Données projet'!$E$15+1,1))</f>
        <v>288.82868507674738</v>
      </c>
      <c r="EP152" s="59">
        <f t="shared" si="154"/>
        <v>283.48738729114024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16.944084671700089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16.944084671700089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328.55201074501201</v>
      </c>
      <c r="FK152" s="59">
        <f t="shared" si="156"/>
        <v>321.81422611044985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24.474628121066342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24.474628121066342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353.37024194969638</v>
      </c>
      <c r="GF152" s="59">
        <f t="shared" si="158"/>
        <v>345.4750813433123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32.733755473153003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32.733755473153003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1.2710188457276673E-13</v>
      </c>
      <c r="P153" s="13">
        <f t="shared" si="141"/>
        <v>1.856866851063998E-12</v>
      </c>
      <c r="Q153" s="20">
        <f t="shared" si="108"/>
        <v>3.4554122145673649E-12</v>
      </c>
      <c r="R153" s="59">
        <f t="shared" si="109"/>
        <v>293.33333333333678</v>
      </c>
      <c r="S153" s="59">
        <f ca="1">AVERAGE(OFFSET($R$3,0,0,'Données projet'!$E$9+1,1))-AVERAGE(OFFSET($H$3,0,0,'Données projet'!$E$9+1,1))</f>
        <v>404.65492118472037</v>
      </c>
      <c r="T153" s="59">
        <f t="shared" si="142"/>
        <v>534.22295841722166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41.965368922717019</v>
      </c>
      <c r="AA153" s="21">
        <f>EXP(-LN(2)/25)*AA152+(1-EXP(-LN(2)/25))/(LN(2)/25)*Calculateur!V153*Calculateur!X153*VLOOKUP('Données projet'!$B$9,Paramètres!$A$1:$I$89,3,0)*0.475*44/12</f>
        <v>5.1329883838508605</v>
      </c>
      <c r="AB153" s="21">
        <f>EXP(-LN(2)/2)*AB152+(1-EXP(-LN(2)/2))/(LN(2)/2)*V153*Y153*VLOOKUP('Données projet'!$B$9,Paramètres!$A$1:$I$89,3,0)*0.475*44/12</f>
        <v>1.4930444571407622E-13</v>
      </c>
      <c r="AC153" s="22">
        <f t="shared" si="111"/>
        <v>47.098357306568026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-7.9808160080574461E-14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331.17634116262298</v>
      </c>
      <c r="AO153" s="59">
        <f t="shared" si="144"/>
        <v>286.28916368940605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61.040519064536895</v>
      </c>
      <c r="AV153" s="21">
        <f>EXP(-LN(2)/25)*AV152+(1-EXP(-LN(2)/25))/(LN(2)/25)*Calculateur!AQ153*Calculateur!AS153*VLOOKUP('Données projet'!$B$10,Paramètres!$A$1:$I$89,3,0)*0.475*44/12</f>
        <v>14.699818285636354</v>
      </c>
      <c r="AW153" s="21">
        <f>EXP(-LN(2)/2)*AW152+(1-EXP(-LN(2)/2))/(LN(2)/2)*AQ153*AT153*VLOOKUP('Données projet'!$B$10,Paramètres!$A$1:$I$89,3,0)*0.475*44/12</f>
        <v>7.3969244055446458E-7</v>
      </c>
      <c r="AX153" s="21">
        <f t="shared" si="114"/>
        <v>75.740338089865688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1.4210854715202004E-13</v>
      </c>
      <c r="BE153" s="13">
        <f>BD153*VLOOKUP('Données projet'!$B$11,Paramètres!$A$1:$I$89,3,0)*VLOOKUP('Données projet'!$B$11,Paramètres!$A$1:$I$89,5,0)</f>
        <v>7.7591266745002952E-14</v>
      </c>
      <c r="BF153" s="13">
        <f t="shared" si="145"/>
        <v>1.2005788606873384E-12</v>
      </c>
      <c r="BG153" s="20">
        <f t="shared" si="115"/>
        <v>2.226146305277994E-12</v>
      </c>
      <c r="BH153" s="59">
        <f t="shared" si="116"/>
        <v>293.33333333333553</v>
      </c>
      <c r="BI153" s="59">
        <f ca="1">AVERAGE(OFFSET($BH$3,0,0,'Données projet'!$E$11+1,1))-AVERAGE(OFFSET($H$3,0,0,'Données projet'!$E$11+1,1))</f>
        <v>165.87377022031535</v>
      </c>
      <c r="BJ153" s="59">
        <f t="shared" si="146"/>
        <v>272.91122662088929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12.728716390491405</v>
      </c>
      <c r="BQ153" s="21">
        <f>EXP(-LN(2)/25)*BQ152+(1-EXP(-LN(2)/25))/(LN(2)/25)*Calculateur!BL153*Calculateur!BN153*VLOOKUP('Données projet'!$B$11,Paramètres!$A$1:$I$89,3,0)*0.475*44/12</f>
        <v>1.8277636712755252</v>
      </c>
      <c r="BR153" s="21">
        <f>EXP(-LN(2)/2)*BR152+(1-EXP(-LN(2)/2))/(LN(2)/2)*BL153*BO153*VLOOKUP('Données projet'!$B$11,Paramètres!$A$1:$I$89,3,0)*0.475*44/12</f>
        <v>7.1512881406760118E-16</v>
      </c>
      <c r="BS153" s="22">
        <f t="shared" si="117"/>
        <v>14.55648006176693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607.66999999999996</v>
      </c>
      <c r="BW153" s="12">
        <f>VLOOKUP(A153,'Données projet'!$A$113:$I$133,9,0)</f>
        <v>9.7629999999999946</v>
      </c>
      <c r="BX153" s="12">
        <f t="array" ref="BX153">INDEX(BW:BW,MIN(IF(ISNUMBER(BW153:BW349),ROW(BW153:BW349),"")))</f>
        <v>9.7629999999999946</v>
      </c>
      <c r="BY153" s="12">
        <f>IF('Données projet'!$A$114&gt;35,BY152+BX153-CG152,IF(A153&lt;'Données projet'!$A$114,$BV$205^A153,IF(A153='Données projet'!$A$114,'Données projet'!$B$114,BY152+BX153-CG152)))</f>
        <v>607.67000000000041</v>
      </c>
      <c r="BZ153" s="13">
        <f>BY153*VLOOKUP('Données projet'!$B$12,Paramètres!$A$1:$I$89,3,0)*VLOOKUP('Données projet'!$B$12,Paramètres!$A$1:$I$89,5,0)</f>
        <v>549.8198160000004</v>
      </c>
      <c r="CA153" s="13">
        <f t="shared" si="147"/>
        <v>121.56562852592954</v>
      </c>
      <c r="CB153" s="20">
        <f t="shared" si="118"/>
        <v>1169.3296492159946</v>
      </c>
      <c r="CC153" s="59">
        <f t="shared" si="119"/>
        <v>1462.6629825493278</v>
      </c>
      <c r="CD153" s="59">
        <f ca="1">AVERAGE(OFFSET($CC$3,0,0,'Données projet'!$E$12+1,1))-AVERAGE(OFFSET($H$3,0,0,'Données projet'!$E$12+1,1))</f>
        <v>639.86968831634636</v>
      </c>
      <c r="CE153" s="59">
        <f t="shared" si="148"/>
        <v>218.1556771431184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234.51</v>
      </c>
      <c r="CH153" s="16">
        <f>IF(ISNA(VLOOKUP(A153,'Données projet'!$A$113:$I$133,5,0)),0%,VLOOKUP(A153,'Données projet'!$A$113:$I$133,5,0)*VLOOKUP('Données projet'!$B$12,Paramètres!$A$1:$I$89,7,0))</f>
        <v>0.25800000000000001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109.54552637851488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109.54552637851488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9.9316821433603781E-14</v>
      </c>
      <c r="CV153" s="13">
        <f t="shared" si="149"/>
        <v>1.4932118279712753E-12</v>
      </c>
      <c r="CW153" s="20">
        <f t="shared" si="121"/>
        <v>2.7736540643801645E-12</v>
      </c>
      <c r="CX153" s="59">
        <f t="shared" si="122"/>
        <v>293.3333333333361</v>
      </c>
      <c r="CY153" s="59">
        <f ca="1">AVERAGE(OFFSET($CX$3,0,0,'Données projet'!$E$13+1,1))-AVERAGE(OFFSET($H$3,0,0,'Données projet'!$E$13+1,1))</f>
        <v>218.76600554860482</v>
      </c>
      <c r="CZ153" s="59">
        <f t="shared" si="150"/>
        <v>264.34840059907702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9.4892574856840177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9.4892574856840177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-1.7053025658242404E-13</v>
      </c>
      <c r="DP153" s="17">
        <f>DO153*VLOOKUP('Données projet'!$B$14,Paramètres!$A$1:$I$89,3,0)*VLOOKUP('Données projet'!$B$14,Paramètres!$A$1:$I$89,5,0)</f>
        <v>-1.4631496014771985E-13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442.97490100035287</v>
      </c>
      <c r="DU153" s="59">
        <f t="shared" si="152"/>
        <v>334.36243356457049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65.641425887140841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65.641425887140841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5.6843418860808015E-14</v>
      </c>
      <c r="EK153" s="17">
        <f>EJ153*VLOOKUP('Données projet'!$B$15,Paramètres!$A$1:$I$89,3,0)*VLOOKUP('Données projet'!$B$15,Paramètres!$A$1:$I$89,5,0)</f>
        <v>4.4337866711430253E-14</v>
      </c>
      <c r="EL153" s="13">
        <f t="shared" si="153"/>
        <v>7.3222115536967035E-13</v>
      </c>
      <c r="EM153" s="20">
        <f t="shared" si="127"/>
        <v>1.3525069634579169E-12</v>
      </c>
      <c r="EN153" s="59">
        <f t="shared" si="128"/>
        <v>293.33333333333468</v>
      </c>
      <c r="EO153" s="59">
        <f ca="1">AVERAGE(OFFSET($EN$3,0,0,'Données projet'!$E$15+1,1))-AVERAGE(OFFSET($H$3,0,0,'Données projet'!$E$15+1,1))</f>
        <v>288.82868507674738</v>
      </c>
      <c r="EP153" s="59">
        <f t="shared" si="154"/>
        <v>283.48738729114024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16.611821506159217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16.611821506159217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328.55201074501201</v>
      </c>
      <c r="FK153" s="59">
        <f t="shared" si="156"/>
        <v>321.81422611044985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23.994695591661362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23.994695591661362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353.37024194969638</v>
      </c>
      <c r="GF153" s="59">
        <f t="shared" si="158"/>
        <v>345.4750813433123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32.091866493943868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32.091866493943868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1.2710188457276673E-13</v>
      </c>
      <c r="P154" s="13">
        <f t="shared" si="141"/>
        <v>1.856866851063998E-12</v>
      </c>
      <c r="Q154" s="20">
        <f t="shared" ref="Q154:Q203" si="162">(O154+P154)*0.475*44/12</f>
        <v>3.4554122145673649E-12</v>
      </c>
      <c r="R154" s="59">
        <f t="shared" si="109"/>
        <v>293.33333333333678</v>
      </c>
      <c r="S154" s="59">
        <f ca="1">AVERAGE(OFFSET($R$3,0,0,'Données projet'!$E$9+1,1))-AVERAGE(OFFSET($H$3,0,0,'Données projet'!$E$9+1,1))</f>
        <v>404.65492118472037</v>
      </c>
      <c r="T154" s="59">
        <f t="shared" si="142"/>
        <v>534.22295841722166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41.142453634490153</v>
      </c>
      <c r="AA154" s="21">
        <f>EXP(-LN(2)/25)*AA153+(1-EXP(-LN(2)/25))/(LN(2)/25)*Calculateur!V154*Calculateur!X154*VLOOKUP('Données projet'!$B$9,Paramètres!$A$1:$I$89,3,0)*0.475*44/12</f>
        <v>4.992626546562331</v>
      </c>
      <c r="AB154" s="21">
        <f>EXP(-LN(2)/2)*AB153+(1-EXP(-LN(2)/2))/(LN(2)/2)*V154*Y154*VLOOKUP('Données projet'!$B$9,Paramètres!$A$1:$I$89,3,0)*0.475*44/12</f>
        <v>1.0557418602572206E-13</v>
      </c>
      <c r="AC154" s="22">
        <f t="shared" ref="AC154:AC203" si="163">SUM(Z154:AB154)</f>
        <v>46.135080181052594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-7.9808160080574461E-14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331.17634116262298</v>
      </c>
      <c r="AO154" s="59">
        <f t="shared" si="144"/>
        <v>286.28916368940605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59.843551716721699</v>
      </c>
      <c r="AV154" s="21">
        <f>EXP(-LN(2)/25)*AV153+(1-EXP(-LN(2)/25))/(LN(2)/25)*Calculateur!AQ154*Calculateur!AS154*VLOOKUP('Données projet'!$B$10,Paramètres!$A$1:$I$89,3,0)*0.475*44/12</f>
        <v>14.297850981585782</v>
      </c>
      <c r="AW154" s="21">
        <f>EXP(-LN(2)/2)*AW153+(1-EXP(-LN(2)/2))/(LN(2)/2)*AQ154*AT154*VLOOKUP('Données projet'!$B$10,Paramètres!$A$1:$I$89,3,0)*0.475*44/12</f>
        <v>5.2304154070848909E-7</v>
      </c>
      <c r="AX154" s="21">
        <f t="shared" ref="AX154:AX203" si="166">SUM(AU154:AW154)</f>
        <v>74.141403221349009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1.4210854715202004E-13</v>
      </c>
      <c r="BE154" s="13">
        <f>BD154*VLOOKUP('Données projet'!$B$11,Paramètres!$A$1:$I$89,3,0)*VLOOKUP('Données projet'!$B$11,Paramètres!$A$1:$I$89,5,0)</f>
        <v>7.7591266745002952E-14</v>
      </c>
      <c r="BF154" s="13">
        <f t="shared" ref="BF154:BF203" si="167">EXP(-1.0587+0.8836*LN(BE154)+0.284)</f>
        <v>1.2005788606873384E-12</v>
      </c>
      <c r="BG154" s="20">
        <f t="shared" ref="BG154:BG203" si="168">(BE154+BF154)*0.475*44/12</f>
        <v>2.226146305277994E-12</v>
      </c>
      <c r="BH154" s="59">
        <f t="shared" si="116"/>
        <v>293.33333333333553</v>
      </c>
      <c r="BI154" s="59">
        <f ca="1">AVERAGE(OFFSET($BH$3,0,0,'Données projet'!$E$11+1,1))-AVERAGE(OFFSET($H$3,0,0,'Données projet'!$E$11+1,1))</f>
        <v>165.87377022031535</v>
      </c>
      <c r="BJ154" s="59">
        <f t="shared" si="146"/>
        <v>272.91122662088929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12.479114025824259</v>
      </c>
      <c r="BQ154" s="21">
        <f>EXP(-LN(2)/25)*BQ153+(1-EXP(-LN(2)/25))/(LN(2)/25)*Calculateur!BL154*Calculateur!BN154*VLOOKUP('Données projet'!$B$11,Paramètres!$A$1:$I$89,3,0)*0.475*44/12</f>
        <v>1.7777833775665819</v>
      </c>
      <c r="BR154" s="21">
        <f>EXP(-LN(2)/2)*BR153+(1-EXP(-LN(2)/2))/(LN(2)/2)*BL154*BO154*VLOOKUP('Données projet'!$B$11,Paramètres!$A$1:$I$89,3,0)*0.475*44/12</f>
        <v>5.0567243384909448E-16</v>
      </c>
      <c r="BS154" s="22">
        <f t="shared" ref="BS154:BS203" si="169">SUM(BP154:BR154)</f>
        <v>14.256897403390841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6.3166666666666815</v>
      </c>
      <c r="BY154" s="12">
        <f>IF('Données projet'!$A$114&gt;35,BY153+BX154-CG153,IF(A154&lt;'Données projet'!$A$114,$BV$205^A154,IF(A154='Données projet'!$A$114,'Données projet'!$B$114,BY153+BX154-CG153)))</f>
        <v>379.47666666666714</v>
      </c>
      <c r="BZ154" s="13">
        <f>BY154*VLOOKUP('Données projet'!$B$12,Paramètres!$A$1:$I$89,3,0)*VLOOKUP('Données projet'!$B$12,Paramètres!$A$1:$I$89,5,0)</f>
        <v>343.35048800000044</v>
      </c>
      <c r="CA154" s="13">
        <f t="shared" ref="CA154:CA203" si="170">EXP(-1.0587+0.8836*LN(BZ154)+0.284)</f>
        <v>80.191782891879257</v>
      </c>
      <c r="CB154" s="20">
        <f t="shared" ref="CB154:CB203" si="171">(BZ154+CA154)*0.475*44/12</f>
        <v>737.66945513669043</v>
      </c>
      <c r="CC154" s="59">
        <f t="shared" si="119"/>
        <v>1031.0027884700237</v>
      </c>
      <c r="CD154" s="59">
        <f ca="1">AVERAGE(OFFSET($CC$3,0,0,'Données projet'!$E$12+1,1))-AVERAGE(OFFSET($H$3,0,0,'Données projet'!$E$12+1,1))</f>
        <v>639.86968831634636</v>
      </c>
      <c r="CE154" s="59">
        <f t="shared" si="148"/>
        <v>218.1556771431184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107.39740542240574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107.39740542240574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9.9316821433603781E-14</v>
      </c>
      <c r="CV154" s="13">
        <f t="shared" ref="CV154:CV203" si="173">EXP(-1.0587+0.8836*LN(CU154)+0.284)</f>
        <v>1.4932118279712753E-12</v>
      </c>
      <c r="CW154" s="20">
        <f t="shared" ref="CW154:CW203" si="174">(CU154+CV154)*0.475*44/12</f>
        <v>2.7736540643801645E-12</v>
      </c>
      <c r="CX154" s="59">
        <f t="shared" si="122"/>
        <v>293.3333333333361</v>
      </c>
      <c r="CY154" s="59">
        <f ca="1">AVERAGE(OFFSET($CX$3,0,0,'Données projet'!$E$13+1,1))-AVERAGE(OFFSET($H$3,0,0,'Données projet'!$E$13+1,1))</f>
        <v>218.76600554860482</v>
      </c>
      <c r="CZ154" s="59">
        <f t="shared" si="150"/>
        <v>264.34840059907702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9.3031789342653148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9.3031789342653148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-1.7053025658242404E-13</v>
      </c>
      <c r="DP154" s="17">
        <f>DO154*VLOOKUP('Données projet'!$B$14,Paramètres!$A$1:$I$89,3,0)*VLOOKUP('Données projet'!$B$14,Paramètres!$A$1:$I$89,5,0)</f>
        <v>-1.4631496014771985E-13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442.97490100035287</v>
      </c>
      <c r="DU154" s="59">
        <f t="shared" si="152"/>
        <v>334.36243356457049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64.354237562810439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64.354237562810439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5.6843418860808015E-14</v>
      </c>
      <c r="EK154" s="17">
        <f>EJ154*VLOOKUP('Données projet'!$B$15,Paramètres!$A$1:$I$89,3,0)*VLOOKUP('Données projet'!$B$15,Paramètres!$A$1:$I$89,5,0)</f>
        <v>4.4337866711430253E-14</v>
      </c>
      <c r="EL154" s="13">
        <f t="shared" ref="EL154:EL203" si="179">EXP(-1.0587+0.8836*LN(EK154)+0.284)</f>
        <v>7.3222115536967035E-13</v>
      </c>
      <c r="EM154" s="20">
        <f t="shared" ref="EM154:EM203" si="180">(EK154+EL154)*0.475*44/12</f>
        <v>1.3525069634579169E-12</v>
      </c>
      <c r="EN154" s="59">
        <f t="shared" si="128"/>
        <v>293.33333333333468</v>
      </c>
      <c r="EO154" s="59">
        <f ca="1">AVERAGE(OFFSET($EN$3,0,0,'Données projet'!$E$15+1,1))-AVERAGE(OFFSET($H$3,0,0,'Données projet'!$E$15+1,1))</f>
        <v>288.82868507674738</v>
      </c>
      <c r="EP154" s="59">
        <f t="shared" si="154"/>
        <v>283.48738729114024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16.28607381863408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16.28607381863408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328.55201074501201</v>
      </c>
      <c r="FK154" s="59">
        <f t="shared" si="156"/>
        <v>321.81422611044985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23.524174246428075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23.524174246428075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353.37024194969638</v>
      </c>
      <c r="GF154" s="59">
        <f t="shared" si="158"/>
        <v>345.4750813433123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31.462564566103406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31.462564566103406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1.2710188457276673E-13</v>
      </c>
      <c r="P155" s="13">
        <f t="shared" si="141"/>
        <v>1.856866851063998E-12</v>
      </c>
      <c r="Q155" s="20">
        <f t="shared" si="162"/>
        <v>3.4554122145673649E-12</v>
      </c>
      <c r="R155" s="59">
        <f t="shared" si="109"/>
        <v>293.33333333333678</v>
      </c>
      <c r="S155" s="59">
        <f ca="1">AVERAGE(OFFSET($R$3,0,0,'Données projet'!$E$9+1,1))-AVERAGE(OFFSET($H$3,0,0,'Données projet'!$E$9+1,1))</f>
        <v>404.65492118472037</v>
      </c>
      <c r="T155" s="59">
        <f t="shared" si="142"/>
        <v>534.22295841722166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40.335675213136646</v>
      </c>
      <c r="AA155" s="21">
        <f>EXP(-LN(2)/25)*AA154+(1-EXP(-LN(2)/25))/(LN(2)/25)*Calculateur!V155*Calculateur!X155*VLOOKUP('Données projet'!$B$9,Paramètres!$A$1:$I$89,3,0)*0.475*44/12</f>
        <v>4.856102911095765</v>
      </c>
      <c r="AB155" s="21">
        <f>EXP(-LN(2)/2)*AB154+(1-EXP(-LN(2)/2))/(LN(2)/2)*V155*Y155*VLOOKUP('Données projet'!$B$9,Paramètres!$A$1:$I$89,3,0)*0.475*44/12</f>
        <v>7.4652222857038108E-14</v>
      </c>
      <c r="AC155" s="22">
        <f t="shared" si="163"/>
        <v>45.191778124232492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-7.9808160080574461E-14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331.17634116262298</v>
      </c>
      <c r="AO155" s="59">
        <f t="shared" si="144"/>
        <v>286.28916368940605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58.67005616851916</v>
      </c>
      <c r="AV155" s="21">
        <f>EXP(-LN(2)/25)*AV154+(1-EXP(-LN(2)/25))/(LN(2)/25)*Calculateur!AQ155*Calculateur!AS155*VLOOKUP('Données projet'!$B$10,Paramètres!$A$1:$I$89,3,0)*0.475*44/12</f>
        <v>13.906875494603014</v>
      </c>
      <c r="AW155" s="21">
        <f>EXP(-LN(2)/2)*AW154+(1-EXP(-LN(2)/2))/(LN(2)/2)*AQ155*AT155*VLOOKUP('Données projet'!$B$10,Paramètres!$A$1:$I$89,3,0)*0.475*44/12</f>
        <v>3.6984622027723229E-7</v>
      </c>
      <c r="AX155" s="21">
        <f t="shared" si="166"/>
        <v>72.576932032968386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1.4210854715202004E-13</v>
      </c>
      <c r="BE155" s="13">
        <f>BD155*VLOOKUP('Données projet'!$B$11,Paramètres!$A$1:$I$89,3,0)*VLOOKUP('Données projet'!$B$11,Paramètres!$A$1:$I$89,5,0)</f>
        <v>7.7591266745002952E-14</v>
      </c>
      <c r="BF155" s="13">
        <f t="shared" si="167"/>
        <v>1.2005788606873384E-12</v>
      </c>
      <c r="BG155" s="20">
        <f t="shared" si="168"/>
        <v>2.226146305277994E-12</v>
      </c>
      <c r="BH155" s="59">
        <f t="shared" si="116"/>
        <v>293.33333333333553</v>
      </c>
      <c r="BI155" s="59">
        <f ca="1">AVERAGE(OFFSET($BH$3,0,0,'Données projet'!$E$11+1,1))-AVERAGE(OFFSET($H$3,0,0,'Données projet'!$E$11+1,1))</f>
        <v>165.87377022031535</v>
      </c>
      <c r="BJ155" s="59">
        <f t="shared" si="146"/>
        <v>272.91122662088929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12.234406211285828</v>
      </c>
      <c r="BQ155" s="21">
        <f>EXP(-LN(2)/25)*BQ154+(1-EXP(-LN(2)/25))/(LN(2)/25)*Calculateur!BL155*Calculateur!BN155*VLOOKUP('Données projet'!$B$11,Paramètres!$A$1:$I$89,3,0)*0.475*44/12</f>
        <v>1.7291697976174591</v>
      </c>
      <c r="BR155" s="21">
        <f>EXP(-LN(2)/2)*BR154+(1-EXP(-LN(2)/2))/(LN(2)/2)*BL155*BO155*VLOOKUP('Données projet'!$B$11,Paramètres!$A$1:$I$89,3,0)*0.475*44/12</f>
        <v>3.5756440703380059E-16</v>
      </c>
      <c r="BS155" s="22">
        <f t="shared" si="169"/>
        <v>13.963576008903287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6.3166666666666815</v>
      </c>
      <c r="BY155" s="12">
        <f>IF('Données projet'!$A$114&gt;35,BY154+BX155-CG154,IF(A155&lt;'Données projet'!$A$114,$BV$205^A155,IF(A155='Données projet'!$A$114,'Données projet'!$B$114,BY154+BX155-CG154)))</f>
        <v>385.79333333333381</v>
      </c>
      <c r="BZ155" s="13">
        <f>BY155*VLOOKUP('Données projet'!$B$12,Paramètres!$A$1:$I$89,3,0)*VLOOKUP('Données projet'!$B$12,Paramètres!$A$1:$I$89,5,0)</f>
        <v>349.0658080000004</v>
      </c>
      <c r="CA155" s="13">
        <f t="shared" si="170"/>
        <v>81.370121491755953</v>
      </c>
      <c r="CB155" s="20">
        <f t="shared" si="171"/>
        <v>749.67591053147555</v>
      </c>
      <c r="CC155" s="59">
        <f t="shared" si="119"/>
        <v>1043.0092438648089</v>
      </c>
      <c r="CD155" s="59">
        <f ca="1">AVERAGE(OFFSET($CC$3,0,0,'Données projet'!$E$12+1,1))-AVERAGE(OFFSET($H$3,0,0,'Données projet'!$E$12+1,1))</f>
        <v>639.86968831634636</v>
      </c>
      <c r="CE155" s="59">
        <f t="shared" si="148"/>
        <v>218.1556771431184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105.29140780802149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105.29140780802149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9.9316821433603781E-14</v>
      </c>
      <c r="CV155" s="13">
        <f t="shared" si="173"/>
        <v>1.4932118279712753E-12</v>
      </c>
      <c r="CW155" s="20">
        <f t="shared" si="174"/>
        <v>2.7736540643801645E-12</v>
      </c>
      <c r="CX155" s="59">
        <f t="shared" si="122"/>
        <v>293.3333333333361</v>
      </c>
      <c r="CY155" s="59">
        <f ca="1">AVERAGE(OFFSET($CX$3,0,0,'Données projet'!$E$13+1,1))-AVERAGE(OFFSET($H$3,0,0,'Données projet'!$E$13+1,1))</f>
        <v>218.76600554860482</v>
      </c>
      <c r="CZ155" s="59">
        <f t="shared" si="150"/>
        <v>264.34840059907702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9.1207492697432233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9.1207492697432233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-1.7053025658242404E-13</v>
      </c>
      <c r="DP155" s="17">
        <f>DO155*VLOOKUP('Données projet'!$B$14,Paramètres!$A$1:$I$89,3,0)*VLOOKUP('Données projet'!$B$14,Paramètres!$A$1:$I$89,5,0)</f>
        <v>-1.4631496014771985E-13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442.97490100035287</v>
      </c>
      <c r="DU155" s="59">
        <f t="shared" si="152"/>
        <v>334.36243356457049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63.092290216412806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63.092290216412806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5.6843418860808015E-14</v>
      </c>
      <c r="EK155" s="17">
        <f>EJ155*VLOOKUP('Données projet'!$B$15,Paramètres!$A$1:$I$89,3,0)*VLOOKUP('Données projet'!$B$15,Paramètres!$A$1:$I$89,5,0)</f>
        <v>4.4337866711430253E-14</v>
      </c>
      <c r="EL155" s="13">
        <f t="shared" si="179"/>
        <v>7.3222115536967035E-13</v>
      </c>
      <c r="EM155" s="20">
        <f t="shared" si="180"/>
        <v>1.3525069634579169E-12</v>
      </c>
      <c r="EN155" s="59">
        <f t="shared" si="128"/>
        <v>293.33333333333468</v>
      </c>
      <c r="EO155" s="59">
        <f ca="1">AVERAGE(OFFSET($EN$3,0,0,'Données projet'!$E$15+1,1))-AVERAGE(OFFSET($H$3,0,0,'Données projet'!$E$15+1,1))</f>
        <v>288.82868507674738</v>
      </c>
      <c r="EP155" s="59">
        <f t="shared" si="154"/>
        <v>283.48738729114024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15.966713844574841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15.966713844574841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328.55201074501201</v>
      </c>
      <c r="FK155" s="59">
        <f t="shared" si="156"/>
        <v>321.81422611044985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23.062879537785129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23.062879537785129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353.37024194969638</v>
      </c>
      <c r="GF155" s="59">
        <f t="shared" si="158"/>
        <v>345.4750813433123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30.845602865231623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30.845602865231623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1.2710188457276673E-13</v>
      </c>
      <c r="P156" s="13">
        <f t="shared" si="141"/>
        <v>1.856866851063998E-12</v>
      </c>
      <c r="Q156" s="20">
        <f t="shared" si="162"/>
        <v>3.4554122145673649E-12</v>
      </c>
      <c r="R156" s="59">
        <f t="shared" si="109"/>
        <v>293.33333333333678</v>
      </c>
      <c r="S156" s="59">
        <f ca="1">AVERAGE(OFFSET($R$3,0,0,'Données projet'!$E$9+1,1))-AVERAGE(OFFSET($H$3,0,0,'Données projet'!$E$9+1,1))</f>
        <v>404.65492118472037</v>
      </c>
      <c r="T156" s="59">
        <f t="shared" si="142"/>
        <v>534.22295841722166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39.544717224539639</v>
      </c>
      <c r="AA156" s="21">
        <f>EXP(-LN(2)/25)*AA155+(1-EXP(-LN(2)/25))/(LN(2)/25)*Calculateur!V156*Calculateur!X156*VLOOKUP('Données projet'!$B$9,Paramètres!$A$1:$I$89,3,0)*0.475*44/12</f>
        <v>4.7233125216204979</v>
      </c>
      <c r="AB156" s="21">
        <f>EXP(-LN(2)/2)*AB155+(1-EXP(-LN(2)/2))/(LN(2)/2)*V156*Y156*VLOOKUP('Données projet'!$B$9,Paramètres!$A$1:$I$89,3,0)*0.475*44/12</f>
        <v>5.2787093012861028E-14</v>
      </c>
      <c r="AC156" s="22">
        <f t="shared" si="163"/>
        <v>44.268029746160188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-7.9808160080574461E-14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331.17634116262298</v>
      </c>
      <c r="AO156" s="59">
        <f t="shared" si="144"/>
        <v>286.28916368940605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57.519572152255265</v>
      </c>
      <c r="AV156" s="21">
        <f>EXP(-LN(2)/25)*AV155+(1-EXP(-LN(2)/25))/(LN(2)/25)*Calculateur!AQ156*Calculateur!AS156*VLOOKUP('Données projet'!$B$10,Paramètres!$A$1:$I$89,3,0)*0.475*44/12</f>
        <v>13.526591252872297</v>
      </c>
      <c r="AW156" s="21">
        <f>EXP(-LN(2)/2)*AW155+(1-EXP(-LN(2)/2))/(LN(2)/2)*AQ156*AT156*VLOOKUP('Données projet'!$B$10,Paramètres!$A$1:$I$89,3,0)*0.475*44/12</f>
        <v>2.6152077035424455E-7</v>
      </c>
      <c r="AX156" s="21">
        <f t="shared" si="166"/>
        <v>71.046163666648326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1.4210854715202004E-13</v>
      </c>
      <c r="BE156" s="13">
        <f>BD156*VLOOKUP('Données projet'!$B$11,Paramètres!$A$1:$I$89,3,0)*VLOOKUP('Données projet'!$B$11,Paramètres!$A$1:$I$89,5,0)</f>
        <v>7.7591266745002952E-14</v>
      </c>
      <c r="BF156" s="13">
        <f t="shared" si="167"/>
        <v>1.2005788606873384E-12</v>
      </c>
      <c r="BG156" s="20">
        <f t="shared" si="168"/>
        <v>2.226146305277994E-12</v>
      </c>
      <c r="BH156" s="59">
        <f t="shared" si="116"/>
        <v>293.33333333333553</v>
      </c>
      <c r="BI156" s="59">
        <f ca="1">AVERAGE(OFFSET($BH$3,0,0,'Données projet'!$E$11+1,1))-AVERAGE(OFFSET($H$3,0,0,'Données projet'!$E$11+1,1))</f>
        <v>165.87377022031535</v>
      </c>
      <c r="BJ156" s="59">
        <f t="shared" si="146"/>
        <v>272.91122662088929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11.994496967733465</v>
      </c>
      <c r="BQ156" s="21">
        <f>EXP(-LN(2)/25)*BQ155+(1-EXP(-LN(2)/25))/(LN(2)/25)*Calculateur!BL156*Calculateur!BN156*VLOOKUP('Données projet'!$B$11,Paramètres!$A$1:$I$89,3,0)*0.475*44/12</f>
        <v>1.6818855585685222</v>
      </c>
      <c r="BR156" s="21">
        <f>EXP(-LN(2)/2)*BR155+(1-EXP(-LN(2)/2))/(LN(2)/2)*BL156*BO156*VLOOKUP('Données projet'!$B$11,Paramètres!$A$1:$I$89,3,0)*0.475*44/12</f>
        <v>2.5283621692454724E-16</v>
      </c>
      <c r="BS156" s="22">
        <f t="shared" si="169"/>
        <v>13.676382526301987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392.11</v>
      </c>
      <c r="BW156" s="12">
        <f>VLOOKUP(A156,'Données projet'!$A$113:$I$133,9,0)</f>
        <v>6.3166666666666815</v>
      </c>
      <c r="BX156" s="12">
        <f t="array" ref="BX156">INDEX(BW:BW,MIN(IF(ISNUMBER(BW156:BW352),ROW(BW156:BW352),"")))</f>
        <v>6.3166666666666815</v>
      </c>
      <c r="BY156" s="12">
        <f>IF('Données projet'!$A$114&gt;35,BY155+BX156-CG155,IF(A156&lt;'Données projet'!$A$114,$BV$205^A156,IF(A156='Données projet'!$A$114,'Données projet'!$B$114,BY155+BX156-CG155)))</f>
        <v>392.11000000000047</v>
      </c>
      <c r="BZ156" s="13">
        <f>BY156*VLOOKUP('Données projet'!$B$12,Paramètres!$A$1:$I$89,3,0)*VLOOKUP('Données projet'!$B$12,Paramètres!$A$1:$I$89,5,0)</f>
        <v>354.78112800000042</v>
      </c>
      <c r="CA156" s="13">
        <f t="shared" si="170"/>
        <v>82.546216400560894</v>
      </c>
      <c r="CB156" s="20">
        <f t="shared" si="171"/>
        <v>761.67845816431088</v>
      </c>
      <c r="CC156" s="59">
        <f t="shared" si="119"/>
        <v>1055.0117914976443</v>
      </c>
      <c r="CD156" s="59">
        <f ca="1">AVERAGE(OFFSET($CC$3,0,0,'Données projet'!$E$12+1,1))-AVERAGE(OFFSET($H$3,0,0,'Données projet'!$E$12+1,1))</f>
        <v>639.86968831634636</v>
      </c>
      <c r="CE156" s="59">
        <f t="shared" si="148"/>
        <v>218.1556771431184</v>
      </c>
      <c r="CF156" s="15">
        <f>IF(ISNA(VLOOKUP(A156,'Données projet'!$A$113:$I$133,3,0)),0,VLOOKUP(A156,'Données projet'!$A$113:$I$133,3,0))</f>
        <v>15</v>
      </c>
      <c r="CG156" s="15">
        <f>IF(ISNA(VLOOKUP(A156,'Données projet'!$A$113:$I$133,4,0)),0,VLOOKUP(A156,'Données projet'!$A$113:$I$133,4,0))</f>
        <v>141.22</v>
      </c>
      <c r="CH156" s="16">
        <f>IF(ISNA(VLOOKUP(A156,'Données projet'!$A$113:$I$133,5,0)),0%,VLOOKUP(A156,'Données projet'!$A$113:$I$133,5,0)*VLOOKUP('Données projet'!$B$12,Paramètres!$A$1:$I$89,7,0))</f>
        <v>0.30099999999999999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145.74368715459136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145.74368715459136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9.9316821433603781E-14</v>
      </c>
      <c r="CV156" s="13">
        <f t="shared" si="173"/>
        <v>1.4932118279712753E-12</v>
      </c>
      <c r="CW156" s="20">
        <f t="shared" si="174"/>
        <v>2.7736540643801645E-12</v>
      </c>
      <c r="CX156" s="59">
        <f t="shared" si="122"/>
        <v>293.3333333333361</v>
      </c>
      <c r="CY156" s="59">
        <f ca="1">AVERAGE(OFFSET($CX$3,0,0,'Données projet'!$E$13+1,1))-AVERAGE(OFFSET($H$3,0,0,'Données projet'!$E$13+1,1))</f>
        <v>218.76600554860482</v>
      </c>
      <c r="CZ156" s="59">
        <f t="shared" si="150"/>
        <v>264.34840059907702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8.9418969396713024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8.9418969396713024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-1.7053025658242404E-13</v>
      </c>
      <c r="DP156" s="17">
        <f>DO156*VLOOKUP('Données projet'!$B$14,Paramètres!$A$1:$I$89,3,0)*VLOOKUP('Données projet'!$B$14,Paramètres!$A$1:$I$89,5,0)</f>
        <v>-1.4631496014771985E-13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442.97490100035287</v>
      </c>
      <c r="DU156" s="59">
        <f t="shared" si="152"/>
        <v>334.36243356457049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61.855088887766151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61.855088887766151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5.6843418860808015E-14</v>
      </c>
      <c r="EK156" s="17">
        <f>EJ156*VLOOKUP('Données projet'!$B$15,Paramètres!$A$1:$I$89,3,0)*VLOOKUP('Données projet'!$B$15,Paramètres!$A$1:$I$89,5,0)</f>
        <v>4.4337866711430253E-14</v>
      </c>
      <c r="EL156" s="13">
        <f t="shared" si="179"/>
        <v>7.3222115536967035E-13</v>
      </c>
      <c r="EM156" s="20">
        <f t="shared" si="180"/>
        <v>1.3525069634579169E-12</v>
      </c>
      <c r="EN156" s="59">
        <f t="shared" si="128"/>
        <v>293.33333333333468</v>
      </c>
      <c r="EO156" s="59">
        <f ca="1">AVERAGE(OFFSET($EN$3,0,0,'Données projet'!$E$15+1,1))-AVERAGE(OFFSET($H$3,0,0,'Données projet'!$E$15+1,1))</f>
        <v>288.82868507674738</v>
      </c>
      <c r="EP156" s="59">
        <f t="shared" si="154"/>
        <v>283.48738729114024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15.653616324816554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15.653616324816554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328.55201074501201</v>
      </c>
      <c r="FK156" s="59">
        <f t="shared" si="156"/>
        <v>321.81422611044985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22.610630537016682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22.610630537016682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353.37024194969638</v>
      </c>
      <c r="GF156" s="59">
        <f t="shared" si="158"/>
        <v>345.4750813433123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30.240739407004455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30.240739407004455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1.2710188457276673E-13</v>
      </c>
      <c r="P157" s="13">
        <f t="shared" si="141"/>
        <v>1.856866851063998E-12</v>
      </c>
      <c r="Q157" s="20">
        <f t="shared" si="162"/>
        <v>3.4554122145673649E-12</v>
      </c>
      <c r="R157" s="59">
        <f t="shared" si="109"/>
        <v>293.33333333333678</v>
      </c>
      <c r="S157" s="59">
        <f ca="1">AVERAGE(OFFSET($R$3,0,0,'Données projet'!$E$9+1,1))-AVERAGE(OFFSET($H$3,0,0,'Données projet'!$E$9+1,1))</f>
        <v>404.65492118472037</v>
      </c>
      <c r="T157" s="59">
        <f t="shared" si="142"/>
        <v>534.22295841722166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38.769269439662281</v>
      </c>
      <c r="AA157" s="21">
        <f>EXP(-LN(2)/25)*AA156+(1-EXP(-LN(2)/25))/(LN(2)/25)*Calculateur!V157*Calculateur!X157*VLOOKUP('Données projet'!$B$9,Paramètres!$A$1:$I$89,3,0)*0.475*44/12</f>
        <v>4.5941532923285751</v>
      </c>
      <c r="AB157" s="21">
        <f>EXP(-LN(2)/2)*AB156+(1-EXP(-LN(2)/2))/(LN(2)/2)*V157*Y157*VLOOKUP('Données projet'!$B$9,Paramètres!$A$1:$I$89,3,0)*0.475*44/12</f>
        <v>3.7326111428519054E-14</v>
      </c>
      <c r="AC157" s="22">
        <f t="shared" si="163"/>
        <v>43.363422731990894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-7.9808160080574461E-14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331.17634116262298</v>
      </c>
      <c r="AO157" s="59">
        <f t="shared" si="144"/>
        <v>286.28916368940605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56.391648425824343</v>
      </c>
      <c r="AV157" s="21">
        <f>EXP(-LN(2)/25)*AV156+(1-EXP(-LN(2)/25))/(LN(2)/25)*Calculateur!AQ157*Calculateur!AS157*VLOOKUP('Données projet'!$B$10,Paramètres!$A$1:$I$89,3,0)*0.475*44/12</f>
        <v>13.156705903729986</v>
      </c>
      <c r="AW157" s="21">
        <f>EXP(-LN(2)/2)*AW156+(1-EXP(-LN(2)/2))/(LN(2)/2)*AQ157*AT157*VLOOKUP('Données projet'!$B$10,Paramètres!$A$1:$I$89,3,0)*0.475*44/12</f>
        <v>1.8492311013861614E-7</v>
      </c>
      <c r="AX157" s="21">
        <f t="shared" si="166"/>
        <v>69.548354514477438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1.4210854715202004E-13</v>
      </c>
      <c r="BE157" s="13">
        <f>BD157*VLOOKUP('Données projet'!$B$11,Paramètres!$A$1:$I$89,3,0)*VLOOKUP('Données projet'!$B$11,Paramètres!$A$1:$I$89,5,0)</f>
        <v>7.7591266745002952E-14</v>
      </c>
      <c r="BF157" s="13">
        <f t="shared" si="167"/>
        <v>1.2005788606873384E-12</v>
      </c>
      <c r="BG157" s="20">
        <f t="shared" si="168"/>
        <v>2.226146305277994E-12</v>
      </c>
      <c r="BH157" s="59">
        <f t="shared" si="116"/>
        <v>293.33333333333553</v>
      </c>
      <c r="BI157" s="59">
        <f ca="1">AVERAGE(OFFSET($BH$3,0,0,'Données projet'!$E$11+1,1))-AVERAGE(OFFSET($H$3,0,0,'Données projet'!$E$11+1,1))</f>
        <v>165.87377022031535</v>
      </c>
      <c r="BJ157" s="59">
        <f t="shared" si="146"/>
        <v>272.91122662088929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11.759292198116974</v>
      </c>
      <c r="BQ157" s="21">
        <f>EXP(-LN(2)/25)*BQ156+(1-EXP(-LN(2)/25))/(LN(2)/25)*Calculateur!BL157*Calculateur!BN157*VLOOKUP('Données projet'!$B$11,Paramètres!$A$1:$I$89,3,0)*0.475*44/12</f>
        <v>1.6358943095229483</v>
      </c>
      <c r="BR157" s="21">
        <f>EXP(-LN(2)/2)*BR156+(1-EXP(-LN(2)/2))/(LN(2)/2)*BL157*BO157*VLOOKUP('Données projet'!$B$11,Paramètres!$A$1:$I$89,3,0)*0.475*44/12</f>
        <v>1.787822035169003E-16</v>
      </c>
      <c r="BS157" s="22">
        <f t="shared" si="169"/>
        <v>13.395186507639922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3.5833333333333237</v>
      </c>
      <c r="BY157" s="12">
        <f>IF('Données projet'!$A$114&gt;35,BY156+BX157-CG156,IF(A157&lt;'Données projet'!$A$114,$BV$205^A157,IF(A157='Données projet'!$A$114,'Données projet'!$B$114,BY156+BX157-CG156)))</f>
        <v>254.47333333333378</v>
      </c>
      <c r="BZ157" s="13">
        <f>BY157*VLOOKUP('Données projet'!$B$12,Paramètres!$A$1:$I$89,3,0)*VLOOKUP('Données projet'!$B$12,Paramètres!$A$1:$I$89,5,0)</f>
        <v>230.24747200000039</v>
      </c>
      <c r="CA157" s="13">
        <f t="shared" si="170"/>
        <v>56.336187413967323</v>
      </c>
      <c r="CB157" s="20">
        <f t="shared" si="171"/>
        <v>499.13320681266038</v>
      </c>
      <c r="CC157" s="59">
        <f t="shared" si="119"/>
        <v>792.46654014599369</v>
      </c>
      <c r="CD157" s="59">
        <f ca="1">AVERAGE(OFFSET($CC$3,0,0,'Données projet'!$E$12+1,1))-AVERAGE(OFFSET($H$3,0,0,'Données projet'!$E$12+1,1))</f>
        <v>639.86968831634636</v>
      </c>
      <c r="CE157" s="59">
        <f t="shared" si="148"/>
        <v>218.1556771431184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142.88574234436135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142.88574234436135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9.9316821433603781E-14</v>
      </c>
      <c r="CV157" s="13">
        <f t="shared" si="173"/>
        <v>1.4932118279712753E-12</v>
      </c>
      <c r="CW157" s="20">
        <f t="shared" si="174"/>
        <v>2.7736540643801645E-12</v>
      </c>
      <c r="CX157" s="59">
        <f t="shared" si="122"/>
        <v>293.3333333333361</v>
      </c>
      <c r="CY157" s="59">
        <f ca="1">AVERAGE(OFFSET($CX$3,0,0,'Données projet'!$E$13+1,1))-AVERAGE(OFFSET($H$3,0,0,'Données projet'!$E$13+1,1))</f>
        <v>218.76600554860482</v>
      </c>
      <c r="CZ157" s="59">
        <f t="shared" si="150"/>
        <v>264.34840059907702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8.7665517947029414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8.7665517947029414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-1.7053025658242404E-13</v>
      </c>
      <c r="DP157" s="17">
        <f>DO157*VLOOKUP('Données projet'!$B$14,Paramètres!$A$1:$I$89,3,0)*VLOOKUP('Données projet'!$B$14,Paramètres!$A$1:$I$89,5,0)</f>
        <v>-1.4631496014771985E-13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442.97490100035287</v>
      </c>
      <c r="DU157" s="59">
        <f t="shared" si="152"/>
        <v>334.36243356457049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60.642148322555961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60.642148322555961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5.6843418860808015E-14</v>
      </c>
      <c r="EK157" s="17">
        <f>EJ157*VLOOKUP('Données projet'!$B$15,Paramètres!$A$1:$I$89,3,0)*VLOOKUP('Données projet'!$B$15,Paramètres!$A$1:$I$89,5,0)</f>
        <v>4.4337866711430253E-14</v>
      </c>
      <c r="EL157" s="13">
        <f t="shared" si="179"/>
        <v>7.3222115536967035E-13</v>
      </c>
      <c r="EM157" s="20">
        <f t="shared" si="180"/>
        <v>1.3525069634579169E-12</v>
      </c>
      <c r="EN157" s="59">
        <f t="shared" si="128"/>
        <v>293.33333333333468</v>
      </c>
      <c r="EO157" s="59">
        <f ca="1">AVERAGE(OFFSET($EN$3,0,0,'Données projet'!$E$15+1,1))-AVERAGE(OFFSET($H$3,0,0,'Données projet'!$E$15+1,1))</f>
        <v>288.82868507674738</v>
      </c>
      <c r="EP157" s="59">
        <f t="shared" si="154"/>
        <v>283.48738729114024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15.346658456450095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15.346658456450095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328.55201074501201</v>
      </c>
      <c r="FK157" s="59">
        <f t="shared" si="156"/>
        <v>321.81422611044985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22.167249863308651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22.167249863308651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353.37024194969638</v>
      </c>
      <c r="GF157" s="59">
        <f t="shared" si="158"/>
        <v>345.4750813433123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29.647736952262839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29.647736952262839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1.2710188457276673E-13</v>
      </c>
      <c r="P158" s="13">
        <f t="shared" si="141"/>
        <v>1.856866851063998E-12</v>
      </c>
      <c r="Q158" s="20">
        <f t="shared" si="162"/>
        <v>3.4554122145673649E-12</v>
      </c>
      <c r="R158" s="59">
        <f t="shared" si="109"/>
        <v>293.33333333333678</v>
      </c>
      <c r="S158" s="59">
        <f ca="1">AVERAGE(OFFSET($R$3,0,0,'Données projet'!$E$9+1,1))-AVERAGE(OFFSET($H$3,0,0,'Données projet'!$E$9+1,1))</f>
        <v>404.65492118472037</v>
      </c>
      <c r="T158" s="59">
        <f t="shared" si="142"/>
        <v>534.22295841722166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38.009027712869923</v>
      </c>
      <c r="AA158" s="21">
        <f>EXP(-LN(2)/25)*AA157+(1-EXP(-LN(2)/25))/(LN(2)/25)*Calculateur!V158*Calculateur!X158*VLOOKUP('Données projet'!$B$9,Paramètres!$A$1:$I$89,3,0)*0.475*44/12</f>
        <v>4.4685259289538282</v>
      </c>
      <c r="AB158" s="21">
        <f>EXP(-LN(2)/2)*AB157+(1-EXP(-LN(2)/2))/(LN(2)/2)*V158*Y158*VLOOKUP('Données projet'!$B$9,Paramètres!$A$1:$I$89,3,0)*0.475*44/12</f>
        <v>2.6393546506430514E-14</v>
      </c>
      <c r="AC158" s="22">
        <f t="shared" si="163"/>
        <v>42.477553641823782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-7.9808160080574461E-14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331.17634116262298</v>
      </c>
      <c r="AO158" s="59">
        <f t="shared" si="144"/>
        <v>286.28916368940605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55.285842595703194</v>
      </c>
      <c r="AV158" s="21">
        <f>EXP(-LN(2)/25)*AV157+(1-EXP(-LN(2)/25))/(LN(2)/25)*Calculateur!AQ158*Calculateur!AS158*VLOOKUP('Données projet'!$B$10,Paramètres!$A$1:$I$89,3,0)*0.475*44/12</f>
        <v>12.796935088911395</v>
      </c>
      <c r="AW158" s="21">
        <f>EXP(-LN(2)/2)*AW157+(1-EXP(-LN(2)/2))/(LN(2)/2)*AQ158*AT158*VLOOKUP('Données projet'!$B$10,Paramètres!$A$1:$I$89,3,0)*0.475*44/12</f>
        <v>1.3076038517712227E-7</v>
      </c>
      <c r="AX158" s="21">
        <f t="shared" si="166"/>
        <v>68.082777815374968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1.4210854715202004E-13</v>
      </c>
      <c r="BE158" s="13">
        <f>BD158*VLOOKUP('Données projet'!$B$11,Paramètres!$A$1:$I$89,3,0)*VLOOKUP('Données projet'!$B$11,Paramètres!$A$1:$I$89,5,0)</f>
        <v>7.7591266745002952E-14</v>
      </c>
      <c r="BF158" s="13">
        <f t="shared" si="167"/>
        <v>1.2005788606873384E-12</v>
      </c>
      <c r="BG158" s="20">
        <f t="shared" si="168"/>
        <v>2.226146305277994E-12</v>
      </c>
      <c r="BH158" s="59">
        <f t="shared" si="116"/>
        <v>293.33333333333553</v>
      </c>
      <c r="BI158" s="59">
        <f ca="1">AVERAGE(OFFSET($BH$3,0,0,'Données projet'!$E$11+1,1))-AVERAGE(OFFSET($H$3,0,0,'Données projet'!$E$11+1,1))</f>
        <v>165.87377022031535</v>
      </c>
      <c r="BJ158" s="59">
        <f t="shared" si="146"/>
        <v>272.91122662088929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11.528699650571919</v>
      </c>
      <c r="BQ158" s="21">
        <f>EXP(-LN(2)/25)*BQ157+(1-EXP(-LN(2)/25))/(LN(2)/25)*Calculateur!BL158*Calculateur!BN158*VLOOKUP('Données projet'!$B$11,Paramètres!$A$1:$I$89,3,0)*0.475*44/12</f>
        <v>1.5911606936011005</v>
      </c>
      <c r="BR158" s="21">
        <f>EXP(-LN(2)/2)*BR157+(1-EXP(-LN(2)/2))/(LN(2)/2)*BL158*BO158*VLOOKUP('Données projet'!$B$11,Paramètres!$A$1:$I$89,3,0)*0.475*44/12</f>
        <v>1.2641810846227362E-16</v>
      </c>
      <c r="BS158" s="22">
        <f t="shared" si="169"/>
        <v>13.11986034417302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3.5833333333333237</v>
      </c>
      <c r="BY158" s="12">
        <f>IF('Données projet'!$A$114&gt;35,BY157+BX158-CG157,IF(A158&lt;'Données projet'!$A$114,$BV$205^A158,IF(A158='Données projet'!$A$114,'Données projet'!$B$114,BY157+BX158-CG157)))</f>
        <v>258.05666666666713</v>
      </c>
      <c r="BZ158" s="13">
        <f>BY158*VLOOKUP('Données projet'!$B$12,Paramètres!$A$1:$I$89,3,0)*VLOOKUP('Données projet'!$B$12,Paramètres!$A$1:$I$89,5,0)</f>
        <v>233.48967200000041</v>
      </c>
      <c r="CA158" s="13">
        <f t="shared" si="170"/>
        <v>57.03656764248742</v>
      </c>
      <c r="CB158" s="20">
        <f t="shared" si="171"/>
        <v>505.99986737733298</v>
      </c>
      <c r="CC158" s="59">
        <f t="shared" si="119"/>
        <v>799.33320071066623</v>
      </c>
      <c r="CD158" s="59">
        <f ca="1">AVERAGE(OFFSET($CC$3,0,0,'Données projet'!$E$12+1,1))-AVERAGE(OFFSET($H$3,0,0,'Données projet'!$E$12+1,1))</f>
        <v>639.86968831634636</v>
      </c>
      <c r="CE158" s="59">
        <f t="shared" si="148"/>
        <v>218.1556771431184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140.08384008868575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140.08384008868575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9.9316821433603781E-14</v>
      </c>
      <c r="CV158" s="13">
        <f t="shared" si="173"/>
        <v>1.4932118279712753E-12</v>
      </c>
      <c r="CW158" s="20">
        <f t="shared" si="174"/>
        <v>2.7736540643801645E-12</v>
      </c>
      <c r="CX158" s="59">
        <f t="shared" si="122"/>
        <v>293.3333333333361</v>
      </c>
      <c r="CY158" s="59">
        <f ca="1">AVERAGE(OFFSET($CX$3,0,0,'Données projet'!$E$13+1,1))-AVERAGE(OFFSET($H$3,0,0,'Données projet'!$E$13+1,1))</f>
        <v>218.76600554860482</v>
      </c>
      <c r="CZ158" s="59">
        <f t="shared" si="150"/>
        <v>264.34840059907702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8.5946450610774328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8.5946450610774328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-1.7053025658242404E-13</v>
      </c>
      <c r="DP158" s="17">
        <f>DO158*VLOOKUP('Données projet'!$B$14,Paramètres!$A$1:$I$89,3,0)*VLOOKUP('Données projet'!$B$14,Paramètres!$A$1:$I$89,5,0)</f>
        <v>-1.4631496014771985E-13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442.97490100035287</v>
      </c>
      <c r="DU158" s="59">
        <f t="shared" si="152"/>
        <v>334.36243356457049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59.452992782008849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59.452992782008849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5.6843418860808015E-14</v>
      </c>
      <c r="EK158" s="17">
        <f>EJ158*VLOOKUP('Données projet'!$B$15,Paramètres!$A$1:$I$89,3,0)*VLOOKUP('Données projet'!$B$15,Paramètres!$A$1:$I$89,5,0)</f>
        <v>4.4337866711430253E-14</v>
      </c>
      <c r="EL158" s="13">
        <f t="shared" si="179"/>
        <v>7.3222115536967035E-13</v>
      </c>
      <c r="EM158" s="20">
        <f t="shared" si="180"/>
        <v>1.3525069634579169E-12</v>
      </c>
      <c r="EN158" s="59">
        <f t="shared" si="128"/>
        <v>293.33333333333468</v>
      </c>
      <c r="EO158" s="59">
        <f ca="1">AVERAGE(OFFSET($EN$3,0,0,'Données projet'!$E$15+1,1))-AVERAGE(OFFSET($H$3,0,0,'Données projet'!$E$15+1,1))</f>
        <v>288.82868507674738</v>
      </c>
      <c r="EP158" s="59">
        <f t="shared" si="154"/>
        <v>283.48738729114024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15.045719844656491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15.045719844656491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328.55201074501201</v>
      </c>
      <c r="FK158" s="59">
        <f t="shared" si="156"/>
        <v>321.81422611044985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21.732563614176527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21.732563614176527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353.37024194969638</v>
      </c>
      <c r="GF158" s="59">
        <f t="shared" si="158"/>
        <v>345.4750813433123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29.066362913962926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29.066362913962926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1.2710188457276673E-13</v>
      </c>
      <c r="P159" s="13">
        <f t="shared" si="141"/>
        <v>1.856866851063998E-12</v>
      </c>
      <c r="Q159" s="20">
        <f t="shared" si="162"/>
        <v>3.4554122145673649E-12</v>
      </c>
      <c r="R159" s="59">
        <f t="shared" si="109"/>
        <v>293.33333333333678</v>
      </c>
      <c r="S159" s="59">
        <f ca="1">AVERAGE(OFFSET($R$3,0,0,'Données projet'!$E$9+1,1))-AVERAGE(OFFSET($H$3,0,0,'Données projet'!$E$9+1,1))</f>
        <v>404.65492118472037</v>
      </c>
      <c r="T159" s="59">
        <f t="shared" si="142"/>
        <v>534.22295841722166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37.263693862638299</v>
      </c>
      <c r="AA159" s="21">
        <f>EXP(-LN(2)/25)*AA158+(1-EXP(-LN(2)/25))/(LN(2)/25)*Calculateur!V159*Calculateur!X159*VLOOKUP('Données projet'!$B$9,Paramètres!$A$1:$I$89,3,0)*0.475*44/12</f>
        <v>4.3463338524370201</v>
      </c>
      <c r="AB159" s="21">
        <f>EXP(-LN(2)/2)*AB158+(1-EXP(-LN(2)/2))/(LN(2)/2)*V159*Y159*VLOOKUP('Données projet'!$B$9,Paramètres!$A$1:$I$89,3,0)*0.475*44/12</f>
        <v>1.8663055714259527E-14</v>
      </c>
      <c r="AC159" s="22">
        <f t="shared" si="163"/>
        <v>41.61002771507534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-7.9808160080574461E-14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331.17634116262298</v>
      </c>
      <c r="AO159" s="59">
        <f t="shared" si="144"/>
        <v>286.28916368940605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54.20172094343576</v>
      </c>
      <c r="AV159" s="21">
        <f>EXP(-LN(2)/25)*AV158+(1-EXP(-LN(2)/25))/(LN(2)/25)*Calculateur!AQ159*Calculateur!AS159*VLOOKUP('Données projet'!$B$10,Paramètres!$A$1:$I$89,3,0)*0.475*44/12</f>
        <v>12.447002225943544</v>
      </c>
      <c r="AW159" s="21">
        <f>EXP(-LN(2)/2)*AW158+(1-EXP(-LN(2)/2))/(LN(2)/2)*AQ159*AT159*VLOOKUP('Données projet'!$B$10,Paramètres!$A$1:$I$89,3,0)*0.475*44/12</f>
        <v>9.2461555069308072E-8</v>
      </c>
      <c r="AX159" s="21">
        <f t="shared" si="166"/>
        <v>66.648723261840871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1.4210854715202004E-13</v>
      </c>
      <c r="BE159" s="13">
        <f>BD159*VLOOKUP('Données projet'!$B$11,Paramètres!$A$1:$I$89,3,0)*VLOOKUP('Données projet'!$B$11,Paramètres!$A$1:$I$89,5,0)</f>
        <v>7.7591266745002952E-14</v>
      </c>
      <c r="BF159" s="13">
        <f t="shared" si="167"/>
        <v>1.2005788606873384E-12</v>
      </c>
      <c r="BG159" s="20">
        <f t="shared" si="168"/>
        <v>2.226146305277994E-12</v>
      </c>
      <c r="BH159" s="59">
        <f t="shared" si="116"/>
        <v>293.33333333333553</v>
      </c>
      <c r="BI159" s="59">
        <f ca="1">AVERAGE(OFFSET($BH$3,0,0,'Données projet'!$E$11+1,1))-AVERAGE(OFFSET($H$3,0,0,'Données projet'!$E$11+1,1))</f>
        <v>165.87377022031535</v>
      </c>
      <c r="BJ159" s="59">
        <f t="shared" si="146"/>
        <v>272.91122662088929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11.302628882236657</v>
      </c>
      <c r="BQ159" s="21">
        <f>EXP(-LN(2)/25)*BQ158+(1-EXP(-LN(2)/25))/(LN(2)/25)*Calculateur!BL159*Calculateur!BN159*VLOOKUP('Données projet'!$B$11,Paramètres!$A$1:$I$89,3,0)*0.475*44/12</f>
        <v>1.5476503207590742</v>
      </c>
      <c r="BR159" s="21">
        <f>EXP(-LN(2)/2)*BR158+(1-EXP(-LN(2)/2))/(LN(2)/2)*BL159*BO159*VLOOKUP('Données projet'!$B$11,Paramètres!$A$1:$I$89,3,0)*0.475*44/12</f>
        <v>8.9391101758450148E-17</v>
      </c>
      <c r="BS159" s="22">
        <f t="shared" si="169"/>
        <v>12.850279202995731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261.64</v>
      </c>
      <c r="BW159" s="12">
        <f>VLOOKUP(A159,'Données projet'!$A$113:$I$133,9,0)</f>
        <v>3.5833333333333237</v>
      </c>
      <c r="BX159" s="12">
        <f t="array" ref="BX159">INDEX(BW:BW,MIN(IF(ISNUMBER(BW159:BW355),ROW(BW159:BW355),"")))</f>
        <v>3.5833333333333237</v>
      </c>
      <c r="BY159" s="12">
        <f>IF('Données projet'!$A$114&gt;35,BY158+BX159-CG158,IF(A159&lt;'Données projet'!$A$114,$BV$205^A159,IF(A159='Données projet'!$A$114,'Données projet'!$B$114,BY158+BX159-CG158)))</f>
        <v>261.64000000000044</v>
      </c>
      <c r="BZ159" s="13">
        <f>BY159*VLOOKUP('Données projet'!$B$12,Paramètres!$A$1:$I$89,3,0)*VLOOKUP('Données projet'!$B$12,Paramètres!$A$1:$I$89,5,0)</f>
        <v>236.73187200000038</v>
      </c>
      <c r="CA159" s="13">
        <f t="shared" si="170"/>
        <v>57.73581671420461</v>
      </c>
      <c r="CB159" s="20">
        <f t="shared" si="171"/>
        <v>512.86455784390694</v>
      </c>
      <c r="CC159" s="59">
        <f t="shared" si="119"/>
        <v>806.19789117724031</v>
      </c>
      <c r="CD159" s="59">
        <f ca="1">AVERAGE(OFFSET($CC$3,0,0,'Données projet'!$E$12+1,1))-AVERAGE(OFFSET($H$3,0,0,'Données projet'!$E$12+1,1))</f>
        <v>639.86968831634636</v>
      </c>
      <c r="CE159" s="59">
        <f t="shared" si="148"/>
        <v>218.1556771431184</v>
      </c>
      <c r="CF159" s="15">
        <f>IF(ISNA(VLOOKUP(A159,'Données projet'!$A$113:$I$133,3,0)),0,VLOOKUP(A159,'Données projet'!$A$113:$I$133,3,0))</f>
        <v>16</v>
      </c>
      <c r="CG159" s="15">
        <f>IF(ISNA(VLOOKUP(A159,'Données projet'!$A$113:$I$133,4,0)),0,VLOOKUP(A159,'Données projet'!$A$113:$I$133,4,0))</f>
        <v>87.28</v>
      </c>
      <c r="CH159" s="16">
        <f>IF(ISNA(VLOOKUP(A159,'Données projet'!$A$113:$I$133,5,0)),0%,VLOOKUP(A159,'Données projet'!$A$113:$I$133,5,0)*VLOOKUP('Données projet'!$B$12,Paramètres!$A$1:$I$89,7,0))</f>
        <v>0.30099999999999999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163.61419329741466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163.61419329741466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9.9316821433603781E-14</v>
      </c>
      <c r="CV159" s="13">
        <f t="shared" si="173"/>
        <v>1.4932118279712753E-12</v>
      </c>
      <c r="CW159" s="20">
        <f t="shared" si="174"/>
        <v>2.7736540643801645E-12</v>
      </c>
      <c r="CX159" s="59">
        <f t="shared" si="122"/>
        <v>293.3333333333361</v>
      </c>
      <c r="CY159" s="59">
        <f ca="1">AVERAGE(OFFSET($CX$3,0,0,'Données projet'!$E$13+1,1))-AVERAGE(OFFSET($H$3,0,0,'Données projet'!$E$13+1,1))</f>
        <v>218.76600554860482</v>
      </c>
      <c r="CZ159" s="59">
        <f t="shared" si="150"/>
        <v>264.34840059907702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8.4261093136455649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8.4261093136455649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-1.7053025658242404E-13</v>
      </c>
      <c r="DP159" s="17">
        <f>DO159*VLOOKUP('Données projet'!$B$14,Paramètres!$A$1:$I$89,3,0)*VLOOKUP('Données projet'!$B$14,Paramètres!$A$1:$I$89,5,0)</f>
        <v>-1.4631496014771985E-13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442.97490100035287</v>
      </c>
      <c r="DU159" s="59">
        <f t="shared" si="152"/>
        <v>334.36243356457049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58.287155856298604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58.287155856298604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5.6843418860808015E-14</v>
      </c>
      <c r="EK159" s="17">
        <f>EJ159*VLOOKUP('Données projet'!$B$15,Paramètres!$A$1:$I$89,3,0)*VLOOKUP('Données projet'!$B$15,Paramètres!$A$1:$I$89,5,0)</f>
        <v>4.4337866711430253E-14</v>
      </c>
      <c r="EL159" s="13">
        <f t="shared" si="179"/>
        <v>7.3222115536967035E-13</v>
      </c>
      <c r="EM159" s="20">
        <f t="shared" si="180"/>
        <v>1.3525069634579169E-12</v>
      </c>
      <c r="EN159" s="59">
        <f t="shared" si="128"/>
        <v>293.33333333333468</v>
      </c>
      <c r="EO159" s="59">
        <f ca="1">AVERAGE(OFFSET($EN$3,0,0,'Données projet'!$E$15+1,1))-AVERAGE(OFFSET($H$3,0,0,'Données projet'!$E$15+1,1))</f>
        <v>288.82868507674738</v>
      </c>
      <c r="EP159" s="59">
        <f t="shared" si="154"/>
        <v>283.48738729114024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14.75068245548573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14.75068245548573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328.55201074501201</v>
      </c>
      <c r="FK159" s="59">
        <f t="shared" si="156"/>
        <v>321.81422611044985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21.306401297257452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21.306401297257452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353.37024194969638</v>
      </c>
      <c r="GF159" s="59">
        <f t="shared" si="158"/>
        <v>345.4750813433123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28.496389265950924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28.496389265950924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1.2710188457276673E-13</v>
      </c>
      <c r="P160" s="13">
        <f t="shared" si="141"/>
        <v>1.856866851063998E-12</v>
      </c>
      <c r="Q160" s="20">
        <f t="shared" si="162"/>
        <v>3.4554122145673649E-12</v>
      </c>
      <c r="R160" s="59">
        <f t="shared" si="109"/>
        <v>293.33333333333678</v>
      </c>
      <c r="S160" s="59">
        <f ca="1">AVERAGE(OFFSET($R$3,0,0,'Données projet'!$E$9+1,1))-AVERAGE(OFFSET($H$3,0,0,'Données projet'!$E$9+1,1))</f>
        <v>404.65492118472037</v>
      </c>
      <c r="T160" s="59">
        <f t="shared" si="142"/>
        <v>534.22295841722166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36.532975554600952</v>
      </c>
      <c r="AA160" s="21">
        <f>EXP(-LN(2)/25)*AA159+(1-EXP(-LN(2)/25))/(LN(2)/25)*Calculateur!V160*Calculateur!X160*VLOOKUP('Données projet'!$B$9,Paramètres!$A$1:$I$89,3,0)*0.475*44/12</f>
        <v>4.2274831246783657</v>
      </c>
      <c r="AB160" s="21">
        <f>EXP(-LN(2)/2)*AB159+(1-EXP(-LN(2)/2))/(LN(2)/2)*V160*Y160*VLOOKUP('Données projet'!$B$9,Paramètres!$A$1:$I$89,3,0)*0.475*44/12</f>
        <v>1.3196773253215257E-14</v>
      </c>
      <c r="AC160" s="22">
        <f t="shared" si="163"/>
        <v>40.760458679279331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-7.9808160080574461E-14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331.17634116262298</v>
      </c>
      <c r="AO160" s="59">
        <f t="shared" si="144"/>
        <v>286.28916368940605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53.138858255520375</v>
      </c>
      <c r="AV160" s="21">
        <f>EXP(-LN(2)/25)*AV159+(1-EXP(-LN(2)/25))/(LN(2)/25)*Calculateur!AQ160*Calculateur!AS160*VLOOKUP('Données projet'!$B$10,Paramètres!$A$1:$I$89,3,0)*0.475*44/12</f>
        <v>12.106638295515719</v>
      </c>
      <c r="AW160" s="21">
        <f>EXP(-LN(2)/2)*AW159+(1-EXP(-LN(2)/2))/(LN(2)/2)*AQ160*AT160*VLOOKUP('Données projet'!$B$10,Paramètres!$A$1:$I$89,3,0)*0.475*44/12</f>
        <v>6.5380192588561137E-8</v>
      </c>
      <c r="AX160" s="21">
        <f t="shared" si="166"/>
        <v>65.24549661641629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1.4210854715202004E-13</v>
      </c>
      <c r="BE160" s="13">
        <f>BD160*VLOOKUP('Données projet'!$B$11,Paramètres!$A$1:$I$89,3,0)*VLOOKUP('Données projet'!$B$11,Paramètres!$A$1:$I$89,5,0)</f>
        <v>7.7591266745002952E-14</v>
      </c>
      <c r="BF160" s="13">
        <f t="shared" si="167"/>
        <v>1.2005788606873384E-12</v>
      </c>
      <c r="BG160" s="20">
        <f t="shared" si="168"/>
        <v>2.226146305277994E-12</v>
      </c>
      <c r="BH160" s="59">
        <f t="shared" si="116"/>
        <v>293.33333333333553</v>
      </c>
      <c r="BI160" s="59">
        <f ca="1">AVERAGE(OFFSET($BH$3,0,0,'Données projet'!$E$11+1,1))-AVERAGE(OFFSET($H$3,0,0,'Données projet'!$E$11+1,1))</f>
        <v>165.87377022031535</v>
      </c>
      <c r="BJ160" s="59">
        <f t="shared" si="146"/>
        <v>272.91122662088929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11.080991223778897</v>
      </c>
      <c r="BQ160" s="21">
        <f>EXP(-LN(2)/25)*BQ159+(1-EXP(-LN(2)/25))/(LN(2)/25)*Calculateur!BL160*Calculateur!BN160*VLOOKUP('Données projet'!$B$11,Paramètres!$A$1:$I$89,3,0)*0.475*44/12</f>
        <v>1.5053297413505242</v>
      </c>
      <c r="BR160" s="21">
        <f>EXP(-LN(2)/2)*BR159+(1-EXP(-LN(2)/2))/(LN(2)/2)*BL160*BO160*VLOOKUP('Données projet'!$B$11,Paramètres!$A$1:$I$89,3,0)*0.475*44/12</f>
        <v>6.3209054231136811E-17</v>
      </c>
      <c r="BS160" s="22">
        <f t="shared" si="169"/>
        <v>12.586320965129421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2.0800000000000032</v>
      </c>
      <c r="BY160" s="12">
        <f>IF('Données projet'!$A$114&gt;35,BY159+BX160-CG159,IF(A160&lt;'Données projet'!$A$114,$BV$205^A160,IF(A160='Données projet'!$A$114,'Données projet'!$B$114,BY159+BX160-CG159)))</f>
        <v>176.44000000000042</v>
      </c>
      <c r="BZ160" s="13">
        <f>BY160*VLOOKUP('Données projet'!$B$12,Paramètres!$A$1:$I$89,3,0)*VLOOKUP('Données projet'!$B$12,Paramètres!$A$1:$I$89,5,0)</f>
        <v>159.64291200000039</v>
      </c>
      <c r="CA160" s="13">
        <f t="shared" si="170"/>
        <v>40.761962741158314</v>
      </c>
      <c r="CB160" s="20">
        <f t="shared" si="171"/>
        <v>349.03849017418474</v>
      </c>
      <c r="CC160" s="59">
        <f t="shared" si="119"/>
        <v>642.371823507518</v>
      </c>
      <c r="CD160" s="59">
        <f ca="1">AVERAGE(OFFSET($CC$3,0,0,'Données projet'!$E$12+1,1))-AVERAGE(OFFSET($H$3,0,0,'Données projet'!$E$12+1,1))</f>
        <v>639.86968831634636</v>
      </c>
      <c r="CE160" s="59">
        <f t="shared" si="148"/>
        <v>218.1556771431184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160.40581876165635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160.40581876165635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9.9316821433603781E-14</v>
      </c>
      <c r="CV160" s="13">
        <f t="shared" si="173"/>
        <v>1.4932118279712753E-12</v>
      </c>
      <c r="CW160" s="20">
        <f t="shared" si="174"/>
        <v>2.7736540643801645E-12</v>
      </c>
      <c r="CX160" s="59">
        <f t="shared" si="122"/>
        <v>293.3333333333361</v>
      </c>
      <c r="CY160" s="59">
        <f ca="1">AVERAGE(OFFSET($CX$3,0,0,'Données projet'!$E$13+1,1))-AVERAGE(OFFSET($H$3,0,0,'Données projet'!$E$13+1,1))</f>
        <v>218.76600554860482</v>
      </c>
      <c r="CZ160" s="59">
        <f t="shared" si="150"/>
        <v>264.34840059907702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8.2608784494241814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8.2608784494241814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-1.7053025658242404E-13</v>
      </c>
      <c r="DP160" s="17">
        <f>DO160*VLOOKUP('Données projet'!$B$14,Paramètres!$A$1:$I$89,3,0)*VLOOKUP('Données projet'!$B$14,Paramètres!$A$1:$I$89,5,0)</f>
        <v>-1.4631496014771985E-13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442.97490100035287</v>
      </c>
      <c r="DU160" s="59">
        <f t="shared" si="152"/>
        <v>334.36243356457049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57.144180281611227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57.144180281611227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5.6843418860808015E-14</v>
      </c>
      <c r="EK160" s="17">
        <f>EJ160*VLOOKUP('Données projet'!$B$15,Paramètres!$A$1:$I$89,3,0)*VLOOKUP('Données projet'!$B$15,Paramètres!$A$1:$I$89,5,0)</f>
        <v>4.4337866711430253E-14</v>
      </c>
      <c r="EL160" s="13">
        <f t="shared" si="179"/>
        <v>7.3222115536967035E-13</v>
      </c>
      <c r="EM160" s="20">
        <f t="shared" si="180"/>
        <v>1.3525069634579169E-12</v>
      </c>
      <c r="EN160" s="59">
        <f t="shared" si="128"/>
        <v>293.33333333333468</v>
      </c>
      <c r="EO160" s="59">
        <f ca="1">AVERAGE(OFFSET($EN$3,0,0,'Données projet'!$E$15+1,1))-AVERAGE(OFFSET($H$3,0,0,'Données projet'!$E$15+1,1))</f>
        <v>288.82868507674738</v>
      </c>
      <c r="EP160" s="59">
        <f t="shared" si="154"/>
        <v>283.48738729114024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14.461430569561569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14.461430569561569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328.55201074501201</v>
      </c>
      <c r="FK160" s="59">
        <f t="shared" si="156"/>
        <v>321.81422611044985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20.888595763439813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20.888595763439813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353.37024194969638</v>
      </c>
      <c r="GF160" s="59">
        <f t="shared" si="158"/>
        <v>345.4750813433123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27.93759245352684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27.93759245352684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1.2710188457276673E-13</v>
      </c>
      <c r="P161" s="13">
        <f t="shared" si="141"/>
        <v>1.856866851063998E-12</v>
      </c>
      <c r="Q161" s="20">
        <f t="shared" si="162"/>
        <v>3.4554122145673649E-12</v>
      </c>
      <c r="R161" s="59">
        <f t="shared" si="109"/>
        <v>293.33333333333678</v>
      </c>
      <c r="S161" s="59">
        <f ca="1">AVERAGE(OFFSET($R$3,0,0,'Données projet'!$E$9+1,1))-AVERAGE(OFFSET($H$3,0,0,'Données projet'!$E$9+1,1))</f>
        <v>404.65492118472037</v>
      </c>
      <c r="T161" s="59">
        <f t="shared" si="142"/>
        <v>534.22295841722166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35.816586186890063</v>
      </c>
      <c r="AA161" s="21">
        <f>EXP(-LN(2)/25)*AA160+(1-EXP(-LN(2)/25))/(LN(2)/25)*Calculateur!V161*Calculateur!X161*VLOOKUP('Données projet'!$B$9,Paramètres!$A$1:$I$89,3,0)*0.475*44/12</f>
        <v>4.1118823763203602</v>
      </c>
      <c r="AB161" s="21">
        <f>EXP(-LN(2)/2)*AB160+(1-EXP(-LN(2)/2))/(LN(2)/2)*V161*Y161*VLOOKUP('Données projet'!$B$9,Paramètres!$A$1:$I$89,3,0)*0.475*44/12</f>
        <v>9.3315278571297635E-15</v>
      </c>
      <c r="AC161" s="22">
        <f t="shared" si="163"/>
        <v>39.92846856321043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-7.9808160080574461E-14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331.17634116262298</v>
      </c>
      <c r="AO161" s="59">
        <f t="shared" si="144"/>
        <v>286.28916368940605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52.096837656632786</v>
      </c>
      <c r="AV161" s="21">
        <f>EXP(-LN(2)/25)*AV160+(1-EXP(-LN(2)/25))/(LN(2)/25)*Calculateur!AQ161*Calculateur!AS161*VLOOKUP('Données projet'!$B$10,Paramètres!$A$1:$I$89,3,0)*0.475*44/12</f>
        <v>11.775581634664404</v>
      </c>
      <c r="AW161" s="21">
        <f>EXP(-LN(2)/2)*AW160+(1-EXP(-LN(2)/2))/(LN(2)/2)*AQ161*AT161*VLOOKUP('Données projet'!$B$10,Paramètres!$A$1:$I$89,3,0)*0.475*44/12</f>
        <v>4.6230777534654036E-8</v>
      </c>
      <c r="AX161" s="21">
        <f t="shared" si="166"/>
        <v>63.872419337527973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1.4210854715202004E-13</v>
      </c>
      <c r="BE161" s="13">
        <f>BD161*VLOOKUP('Données projet'!$B$11,Paramètres!$A$1:$I$89,3,0)*VLOOKUP('Données projet'!$B$11,Paramètres!$A$1:$I$89,5,0)</f>
        <v>7.7591266745002952E-14</v>
      </c>
      <c r="BF161" s="13">
        <f t="shared" si="167"/>
        <v>1.2005788606873384E-12</v>
      </c>
      <c r="BG161" s="20">
        <f t="shared" si="168"/>
        <v>2.226146305277994E-12</v>
      </c>
      <c r="BH161" s="59">
        <f t="shared" si="116"/>
        <v>293.33333333333553</v>
      </c>
      <c r="BI161" s="59">
        <f ca="1">AVERAGE(OFFSET($BH$3,0,0,'Données projet'!$E$11+1,1))-AVERAGE(OFFSET($H$3,0,0,'Données projet'!$E$11+1,1))</f>
        <v>165.87377022031535</v>
      </c>
      <c r="BJ161" s="59">
        <f t="shared" si="146"/>
        <v>272.91122662088929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10.86369974461787</v>
      </c>
      <c r="BQ161" s="21">
        <f>EXP(-LN(2)/25)*BQ160+(1-EXP(-LN(2)/25))/(LN(2)/25)*Calculateur!BL161*Calculateur!BN161*VLOOKUP('Données projet'!$B$11,Paramètres!$A$1:$I$89,3,0)*0.475*44/12</f>
        <v>1.4641664204114435</v>
      </c>
      <c r="BR161" s="21">
        <f>EXP(-LN(2)/2)*BR160+(1-EXP(-LN(2)/2))/(LN(2)/2)*BL161*BO161*VLOOKUP('Données projet'!$B$11,Paramètres!$A$1:$I$89,3,0)*0.475*44/12</f>
        <v>4.4695550879225074E-17</v>
      </c>
      <c r="BS161" s="22">
        <f t="shared" si="169"/>
        <v>12.327866165029313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2.0800000000000032</v>
      </c>
      <c r="BY161" s="12">
        <f>IF('Données projet'!$A$114&gt;35,BY160+BX161-CG160,IF(A161&lt;'Données projet'!$A$114,$BV$205^A161,IF(A161='Données projet'!$A$114,'Données projet'!$B$114,BY160+BX161-CG160)))</f>
        <v>178.52000000000044</v>
      </c>
      <c r="BZ161" s="13">
        <f>BY161*VLOOKUP('Données projet'!$B$12,Paramètres!$A$1:$I$89,3,0)*VLOOKUP('Données projet'!$B$12,Paramètres!$A$1:$I$89,5,0)</f>
        <v>161.52489600000038</v>
      </c>
      <c r="CA161" s="13">
        <f t="shared" si="170"/>
        <v>41.186269849747099</v>
      </c>
      <c r="CB161" s="20">
        <f t="shared" si="171"/>
        <v>353.05528052164351</v>
      </c>
      <c r="CC161" s="59">
        <f t="shared" si="119"/>
        <v>646.38861385497682</v>
      </c>
      <c r="CD161" s="59">
        <f ca="1">AVERAGE(OFFSET($CC$3,0,0,'Données projet'!$E$12+1,1))-AVERAGE(OFFSET($H$3,0,0,'Données projet'!$E$12+1,1))</f>
        <v>639.86968831634636</v>
      </c>
      <c r="CE161" s="59">
        <f t="shared" si="148"/>
        <v>218.1556771431184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157.26035849362901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157.26035849362901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9.9316821433603781E-14</v>
      </c>
      <c r="CV161" s="13">
        <f t="shared" si="173"/>
        <v>1.4932118279712753E-12</v>
      </c>
      <c r="CW161" s="20">
        <f t="shared" si="174"/>
        <v>2.7736540643801645E-12</v>
      </c>
      <c r="CX161" s="59">
        <f t="shared" si="122"/>
        <v>293.3333333333361</v>
      </c>
      <c r="CY161" s="59">
        <f ca="1">AVERAGE(OFFSET($CX$3,0,0,'Données projet'!$E$13+1,1))-AVERAGE(OFFSET($H$3,0,0,'Données projet'!$E$13+1,1))</f>
        <v>218.76600554860482</v>
      </c>
      <c r="CZ161" s="59">
        <f t="shared" si="150"/>
        <v>264.34840059907702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8.0988876616693037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8.0988876616693037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-1.7053025658242404E-13</v>
      </c>
      <c r="DP161" s="17">
        <f>DO161*VLOOKUP('Données projet'!$B$14,Paramètres!$A$1:$I$89,3,0)*VLOOKUP('Données projet'!$B$14,Paramètres!$A$1:$I$89,5,0)</f>
        <v>-1.4631496014771985E-13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442.97490100035287</v>
      </c>
      <c r="DU161" s="59">
        <f t="shared" si="152"/>
        <v>334.36243356457049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56.023617760797208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56.023617760797208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5.6843418860808015E-14</v>
      </c>
      <c r="EK161" s="17">
        <f>EJ161*VLOOKUP('Données projet'!$B$15,Paramètres!$A$1:$I$89,3,0)*VLOOKUP('Données projet'!$B$15,Paramètres!$A$1:$I$89,5,0)</f>
        <v>4.4337866711430253E-14</v>
      </c>
      <c r="EL161" s="13">
        <f t="shared" si="179"/>
        <v>7.3222115536967035E-13</v>
      </c>
      <c r="EM161" s="20">
        <f t="shared" si="180"/>
        <v>1.3525069634579169E-12</v>
      </c>
      <c r="EN161" s="59">
        <f t="shared" si="128"/>
        <v>293.33333333333468</v>
      </c>
      <c r="EO161" s="59">
        <f ca="1">AVERAGE(OFFSET($EN$3,0,0,'Données projet'!$E$15+1,1))-AVERAGE(OFFSET($H$3,0,0,'Données projet'!$E$15+1,1))</f>
        <v>288.82868507674738</v>
      </c>
      <c r="EP161" s="59">
        <f t="shared" si="154"/>
        <v>283.48738729114024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14.177850736694152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14.177850736694152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328.55201074501201</v>
      </c>
      <c r="FK161" s="59">
        <f t="shared" si="156"/>
        <v>321.81422611044985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20.478983141304127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20.478983141304127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353.37024194969638</v>
      </c>
      <c r="GF161" s="59">
        <f t="shared" si="158"/>
        <v>345.4750813433123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27.389753305761989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27.389753305761989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1.2710188457276673E-13</v>
      </c>
      <c r="P162" s="13">
        <f t="shared" si="141"/>
        <v>1.856866851063998E-12</v>
      </c>
      <c r="Q162" s="20">
        <f t="shared" si="162"/>
        <v>3.4554122145673649E-12</v>
      </c>
      <c r="R162" s="59">
        <f t="shared" si="109"/>
        <v>293.33333333333678</v>
      </c>
      <c r="S162" s="59">
        <f ca="1">AVERAGE(OFFSET($R$3,0,0,'Données projet'!$E$9+1,1))-AVERAGE(OFFSET($H$3,0,0,'Données projet'!$E$9+1,1))</f>
        <v>404.65492118472037</v>
      </c>
      <c r="T162" s="59">
        <f t="shared" si="142"/>
        <v>534.22295841722166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35.114244777725617</v>
      </c>
      <c r="AA162" s="21">
        <f>EXP(-LN(2)/25)*AA161+(1-EXP(-LN(2)/25))/(LN(2)/25)*Calculateur!V162*Calculateur!X162*VLOOKUP('Données projet'!$B$9,Paramètres!$A$1:$I$89,3,0)*0.475*44/12</f>
        <v>3.9994427365053835</v>
      </c>
      <c r="AB162" s="21">
        <f>EXP(-LN(2)/2)*AB161+(1-EXP(-LN(2)/2))/(LN(2)/2)*V162*Y162*VLOOKUP('Données projet'!$B$9,Paramètres!$A$1:$I$89,3,0)*0.475*44/12</f>
        <v>6.5983866266076285E-15</v>
      </c>
      <c r="AC162" s="22">
        <f t="shared" si="163"/>
        <v>39.11368751423101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-7.9808160080574461E-14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331.17634116262298</v>
      </c>
      <c r="AO162" s="59">
        <f t="shared" si="144"/>
        <v>286.28916368940605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51.075250446119576</v>
      </c>
      <c r="AV162" s="21">
        <f>EXP(-LN(2)/25)*AV161+(1-EXP(-LN(2)/25))/(LN(2)/25)*Calculateur!AQ162*Calculateur!AS162*VLOOKUP('Données projet'!$B$10,Paramètres!$A$1:$I$89,3,0)*0.475*44/12</f>
        <v>11.45357773561358</v>
      </c>
      <c r="AW162" s="21">
        <f>EXP(-LN(2)/2)*AW161+(1-EXP(-LN(2)/2))/(LN(2)/2)*AQ162*AT162*VLOOKUP('Données projet'!$B$10,Paramètres!$A$1:$I$89,3,0)*0.475*44/12</f>
        <v>3.2690096294280568E-8</v>
      </c>
      <c r="AX162" s="21">
        <f t="shared" si="166"/>
        <v>62.52882821442325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1.4210854715202004E-13</v>
      </c>
      <c r="BE162" s="13">
        <f>BD162*VLOOKUP('Données projet'!$B$11,Paramètres!$A$1:$I$89,3,0)*VLOOKUP('Données projet'!$B$11,Paramètres!$A$1:$I$89,5,0)</f>
        <v>7.7591266745002952E-14</v>
      </c>
      <c r="BF162" s="13">
        <f t="shared" si="167"/>
        <v>1.2005788606873384E-12</v>
      </c>
      <c r="BG162" s="20">
        <f t="shared" si="168"/>
        <v>2.226146305277994E-12</v>
      </c>
      <c r="BH162" s="59">
        <f t="shared" si="116"/>
        <v>293.33333333333553</v>
      </c>
      <c r="BI162" s="59">
        <f ca="1">AVERAGE(OFFSET($BH$3,0,0,'Données projet'!$E$11+1,1))-AVERAGE(OFFSET($H$3,0,0,'Données projet'!$E$11+1,1))</f>
        <v>165.87377022031535</v>
      </c>
      <c r="BJ162" s="59">
        <f t="shared" si="146"/>
        <v>272.91122662088929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10.650669218828474</v>
      </c>
      <c r="BQ162" s="21">
        <f>EXP(-LN(2)/25)*BQ161+(1-EXP(-LN(2)/25))/(LN(2)/25)*Calculateur!BL162*Calculateur!BN162*VLOOKUP('Données projet'!$B$11,Paramètres!$A$1:$I$89,3,0)*0.475*44/12</f>
        <v>1.424128712648127</v>
      </c>
      <c r="BR162" s="21">
        <f>EXP(-LN(2)/2)*BR161+(1-EXP(-LN(2)/2))/(LN(2)/2)*BL162*BO162*VLOOKUP('Données projet'!$B$11,Paramètres!$A$1:$I$89,3,0)*0.475*44/12</f>
        <v>3.1604527115568405E-17</v>
      </c>
      <c r="BS162" s="22">
        <f t="shared" si="169"/>
        <v>12.074797931476601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>
        <f>VLOOKUP(A162,'Données projet'!$A$113:$I$133,2,0)</f>
        <v>180.6</v>
      </c>
      <c r="BW162" s="12">
        <f>VLOOKUP(A162,'Données projet'!$A$113:$I$133,9,0)</f>
        <v>2.0800000000000032</v>
      </c>
      <c r="BX162" s="12">
        <f t="array" ref="BX162">INDEX(BW:BW,MIN(IF(ISNUMBER(BW162:BW358),ROW(BW162:BW358),"")))</f>
        <v>2.0800000000000032</v>
      </c>
      <c r="BY162" s="12">
        <f>IF('Données projet'!$A$114&gt;35,BY161+BX162-CG161,IF(A162&lt;'Données projet'!$A$114,$BV$205^A162,IF(A162='Données projet'!$A$114,'Données projet'!$B$114,BY161+BX162-CG161)))</f>
        <v>180.60000000000045</v>
      </c>
      <c r="BZ162" s="13">
        <f>BY162*VLOOKUP('Données projet'!$B$12,Paramètres!$A$1:$I$89,3,0)*VLOOKUP('Données projet'!$B$12,Paramètres!$A$1:$I$89,5,0)</f>
        <v>163.4068800000004</v>
      </c>
      <c r="CA162" s="13">
        <f t="shared" si="170"/>
        <v>41.610001881769911</v>
      </c>
      <c r="CB162" s="20">
        <f t="shared" si="171"/>
        <v>357.0710692774166</v>
      </c>
      <c r="CC162" s="59">
        <f t="shared" si="119"/>
        <v>650.40440261074991</v>
      </c>
      <c r="CD162" s="59">
        <f ca="1">AVERAGE(OFFSET($CC$3,0,0,'Données projet'!$E$12+1,1))-AVERAGE(OFFSET($H$3,0,0,'Données projet'!$E$12+1,1))</f>
        <v>639.86968831634636</v>
      </c>
      <c r="CE162" s="59">
        <f t="shared" si="148"/>
        <v>218.1556771431184</v>
      </c>
      <c r="CF162" s="15">
        <f>IF(ISNA(VLOOKUP(A162,'Données projet'!$A$113:$I$133,3,0)),0,VLOOKUP(A162,'Données projet'!$A$113:$I$133,3,0))</f>
        <v>17</v>
      </c>
      <c r="CG162" s="15">
        <f>IF(ISNA(VLOOKUP(A162,'Données projet'!$A$113:$I$133,4,0)),0,VLOOKUP(A162,'Données projet'!$A$113:$I$133,4,0))</f>
        <v>180.6</v>
      </c>
      <c r="CH162" s="16">
        <f>IF(ISNA(VLOOKUP(A162,'Données projet'!$A$113:$I$133,5,0)),0%,VLOOKUP(A162,'Données projet'!$A$113:$I$133,5,0)*VLOOKUP('Données projet'!$B$12,Paramètres!$A$1:$I$89,7,0))</f>
        <v>0.34400000000000003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216.31724296716834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216.31724296716834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9.9316821433603781E-14</v>
      </c>
      <c r="CV162" s="13">
        <f t="shared" si="173"/>
        <v>1.4932118279712753E-12</v>
      </c>
      <c r="CW162" s="20">
        <f t="shared" si="174"/>
        <v>2.7736540643801645E-12</v>
      </c>
      <c r="CX162" s="59">
        <f t="shared" si="122"/>
        <v>293.3333333333361</v>
      </c>
      <c r="CY162" s="59">
        <f ca="1">AVERAGE(OFFSET($CX$3,0,0,'Données projet'!$E$13+1,1))-AVERAGE(OFFSET($H$3,0,0,'Données projet'!$E$13+1,1))</f>
        <v>218.76600554860482</v>
      </c>
      <c r="CZ162" s="59">
        <f t="shared" si="150"/>
        <v>264.34840059907702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7.9400734144576743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7.9400734144576743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-1.7053025658242404E-13</v>
      </c>
      <c r="DP162" s="17">
        <f>DO162*VLOOKUP('Données projet'!$B$14,Paramètres!$A$1:$I$89,3,0)*VLOOKUP('Données projet'!$B$14,Paramètres!$A$1:$I$89,5,0)</f>
        <v>-1.4631496014771985E-13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442.97490100035287</v>
      </c>
      <c r="DU162" s="59">
        <f t="shared" si="152"/>
        <v>334.36243356457049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54.925028787540697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54.925028787540697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5.6843418860808015E-14</v>
      </c>
      <c r="EK162" s="17">
        <f>EJ162*VLOOKUP('Données projet'!$B$15,Paramètres!$A$1:$I$89,3,0)*VLOOKUP('Données projet'!$B$15,Paramètres!$A$1:$I$89,5,0)</f>
        <v>4.4337866711430253E-14</v>
      </c>
      <c r="EL162" s="13">
        <f t="shared" si="179"/>
        <v>7.3222115536967035E-13</v>
      </c>
      <c r="EM162" s="20">
        <f t="shared" si="180"/>
        <v>1.3525069634579169E-12</v>
      </c>
      <c r="EN162" s="59">
        <f t="shared" si="128"/>
        <v>293.33333333333468</v>
      </c>
      <c r="EO162" s="59">
        <f ca="1">AVERAGE(OFFSET($EN$3,0,0,'Données projet'!$E$15+1,1))-AVERAGE(OFFSET($H$3,0,0,'Données projet'!$E$15+1,1))</f>
        <v>288.82868507674738</v>
      </c>
      <c r="EP162" s="59">
        <f t="shared" si="154"/>
        <v>283.48738729114024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13.899831731382646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13.899831731382646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328.55201074501201</v>
      </c>
      <c r="FK162" s="59">
        <f t="shared" si="156"/>
        <v>321.81422611044985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20.077402772849492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20.077402772849492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353.37024194969638</v>
      </c>
      <c r="GF162" s="59">
        <f t="shared" si="158"/>
        <v>345.4750813433123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26.852656949535923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26.852656949535923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1.2710188457276673E-13</v>
      </c>
      <c r="P163" s="13">
        <f t="shared" si="141"/>
        <v>1.856866851063998E-12</v>
      </c>
      <c r="Q163" s="20">
        <f t="shared" si="162"/>
        <v>3.4554122145673649E-12</v>
      </c>
      <c r="R163" s="59">
        <f t="shared" si="109"/>
        <v>293.33333333333678</v>
      </c>
      <c r="S163" s="59">
        <f ca="1">AVERAGE(OFFSET($R$3,0,0,'Données projet'!$E$9+1,1))-AVERAGE(OFFSET($H$3,0,0,'Données projet'!$E$9+1,1))</f>
        <v>404.65492118472037</v>
      </c>
      <c r="T163" s="59">
        <f t="shared" si="142"/>
        <v>534.22295841722166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34.425675855208922</v>
      </c>
      <c r="AA163" s="21">
        <f>EXP(-LN(2)/25)*AA162+(1-EXP(-LN(2)/25))/(LN(2)/25)*Calculateur!V163*Calculateur!X163*VLOOKUP('Données projet'!$B$9,Paramètres!$A$1:$I$89,3,0)*0.475*44/12</f>
        <v>3.8900777645540909</v>
      </c>
      <c r="AB163" s="21">
        <f>EXP(-LN(2)/2)*AB162+(1-EXP(-LN(2)/2))/(LN(2)/2)*V163*Y163*VLOOKUP('Données projet'!$B$9,Paramètres!$A$1:$I$89,3,0)*0.475*44/12</f>
        <v>4.6657639285648818E-15</v>
      </c>
      <c r="AC163" s="22">
        <f t="shared" si="163"/>
        <v>38.315753619763022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-7.9808160080574461E-14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331.17634116262298</v>
      </c>
      <c r="AO163" s="59">
        <f t="shared" si="144"/>
        <v>286.28916368940605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50.073695937697856</v>
      </c>
      <c r="AV163" s="21">
        <f>EXP(-LN(2)/25)*AV162+(1-EXP(-LN(2)/25))/(LN(2)/25)*Calculateur!AQ163*Calculateur!AS163*VLOOKUP('Données projet'!$B$10,Paramètres!$A$1:$I$89,3,0)*0.475*44/12</f>
        <v>11.140379050115751</v>
      </c>
      <c r="AW163" s="21">
        <f>EXP(-LN(2)/2)*AW162+(1-EXP(-LN(2)/2))/(LN(2)/2)*AQ163*AT163*VLOOKUP('Données projet'!$B$10,Paramètres!$A$1:$I$89,3,0)*0.475*44/12</f>
        <v>2.3115388767327018E-8</v>
      </c>
      <c r="AX163" s="21">
        <f t="shared" si="166"/>
        <v>61.214075010928994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1.4210854715202004E-13</v>
      </c>
      <c r="BE163" s="13">
        <f>BD163*VLOOKUP('Données projet'!$B$11,Paramètres!$A$1:$I$89,3,0)*VLOOKUP('Données projet'!$B$11,Paramètres!$A$1:$I$89,5,0)</f>
        <v>7.7591266745002952E-14</v>
      </c>
      <c r="BF163" s="13">
        <f t="shared" si="167"/>
        <v>1.2005788606873384E-12</v>
      </c>
      <c r="BG163" s="20">
        <f t="shared" si="168"/>
        <v>2.226146305277994E-12</v>
      </c>
      <c r="BH163" s="59">
        <f t="shared" si="116"/>
        <v>293.33333333333553</v>
      </c>
      <c r="BI163" s="59">
        <f ca="1">AVERAGE(OFFSET($BH$3,0,0,'Données projet'!$E$11+1,1))-AVERAGE(OFFSET($H$3,0,0,'Données projet'!$E$11+1,1))</f>
        <v>165.87377022031535</v>
      </c>
      <c r="BJ163" s="59">
        <f t="shared" si="146"/>
        <v>272.91122662088929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10.441816091714019</v>
      </c>
      <c r="BQ163" s="21">
        <f>EXP(-LN(2)/25)*BQ162+(1-EXP(-LN(2)/25))/(LN(2)/25)*Calculateur!BL163*Calculateur!BN163*VLOOKUP('Données projet'!$B$11,Paramètres!$A$1:$I$89,3,0)*0.475*44/12</f>
        <v>1.3851858381090898</v>
      </c>
      <c r="BR163" s="21">
        <f>EXP(-LN(2)/2)*BR162+(1-EXP(-LN(2)/2))/(LN(2)/2)*BL163*BO163*VLOOKUP('Données projet'!$B$11,Paramètres!$A$1:$I$89,3,0)*0.475*44/12</f>
        <v>2.2347775439612537E-17</v>
      </c>
      <c r="BS163" s="22">
        <f t="shared" si="169"/>
        <v>11.827001929823108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4.5474735088646412E-13</v>
      </c>
      <c r="BZ163" s="13">
        <f>BY163*VLOOKUP('Données projet'!$B$12,Paramètres!$A$1:$I$89,3,0)*VLOOKUP('Données projet'!$B$12,Paramètres!$A$1:$I$89,5,0)</f>
        <v>4.1145540308207271E-13</v>
      </c>
      <c r="CA163" s="13">
        <f t="shared" si="170"/>
        <v>5.2428527960910789E-12</v>
      </c>
      <c r="CB163" s="20">
        <f t="shared" si="171"/>
        <v>9.8479201135599071E-12</v>
      </c>
      <c r="CC163" s="59">
        <f t="shared" si="119"/>
        <v>293.33333333334315</v>
      </c>
      <c r="CD163" s="59">
        <f ca="1">AVERAGE(OFFSET($CC$3,0,0,'Données projet'!$E$12+1,1))-AVERAGE(OFFSET($H$3,0,0,'Données projet'!$E$12+1,1))</f>
        <v>639.86968831634636</v>
      </c>
      <c r="CE163" s="59">
        <f t="shared" si="148"/>
        <v>218.1556771431184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212.07539377307234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212.07539377307234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9.9316821433603781E-14</v>
      </c>
      <c r="CV163" s="13">
        <f t="shared" si="173"/>
        <v>1.4932118279712753E-12</v>
      </c>
      <c r="CW163" s="20">
        <f t="shared" si="174"/>
        <v>2.7736540643801645E-12</v>
      </c>
      <c r="CX163" s="59">
        <f t="shared" si="122"/>
        <v>293.3333333333361</v>
      </c>
      <c r="CY163" s="59">
        <f ca="1">AVERAGE(OFFSET($CX$3,0,0,'Données projet'!$E$13+1,1))-AVERAGE(OFFSET($H$3,0,0,'Données projet'!$E$13+1,1))</f>
        <v>218.76600554860482</v>
      </c>
      <c r="CZ163" s="59">
        <f t="shared" si="150"/>
        <v>264.34840059907702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7.784373417766739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7.784373417766739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-1.7053025658242404E-13</v>
      </c>
      <c r="DP163" s="17">
        <f>DO163*VLOOKUP('Données projet'!$B$14,Paramètres!$A$1:$I$89,3,0)*VLOOKUP('Données projet'!$B$14,Paramètres!$A$1:$I$89,5,0)</f>
        <v>-1.4631496014771985E-13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442.97490100035287</v>
      </c>
      <c r="DU163" s="59">
        <f t="shared" si="152"/>
        <v>334.36243356457049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53.847982473976636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53.847982473976636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5.6843418860808015E-14</v>
      </c>
      <c r="EK163" s="17">
        <f>EJ163*VLOOKUP('Données projet'!$B$15,Paramètres!$A$1:$I$89,3,0)*VLOOKUP('Données projet'!$B$15,Paramètres!$A$1:$I$89,5,0)</f>
        <v>4.4337866711430253E-14</v>
      </c>
      <c r="EL163" s="13">
        <f t="shared" si="179"/>
        <v>7.3222115536967035E-13</v>
      </c>
      <c r="EM163" s="20">
        <f t="shared" si="180"/>
        <v>1.3525069634579169E-12</v>
      </c>
      <c r="EN163" s="59">
        <f t="shared" si="128"/>
        <v>293.33333333333468</v>
      </c>
      <c r="EO163" s="59">
        <f ca="1">AVERAGE(OFFSET($EN$3,0,0,'Données projet'!$E$15+1,1))-AVERAGE(OFFSET($H$3,0,0,'Données projet'!$E$15+1,1))</f>
        <v>288.82868507674738</v>
      </c>
      <c r="EP163" s="59">
        <f t="shared" si="154"/>
        <v>283.48738729114024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13.62726450919045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13.62726450919045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328.55201074501201</v>
      </c>
      <c r="FK163" s="59">
        <f t="shared" si="156"/>
        <v>321.81422611044985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19.683697150480413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19.683697150480413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353.37024194969638</v>
      </c>
      <c r="GF163" s="59">
        <f t="shared" si="158"/>
        <v>345.4750813433123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26.32609272525902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26.32609272525902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1.2710188457276673E-13</v>
      </c>
      <c r="P164" s="13">
        <f t="shared" si="141"/>
        <v>1.856866851063998E-12</v>
      </c>
      <c r="Q164" s="20">
        <f t="shared" si="162"/>
        <v>3.4554122145673649E-12</v>
      </c>
      <c r="R164" s="59">
        <f t="shared" si="109"/>
        <v>293.33333333333678</v>
      </c>
      <c r="S164" s="59">
        <f ca="1">AVERAGE(OFFSET($R$3,0,0,'Données projet'!$E$9+1,1))-AVERAGE(OFFSET($H$3,0,0,'Données projet'!$E$9+1,1))</f>
        <v>404.65492118472037</v>
      </c>
      <c r="T164" s="59">
        <f t="shared" si="142"/>
        <v>534.22295841722166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33.750609349277205</v>
      </c>
      <c r="AA164" s="21">
        <f>EXP(-LN(2)/25)*AA163+(1-EXP(-LN(2)/25))/(LN(2)/25)*Calculateur!V164*Calculateur!X164*VLOOKUP('Données projet'!$B$9,Paramètres!$A$1:$I$89,3,0)*0.475*44/12</f>
        <v>3.7837033835120604</v>
      </c>
      <c r="AB164" s="21">
        <f>EXP(-LN(2)/2)*AB163+(1-EXP(-LN(2)/2))/(LN(2)/2)*V164*Y164*VLOOKUP('Données projet'!$B$9,Paramètres!$A$1:$I$89,3,0)*0.475*44/12</f>
        <v>3.2991933133038142E-15</v>
      </c>
      <c r="AC164" s="22">
        <f t="shared" si="163"/>
        <v>37.534312732789267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-7.9808160080574461E-14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331.17634116262298</v>
      </c>
      <c r="AO164" s="59">
        <f t="shared" si="144"/>
        <v>286.28916368940605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49.091781302298358</v>
      </c>
      <c r="AV164" s="21">
        <f>EXP(-LN(2)/25)*AV163+(1-EXP(-LN(2)/25))/(LN(2)/25)*Calculateur!AQ164*Calculateur!AS164*VLOOKUP('Données projet'!$B$10,Paramètres!$A$1:$I$89,3,0)*0.475*44/12</f>
        <v>10.835744799143264</v>
      </c>
      <c r="AW164" s="21">
        <f>EXP(-LN(2)/2)*AW163+(1-EXP(-LN(2)/2))/(LN(2)/2)*AQ164*AT164*VLOOKUP('Données projet'!$B$10,Paramètres!$A$1:$I$89,3,0)*0.475*44/12</f>
        <v>1.6345048147140284E-8</v>
      </c>
      <c r="AX164" s="21">
        <f t="shared" si="166"/>
        <v>59.92752611778667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1.4210854715202004E-13</v>
      </c>
      <c r="BE164" s="13">
        <f>BD164*VLOOKUP('Données projet'!$B$11,Paramètres!$A$1:$I$89,3,0)*VLOOKUP('Données projet'!$B$11,Paramètres!$A$1:$I$89,5,0)</f>
        <v>7.7591266745002952E-14</v>
      </c>
      <c r="BF164" s="13">
        <f t="shared" si="167"/>
        <v>1.2005788606873384E-12</v>
      </c>
      <c r="BG164" s="20">
        <f t="shared" si="168"/>
        <v>2.226146305277994E-12</v>
      </c>
      <c r="BH164" s="59">
        <f t="shared" si="116"/>
        <v>293.33333333333553</v>
      </c>
      <c r="BI164" s="59">
        <f ca="1">AVERAGE(OFFSET($BH$3,0,0,'Données projet'!$E$11+1,1))-AVERAGE(OFFSET($H$3,0,0,'Données projet'!$E$11+1,1))</f>
        <v>165.87377022031535</v>
      </c>
      <c r="BJ164" s="59">
        <f t="shared" si="146"/>
        <v>272.91122662088929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10.237058447034448</v>
      </c>
      <c r="BQ164" s="21">
        <f>EXP(-LN(2)/25)*BQ163+(1-EXP(-LN(2)/25))/(LN(2)/25)*Calculateur!BL164*Calculateur!BN164*VLOOKUP('Données projet'!$B$11,Paramètres!$A$1:$I$89,3,0)*0.475*44/12</f>
        <v>1.3473078585222393</v>
      </c>
      <c r="BR164" s="21">
        <f>EXP(-LN(2)/2)*BR163+(1-EXP(-LN(2)/2))/(LN(2)/2)*BL164*BO164*VLOOKUP('Données projet'!$B$11,Paramètres!$A$1:$I$89,3,0)*0.475*44/12</f>
        <v>1.5802263557784203E-17</v>
      </c>
      <c r="BS164" s="22">
        <f t="shared" si="169"/>
        <v>11.584366305556687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4.5474735088646412E-13</v>
      </c>
      <c r="BZ164" s="13">
        <f>BY164*VLOOKUP('Données projet'!$B$12,Paramètres!$A$1:$I$89,3,0)*VLOOKUP('Données projet'!$B$12,Paramètres!$A$1:$I$89,5,0)</f>
        <v>4.1145540308207271E-13</v>
      </c>
      <c r="CA164" s="13">
        <f t="shared" si="170"/>
        <v>5.2428527960910789E-12</v>
      </c>
      <c r="CB164" s="20">
        <f t="shared" si="171"/>
        <v>9.8479201135599071E-12</v>
      </c>
      <c r="CC164" s="59">
        <f t="shared" si="119"/>
        <v>293.33333333334315</v>
      </c>
      <c r="CD164" s="59">
        <f ca="1">AVERAGE(OFFSET($CC$3,0,0,'Données projet'!$E$12+1,1))-AVERAGE(OFFSET($H$3,0,0,'Données projet'!$E$12+1,1))</f>
        <v>639.86968831634636</v>
      </c>
      <c r="CE164" s="59">
        <f t="shared" si="148"/>
        <v>218.1556771431184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207.91672465440001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207.91672465440001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9.9316821433603781E-14</v>
      </c>
      <c r="CV164" s="13">
        <f t="shared" si="173"/>
        <v>1.4932118279712753E-12</v>
      </c>
      <c r="CW164" s="20">
        <f t="shared" si="174"/>
        <v>2.7736540643801645E-12</v>
      </c>
      <c r="CX164" s="59">
        <f t="shared" si="122"/>
        <v>293.3333333333361</v>
      </c>
      <c r="CY164" s="59">
        <f ca="1">AVERAGE(OFFSET($CX$3,0,0,'Données projet'!$E$13+1,1))-AVERAGE(OFFSET($H$3,0,0,'Données projet'!$E$13+1,1))</f>
        <v>218.76600554860482</v>
      </c>
      <c r="CZ164" s="59">
        <f t="shared" si="150"/>
        <v>264.34840059907702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7.6317266030432922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7.6317266030432922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-1.7053025658242404E-13</v>
      </c>
      <c r="DP164" s="17">
        <f>DO164*VLOOKUP('Données projet'!$B$14,Paramètres!$A$1:$I$89,3,0)*VLOOKUP('Données projet'!$B$14,Paramètres!$A$1:$I$89,5,0)</f>
        <v>-1.4631496014771985E-13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442.97490100035287</v>
      </c>
      <c r="DU164" s="59">
        <f t="shared" si="152"/>
        <v>334.36243356457049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52.792056381688184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52.792056381688184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5.6843418860808015E-14</v>
      </c>
      <c r="EK164" s="17">
        <f>EJ164*VLOOKUP('Données projet'!$B$15,Paramètres!$A$1:$I$89,3,0)*VLOOKUP('Données projet'!$B$15,Paramètres!$A$1:$I$89,5,0)</f>
        <v>4.4337866711430253E-14</v>
      </c>
      <c r="EL164" s="13">
        <f t="shared" si="179"/>
        <v>7.3222115536967035E-13</v>
      </c>
      <c r="EM164" s="20">
        <f t="shared" si="180"/>
        <v>1.3525069634579169E-12</v>
      </c>
      <c r="EN164" s="59">
        <f t="shared" si="128"/>
        <v>293.33333333333468</v>
      </c>
      <c r="EO164" s="59">
        <f ca="1">AVERAGE(OFFSET($EN$3,0,0,'Données projet'!$E$15+1,1))-AVERAGE(OFFSET($H$3,0,0,'Données projet'!$E$15+1,1))</f>
        <v>288.82868507674738</v>
      </c>
      <c r="EP164" s="59">
        <f t="shared" si="154"/>
        <v>283.48738729114024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13.360042163975853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13.360042163975853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328.55201074501201</v>
      </c>
      <c r="FK164" s="59">
        <f t="shared" si="156"/>
        <v>321.81422611044985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19.297711855229274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19.297711855229274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353.37024194969638</v>
      </c>
      <c r="GF164" s="59">
        <f t="shared" si="158"/>
        <v>345.4750813433123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25.809854104247723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25.809854104247723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1.2710188457276673E-13</v>
      </c>
      <c r="P165" s="13">
        <f t="shared" si="141"/>
        <v>1.856866851063998E-12</v>
      </c>
      <c r="Q165" s="20">
        <f t="shared" si="162"/>
        <v>3.4554122145673649E-12</v>
      </c>
      <c r="R165" s="59">
        <f t="shared" si="109"/>
        <v>293.33333333333678</v>
      </c>
      <c r="S165" s="59">
        <f ca="1">AVERAGE(OFFSET($R$3,0,0,'Données projet'!$E$9+1,1))-AVERAGE(OFFSET($H$3,0,0,'Données projet'!$E$9+1,1))</f>
        <v>404.65492118472037</v>
      </c>
      <c r="T165" s="59">
        <f t="shared" si="142"/>
        <v>534.22295841722166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33.088780485776901</v>
      </c>
      <c r="AA165" s="21">
        <f>EXP(-LN(2)/25)*AA164+(1-EXP(-LN(2)/25))/(LN(2)/25)*Calculateur!V165*Calculateur!X165*VLOOKUP('Données projet'!$B$9,Paramètres!$A$1:$I$89,3,0)*0.475*44/12</f>
        <v>3.68023781551361</v>
      </c>
      <c r="AB165" s="21">
        <f>EXP(-LN(2)/2)*AB164+(1-EXP(-LN(2)/2))/(LN(2)/2)*V165*Y165*VLOOKUP('Données projet'!$B$9,Paramètres!$A$1:$I$89,3,0)*0.475*44/12</f>
        <v>2.3328819642824409E-15</v>
      </c>
      <c r="AC165" s="22">
        <f t="shared" si="163"/>
        <v>36.769018301290508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-7.9808160080574461E-14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331.17634116262298</v>
      </c>
      <c r="AO165" s="59">
        <f t="shared" si="144"/>
        <v>286.28916368940605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48.129121413990255</v>
      </c>
      <c r="AV165" s="21">
        <f>EXP(-LN(2)/25)*AV164+(1-EXP(-LN(2)/25))/(LN(2)/25)*Calculateur!AQ165*Calculateur!AS165*VLOOKUP('Données projet'!$B$10,Paramètres!$A$1:$I$89,3,0)*0.475*44/12</f>
        <v>10.539440787783638</v>
      </c>
      <c r="AW165" s="21">
        <f>EXP(-LN(2)/2)*AW164+(1-EXP(-LN(2)/2))/(LN(2)/2)*AQ165*AT165*VLOOKUP('Données projet'!$B$10,Paramètres!$A$1:$I$89,3,0)*0.475*44/12</f>
        <v>1.1557694383663509E-8</v>
      </c>
      <c r="AX165" s="21">
        <f t="shared" si="166"/>
        <v>58.66856221333159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1.4210854715202004E-13</v>
      </c>
      <c r="BE165" s="13">
        <f>BD165*VLOOKUP('Données projet'!$B$11,Paramètres!$A$1:$I$89,3,0)*VLOOKUP('Données projet'!$B$11,Paramètres!$A$1:$I$89,5,0)</f>
        <v>7.7591266745002952E-14</v>
      </c>
      <c r="BF165" s="13">
        <f t="shared" si="167"/>
        <v>1.2005788606873384E-12</v>
      </c>
      <c r="BG165" s="20">
        <f t="shared" si="168"/>
        <v>2.226146305277994E-12</v>
      </c>
      <c r="BH165" s="59">
        <f t="shared" si="116"/>
        <v>293.33333333333553</v>
      </c>
      <c r="BI165" s="59">
        <f ca="1">AVERAGE(OFFSET($BH$3,0,0,'Données projet'!$E$11+1,1))-AVERAGE(OFFSET($H$3,0,0,'Données projet'!$E$11+1,1))</f>
        <v>165.87377022031535</v>
      </c>
      <c r="BJ165" s="59">
        <f t="shared" si="146"/>
        <v>272.91122662088929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10.036315974877212</v>
      </c>
      <c r="BQ165" s="21">
        <f>EXP(-LN(2)/25)*BQ164+(1-EXP(-LN(2)/25))/(LN(2)/25)*Calculateur!BL165*Calculateur!BN165*VLOOKUP('Données projet'!$B$11,Paramètres!$A$1:$I$89,3,0)*0.475*44/12</f>
        <v>1.3104656542791078</v>
      </c>
      <c r="BR165" s="21">
        <f>EXP(-LN(2)/2)*BR164+(1-EXP(-LN(2)/2))/(LN(2)/2)*BL165*BO165*VLOOKUP('Données projet'!$B$11,Paramètres!$A$1:$I$89,3,0)*0.475*44/12</f>
        <v>1.1173887719806268E-17</v>
      </c>
      <c r="BS165" s="22">
        <f t="shared" si="169"/>
        <v>11.34678162915632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4.5474735088646412E-13</v>
      </c>
      <c r="BZ165" s="13">
        <f>BY165*VLOOKUP('Données projet'!$B$12,Paramètres!$A$1:$I$89,3,0)*VLOOKUP('Données projet'!$B$12,Paramètres!$A$1:$I$89,5,0)</f>
        <v>4.1145540308207271E-13</v>
      </c>
      <c r="CA165" s="13">
        <f t="shared" si="170"/>
        <v>5.2428527960910789E-12</v>
      </c>
      <c r="CB165" s="20">
        <f t="shared" si="171"/>
        <v>9.8479201135599071E-12</v>
      </c>
      <c r="CC165" s="59">
        <f t="shared" si="119"/>
        <v>293.33333333334315</v>
      </c>
      <c r="CD165" s="59">
        <f ca="1">AVERAGE(OFFSET($CC$3,0,0,'Données projet'!$E$12+1,1))-AVERAGE(OFFSET($H$3,0,0,'Données projet'!$E$12+1,1))</f>
        <v>639.86968831634636</v>
      </c>
      <c r="CE165" s="59">
        <f t="shared" si="148"/>
        <v>218.1556771431184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203.83960450060715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203.83960450060715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9.9316821433603781E-14</v>
      </c>
      <c r="CV165" s="13">
        <f t="shared" si="173"/>
        <v>1.4932118279712753E-12</v>
      </c>
      <c r="CW165" s="20">
        <f t="shared" si="174"/>
        <v>2.7736540643801645E-12</v>
      </c>
      <c r="CX165" s="59">
        <f t="shared" si="122"/>
        <v>293.3333333333361</v>
      </c>
      <c r="CY165" s="59">
        <f ca="1">AVERAGE(OFFSET($CX$3,0,0,'Données projet'!$E$13+1,1))-AVERAGE(OFFSET($H$3,0,0,'Données projet'!$E$13+1,1))</f>
        <v>218.76600554860482</v>
      </c>
      <c r="CZ165" s="59">
        <f t="shared" si="150"/>
        <v>264.34840059907702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7.4820730992512088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7.4820730992512088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-1.7053025658242404E-13</v>
      </c>
      <c r="DP165" s="17">
        <f>DO165*VLOOKUP('Données projet'!$B$14,Paramètres!$A$1:$I$89,3,0)*VLOOKUP('Données projet'!$B$14,Paramètres!$A$1:$I$89,5,0)</f>
        <v>-1.4631496014771985E-13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442.97490100035287</v>
      </c>
      <c r="DU165" s="59">
        <f t="shared" si="152"/>
        <v>334.36243356457049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51.756836356018191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51.756836356018191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5.6843418860808015E-14</v>
      </c>
      <c r="EK165" s="17">
        <f>EJ165*VLOOKUP('Données projet'!$B$15,Paramètres!$A$1:$I$89,3,0)*VLOOKUP('Données projet'!$B$15,Paramètres!$A$1:$I$89,5,0)</f>
        <v>4.4337866711430253E-14</v>
      </c>
      <c r="EL165" s="13">
        <f t="shared" si="179"/>
        <v>7.3222115536967035E-13</v>
      </c>
      <c r="EM165" s="20">
        <f t="shared" si="180"/>
        <v>1.3525069634579169E-12</v>
      </c>
      <c r="EN165" s="59">
        <f t="shared" si="128"/>
        <v>293.33333333333468</v>
      </c>
      <c r="EO165" s="59">
        <f ca="1">AVERAGE(OFFSET($EN$3,0,0,'Données projet'!$E$15+1,1))-AVERAGE(OFFSET($H$3,0,0,'Données projet'!$E$15+1,1))</f>
        <v>288.82868507674738</v>
      </c>
      <c r="EP165" s="59">
        <f t="shared" si="154"/>
        <v>283.48738729114024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13.098059885961378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13.098059885961378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328.55201074501201</v>
      </c>
      <c r="FK165" s="59">
        <f t="shared" si="156"/>
        <v>321.81422611044985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18.919295496190223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18.919295496190223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353.37024194969638</v>
      </c>
      <c r="GF165" s="59">
        <f t="shared" si="158"/>
        <v>345.4750813433123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25.303738607719989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25.303738607719989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1.2710188457276673E-13</v>
      </c>
      <c r="P166" s="13">
        <f t="shared" si="141"/>
        <v>1.856866851063998E-12</v>
      </c>
      <c r="Q166" s="20">
        <f t="shared" si="162"/>
        <v>3.4554122145673649E-12</v>
      </c>
      <c r="R166" s="59">
        <f t="shared" si="109"/>
        <v>293.33333333333678</v>
      </c>
      <c r="S166" s="59">
        <f ca="1">AVERAGE(OFFSET($R$3,0,0,'Données projet'!$E$9+1,1))-AVERAGE(OFFSET($H$3,0,0,'Données projet'!$E$9+1,1))</f>
        <v>404.65492118472037</v>
      </c>
      <c r="T166" s="59">
        <f t="shared" si="142"/>
        <v>534.22295841722166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32.439929682614093</v>
      </c>
      <c r="AA166" s="21">
        <f>EXP(-LN(2)/25)*AA165+(1-EXP(-LN(2)/25))/(LN(2)/25)*Calculateur!V166*Calculateur!X166*VLOOKUP('Données projet'!$B$9,Paramètres!$A$1:$I$89,3,0)*0.475*44/12</f>
        <v>3.579601518913095</v>
      </c>
      <c r="AB166" s="21">
        <f>EXP(-LN(2)/2)*AB165+(1-EXP(-LN(2)/2))/(LN(2)/2)*V166*Y166*VLOOKUP('Données projet'!$B$9,Paramètres!$A$1:$I$89,3,0)*0.475*44/12</f>
        <v>1.6495966566519071E-15</v>
      </c>
      <c r="AC166" s="22">
        <f t="shared" si="163"/>
        <v>36.019531201527187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-7.9808160080574461E-14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331.17634116262298</v>
      </c>
      <c r="AO166" s="59">
        <f t="shared" si="144"/>
        <v>286.28916368940605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47.185338698927318</v>
      </c>
      <c r="AV166" s="21">
        <f>EXP(-LN(2)/25)*AV165+(1-EXP(-LN(2)/25))/(LN(2)/25)*Calculateur!AQ166*Calculateur!AS166*VLOOKUP('Données projet'!$B$10,Paramètres!$A$1:$I$89,3,0)*0.475*44/12</f>
        <v>10.251239225196592</v>
      </c>
      <c r="AW166" s="21">
        <f>EXP(-LN(2)/2)*AW165+(1-EXP(-LN(2)/2))/(LN(2)/2)*AQ166*AT166*VLOOKUP('Données projet'!$B$10,Paramètres!$A$1:$I$89,3,0)*0.475*44/12</f>
        <v>8.1725240735701421E-9</v>
      </c>
      <c r="AX166" s="21">
        <f t="shared" si="166"/>
        <v>57.436577932296437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1.4210854715202004E-13</v>
      </c>
      <c r="BE166" s="13">
        <f>BD166*VLOOKUP('Données projet'!$B$11,Paramètres!$A$1:$I$89,3,0)*VLOOKUP('Données projet'!$B$11,Paramètres!$A$1:$I$89,5,0)</f>
        <v>7.7591266745002952E-14</v>
      </c>
      <c r="BF166" s="13">
        <f t="shared" si="167"/>
        <v>1.2005788606873384E-12</v>
      </c>
      <c r="BG166" s="20">
        <f t="shared" si="168"/>
        <v>2.226146305277994E-12</v>
      </c>
      <c r="BH166" s="59">
        <f t="shared" si="116"/>
        <v>293.33333333333553</v>
      </c>
      <c r="BI166" s="59">
        <f ca="1">AVERAGE(OFFSET($BH$3,0,0,'Données projet'!$E$11+1,1))-AVERAGE(OFFSET($H$3,0,0,'Données projet'!$E$11+1,1))</f>
        <v>165.87377022031535</v>
      </c>
      <c r="BJ166" s="59">
        <f t="shared" si="146"/>
        <v>272.91122662088929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9.8395099401581625</v>
      </c>
      <c r="BQ166" s="21">
        <f>EXP(-LN(2)/25)*BQ165+(1-EXP(-LN(2)/25))/(LN(2)/25)*Calculateur!BL166*Calculateur!BN166*VLOOKUP('Données projet'!$B$11,Paramètres!$A$1:$I$89,3,0)*0.475*44/12</f>
        <v>1.2746309020484519</v>
      </c>
      <c r="BR166" s="21">
        <f>EXP(-LN(2)/2)*BR165+(1-EXP(-LN(2)/2))/(LN(2)/2)*BL166*BO166*VLOOKUP('Données projet'!$B$11,Paramètres!$A$1:$I$89,3,0)*0.475*44/12</f>
        <v>7.9011317788921013E-18</v>
      </c>
      <c r="BS166" s="22">
        <f t="shared" si="169"/>
        <v>11.114140842206615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4.5474735088646412E-13</v>
      </c>
      <c r="BZ166" s="13">
        <f>BY166*VLOOKUP('Données projet'!$B$12,Paramètres!$A$1:$I$89,3,0)*VLOOKUP('Données projet'!$B$12,Paramètres!$A$1:$I$89,5,0)</f>
        <v>4.1145540308207271E-13</v>
      </c>
      <c r="CA166" s="13">
        <f t="shared" si="170"/>
        <v>5.2428527960910789E-12</v>
      </c>
      <c r="CB166" s="20">
        <f t="shared" si="171"/>
        <v>9.8479201135599071E-12</v>
      </c>
      <c r="CC166" s="59">
        <f t="shared" si="119"/>
        <v>293.33333333334315</v>
      </c>
      <c r="CD166" s="59">
        <f ca="1">AVERAGE(OFFSET($CC$3,0,0,'Données projet'!$E$12+1,1))-AVERAGE(OFFSET($H$3,0,0,'Données projet'!$E$12+1,1))</f>
        <v>639.86968831634636</v>
      </c>
      <c r="CE166" s="59">
        <f t="shared" si="148"/>
        <v>218.1556771431184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199.84243418623242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199.84243418623242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9.9316821433603781E-14</v>
      </c>
      <c r="CV166" s="13">
        <f t="shared" si="173"/>
        <v>1.4932118279712753E-12</v>
      </c>
      <c r="CW166" s="20">
        <f t="shared" si="174"/>
        <v>2.7736540643801645E-12</v>
      </c>
      <c r="CX166" s="59">
        <f t="shared" si="122"/>
        <v>293.3333333333361</v>
      </c>
      <c r="CY166" s="59">
        <f ca="1">AVERAGE(OFFSET($CX$3,0,0,'Données projet'!$E$13+1,1))-AVERAGE(OFFSET($H$3,0,0,'Données projet'!$E$13+1,1))</f>
        <v>218.76600554860482</v>
      </c>
      <c r="CZ166" s="59">
        <f t="shared" si="150"/>
        <v>264.34840059907702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7.3353542093888633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7.3353542093888633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-1.7053025658242404E-13</v>
      </c>
      <c r="DP166" s="17">
        <f>DO166*VLOOKUP('Données projet'!$B$14,Paramètres!$A$1:$I$89,3,0)*VLOOKUP('Données projet'!$B$14,Paramètres!$A$1:$I$89,5,0)</f>
        <v>-1.4631496014771985E-13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442.97490100035287</v>
      </c>
      <c r="DU166" s="59">
        <f t="shared" si="152"/>
        <v>334.36243356457049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50.741916363629713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50.741916363629713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5.6843418860808015E-14</v>
      </c>
      <c r="EK166" s="17">
        <f>EJ166*VLOOKUP('Données projet'!$B$15,Paramètres!$A$1:$I$89,3,0)*VLOOKUP('Données projet'!$B$15,Paramètres!$A$1:$I$89,5,0)</f>
        <v>4.4337866711430253E-14</v>
      </c>
      <c r="EL166" s="13">
        <f t="shared" si="179"/>
        <v>7.3222115536967035E-13</v>
      </c>
      <c r="EM166" s="20">
        <f t="shared" si="180"/>
        <v>1.3525069634579169E-12</v>
      </c>
      <c r="EN166" s="59">
        <f t="shared" si="128"/>
        <v>293.33333333333468</v>
      </c>
      <c r="EO166" s="59">
        <f ca="1">AVERAGE(OFFSET($EN$3,0,0,'Données projet'!$E$15+1,1))-AVERAGE(OFFSET($H$3,0,0,'Données projet'!$E$15+1,1))</f>
        <v>288.82868507674738</v>
      </c>
      <c r="EP166" s="59">
        <f t="shared" si="154"/>
        <v>283.48738729114024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12.841214920625355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12.841214920625355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328.55201074501201</v>
      </c>
      <c r="FK166" s="59">
        <f t="shared" si="156"/>
        <v>321.81422611044985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18.548299651140741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18.548299651140741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353.37024194969638</v>
      </c>
      <c r="GF166" s="59">
        <f t="shared" si="158"/>
        <v>345.4750813433123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24.807547727379195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24.807547727379195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1.2710188457276673E-13</v>
      </c>
      <c r="P167" s="13">
        <f t="shared" si="141"/>
        <v>1.856866851063998E-12</v>
      </c>
      <c r="Q167" s="20">
        <f t="shared" si="162"/>
        <v>3.4554122145673649E-12</v>
      </c>
      <c r="R167" s="59">
        <f t="shared" si="109"/>
        <v>293.33333333333678</v>
      </c>
      <c r="S167" s="59">
        <f ca="1">AVERAGE(OFFSET($R$3,0,0,'Données projet'!$E$9+1,1))-AVERAGE(OFFSET($H$3,0,0,'Données projet'!$E$9+1,1))</f>
        <v>404.65492118472037</v>
      </c>
      <c r="T167" s="59">
        <f t="shared" si="142"/>
        <v>534.22295841722166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31.80380244794139</v>
      </c>
      <c r="AA167" s="21">
        <f>EXP(-LN(2)/25)*AA166+(1-EXP(-LN(2)/25))/(LN(2)/25)*Calculateur!V167*Calculateur!X167*VLOOKUP('Données projet'!$B$9,Paramètres!$A$1:$I$89,3,0)*0.475*44/12</f>
        <v>3.481717127135354</v>
      </c>
      <c r="AB167" s="21">
        <f>EXP(-LN(2)/2)*AB166+(1-EXP(-LN(2)/2))/(LN(2)/2)*V167*Y167*VLOOKUP('Données projet'!$B$9,Paramètres!$A$1:$I$89,3,0)*0.475*44/12</f>
        <v>1.1664409821412204E-15</v>
      </c>
      <c r="AC167" s="22">
        <f t="shared" si="163"/>
        <v>35.285519575076741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-7.9808160080574461E-14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331.17634116262298</v>
      </c>
      <c r="AO167" s="59">
        <f t="shared" si="144"/>
        <v>286.28916368940605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46.260062987256148</v>
      </c>
      <c r="AV167" s="21">
        <f>EXP(-LN(2)/25)*AV166+(1-EXP(-LN(2)/25))/(LN(2)/25)*Calculateur!AQ167*Calculateur!AS167*VLOOKUP('Données projet'!$B$10,Paramètres!$A$1:$I$89,3,0)*0.475*44/12</f>
        <v>9.9709185494943497</v>
      </c>
      <c r="AW167" s="21">
        <f>EXP(-LN(2)/2)*AW166+(1-EXP(-LN(2)/2))/(LN(2)/2)*AQ167*AT167*VLOOKUP('Données projet'!$B$10,Paramètres!$A$1:$I$89,3,0)*0.475*44/12</f>
        <v>5.7788471918317545E-9</v>
      </c>
      <c r="AX167" s="21">
        <f t="shared" si="166"/>
        <v>56.230981542529342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1.4210854715202004E-13</v>
      </c>
      <c r="BE167" s="13">
        <f>BD167*VLOOKUP('Données projet'!$B$11,Paramètres!$A$1:$I$89,3,0)*VLOOKUP('Données projet'!$B$11,Paramètres!$A$1:$I$89,5,0)</f>
        <v>7.7591266745002952E-14</v>
      </c>
      <c r="BF167" s="13">
        <f t="shared" si="167"/>
        <v>1.2005788606873384E-12</v>
      </c>
      <c r="BG167" s="20">
        <f t="shared" si="168"/>
        <v>2.226146305277994E-12</v>
      </c>
      <c r="BH167" s="59">
        <f t="shared" si="116"/>
        <v>293.33333333333553</v>
      </c>
      <c r="BI167" s="59">
        <f ca="1">AVERAGE(OFFSET($BH$3,0,0,'Données projet'!$E$11+1,1))-AVERAGE(OFFSET($H$3,0,0,'Données projet'!$E$11+1,1))</f>
        <v>165.87377022031535</v>
      </c>
      <c r="BJ167" s="59">
        <f t="shared" si="146"/>
        <v>272.91122662088929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9.6465631517401249</v>
      </c>
      <c r="BQ167" s="21">
        <f>EXP(-LN(2)/25)*BQ166+(1-EXP(-LN(2)/25))/(LN(2)/25)*Calculateur!BL167*Calculateur!BN167*VLOOKUP('Données projet'!$B$11,Paramètres!$A$1:$I$89,3,0)*0.475*44/12</f>
        <v>1.239776053002011</v>
      </c>
      <c r="BR167" s="21">
        <f>EXP(-LN(2)/2)*BR166+(1-EXP(-LN(2)/2))/(LN(2)/2)*BL167*BO167*VLOOKUP('Données projet'!$B$11,Paramètres!$A$1:$I$89,3,0)*0.475*44/12</f>
        <v>5.5869438599031342E-18</v>
      </c>
      <c r="BS167" s="22">
        <f t="shared" si="169"/>
        <v>10.886339204742136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4.5474735088646412E-13</v>
      </c>
      <c r="BZ167" s="13">
        <f>BY167*VLOOKUP('Données projet'!$B$12,Paramètres!$A$1:$I$89,3,0)*VLOOKUP('Données projet'!$B$12,Paramètres!$A$1:$I$89,5,0)</f>
        <v>4.1145540308207271E-13</v>
      </c>
      <c r="CA167" s="13">
        <f t="shared" si="170"/>
        <v>5.2428527960910789E-12</v>
      </c>
      <c r="CB167" s="20">
        <f t="shared" si="171"/>
        <v>9.8479201135599071E-12</v>
      </c>
      <c r="CC167" s="59">
        <f t="shared" si="119"/>
        <v>293.33333333334315</v>
      </c>
      <c r="CD167" s="59">
        <f ca="1">AVERAGE(OFFSET($CC$3,0,0,'Données projet'!$E$12+1,1))-AVERAGE(OFFSET($H$3,0,0,'Données projet'!$E$12+1,1))</f>
        <v>639.86968831634636</v>
      </c>
      <c r="CE167" s="59">
        <f t="shared" si="148"/>
        <v>218.1556771431184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195.92364594368945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195.92364594368945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9.9316821433603781E-14</v>
      </c>
      <c r="CV167" s="13">
        <f t="shared" si="173"/>
        <v>1.4932118279712753E-12</v>
      </c>
      <c r="CW167" s="20">
        <f t="shared" si="174"/>
        <v>2.7736540643801645E-12</v>
      </c>
      <c r="CX167" s="59">
        <f t="shared" si="122"/>
        <v>293.3333333333361</v>
      </c>
      <c r="CY167" s="59">
        <f ca="1">AVERAGE(OFFSET($CX$3,0,0,'Données projet'!$E$13+1,1))-AVERAGE(OFFSET($H$3,0,0,'Données projet'!$E$13+1,1))</f>
        <v>218.76600554860482</v>
      </c>
      <c r="CZ167" s="59">
        <f t="shared" si="150"/>
        <v>264.34840059907702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7.1915123874670321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7.1915123874670321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-1.7053025658242404E-13</v>
      </c>
      <c r="DP167" s="17">
        <f>DO167*VLOOKUP('Données projet'!$B$14,Paramètres!$A$1:$I$89,3,0)*VLOOKUP('Données projet'!$B$14,Paramètres!$A$1:$I$89,5,0)</f>
        <v>-1.4631496014771985E-13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442.97490100035287</v>
      </c>
      <c r="DU167" s="59">
        <f t="shared" si="152"/>
        <v>334.36243356457049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49.746898333251906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49.746898333251906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5.6843418860808015E-14</v>
      </c>
      <c r="EK167" s="17">
        <f>EJ167*VLOOKUP('Données projet'!$B$15,Paramètres!$A$1:$I$89,3,0)*VLOOKUP('Données projet'!$B$15,Paramètres!$A$1:$I$89,5,0)</f>
        <v>4.4337866711430253E-14</v>
      </c>
      <c r="EL167" s="13">
        <f t="shared" si="179"/>
        <v>7.3222115536967035E-13</v>
      </c>
      <c r="EM167" s="20">
        <f t="shared" si="180"/>
        <v>1.3525069634579169E-12</v>
      </c>
      <c r="EN167" s="59">
        <f t="shared" si="128"/>
        <v>293.33333333333468</v>
      </c>
      <c r="EO167" s="59">
        <f ca="1">AVERAGE(OFFSET($EN$3,0,0,'Données projet'!$E$15+1,1))-AVERAGE(OFFSET($H$3,0,0,'Données projet'!$E$15+1,1))</f>
        <v>288.82868507674738</v>
      </c>
      <c r="EP167" s="59">
        <f t="shared" si="154"/>
        <v>283.48738729114024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12.589406528399611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12.589406528399611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328.55201074501201</v>
      </c>
      <c r="FK167" s="59">
        <f t="shared" si="156"/>
        <v>321.81422611044985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18.184578808327558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18.184578808327558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353.37024194969638</v>
      </c>
      <c r="GF167" s="59">
        <f t="shared" si="158"/>
        <v>345.4750813433123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24.321086847555328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24.321086847555328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1.2710188457276673E-13</v>
      </c>
      <c r="P168" s="13">
        <f t="shared" si="141"/>
        <v>1.856866851063998E-12</v>
      </c>
      <c r="Q168" s="20">
        <f t="shared" si="162"/>
        <v>3.4554122145673649E-12</v>
      </c>
      <c r="R168" s="59">
        <f t="shared" si="109"/>
        <v>293.33333333333678</v>
      </c>
      <c r="S168" s="59">
        <f ca="1">AVERAGE(OFFSET($R$3,0,0,'Données projet'!$E$9+1,1))-AVERAGE(OFFSET($H$3,0,0,'Données projet'!$E$9+1,1))</f>
        <v>404.65492118472037</v>
      </c>
      <c r="T168" s="59">
        <f t="shared" si="142"/>
        <v>534.22295841722166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31.180149280341318</v>
      </c>
      <c r="AA168" s="21">
        <f>EXP(-LN(2)/25)*AA167+(1-EXP(-LN(2)/25))/(LN(2)/25)*Calculateur!V168*Calculateur!X168*VLOOKUP('Données projet'!$B$9,Paramètres!$A$1:$I$89,3,0)*0.475*44/12</f>
        <v>3.3865093891982916</v>
      </c>
      <c r="AB168" s="21">
        <f>EXP(-LN(2)/2)*AB167+(1-EXP(-LN(2)/2))/(LN(2)/2)*V168*Y168*VLOOKUP('Données projet'!$B$9,Paramètres!$A$1:$I$89,3,0)*0.475*44/12</f>
        <v>8.2479832832595356E-16</v>
      </c>
      <c r="AC168" s="22">
        <f t="shared" si="163"/>
        <v>34.566658669539606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-7.9808160080574461E-14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331.17634116262298</v>
      </c>
      <c r="AO168" s="59">
        <f t="shared" si="144"/>
        <v>286.28916368940605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45.352931367928392</v>
      </c>
      <c r="AV168" s="21">
        <f>EXP(-LN(2)/25)*AV167+(1-EXP(-LN(2)/25))/(LN(2)/25)*Calculateur!AQ168*Calculateur!AS168*VLOOKUP('Données projet'!$B$10,Paramètres!$A$1:$I$89,3,0)*0.475*44/12</f>
        <v>9.6982632574106091</v>
      </c>
      <c r="AW168" s="21">
        <f>EXP(-LN(2)/2)*AW167+(1-EXP(-LN(2)/2))/(LN(2)/2)*AQ168*AT168*VLOOKUP('Données projet'!$B$10,Paramètres!$A$1:$I$89,3,0)*0.475*44/12</f>
        <v>4.086262036785071E-9</v>
      </c>
      <c r="AX168" s="21">
        <f t="shared" si="166"/>
        <v>55.051194629425261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1.4210854715202004E-13</v>
      </c>
      <c r="BE168" s="13">
        <f>BD168*VLOOKUP('Données projet'!$B$11,Paramètres!$A$1:$I$89,3,0)*VLOOKUP('Données projet'!$B$11,Paramètres!$A$1:$I$89,5,0)</f>
        <v>7.7591266745002952E-14</v>
      </c>
      <c r="BF168" s="13">
        <f t="shared" si="167"/>
        <v>1.2005788606873384E-12</v>
      </c>
      <c r="BG168" s="20">
        <f t="shared" si="168"/>
        <v>2.226146305277994E-12</v>
      </c>
      <c r="BH168" s="59">
        <f t="shared" si="116"/>
        <v>293.33333333333553</v>
      </c>
      <c r="BI168" s="59">
        <f ca="1">AVERAGE(OFFSET($BH$3,0,0,'Données projet'!$E$11+1,1))-AVERAGE(OFFSET($H$3,0,0,'Données projet'!$E$11+1,1))</f>
        <v>165.87377022031535</v>
      </c>
      <c r="BJ168" s="59">
        <f t="shared" si="146"/>
        <v>272.91122662088929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9.4573999321570437</v>
      </c>
      <c r="BQ168" s="21">
        <f>EXP(-LN(2)/25)*BQ167+(1-EXP(-LN(2)/25))/(LN(2)/25)*Calculateur!BL168*Calculateur!BN168*VLOOKUP('Données projet'!$B$11,Paramètres!$A$1:$I$89,3,0)*0.475*44/12</f>
        <v>1.2058743116356818</v>
      </c>
      <c r="BR168" s="21">
        <f>EXP(-LN(2)/2)*BR167+(1-EXP(-LN(2)/2))/(LN(2)/2)*BL168*BO168*VLOOKUP('Données projet'!$B$11,Paramètres!$A$1:$I$89,3,0)*0.475*44/12</f>
        <v>3.9505658894460507E-18</v>
      </c>
      <c r="BS168" s="22">
        <f t="shared" si="169"/>
        <v>10.663274243792726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4.5474735088646412E-13</v>
      </c>
      <c r="BZ168" s="13">
        <f>BY168*VLOOKUP('Données projet'!$B$12,Paramètres!$A$1:$I$89,3,0)*VLOOKUP('Données projet'!$B$12,Paramètres!$A$1:$I$89,5,0)</f>
        <v>4.1145540308207271E-13</v>
      </c>
      <c r="CA168" s="13">
        <f t="shared" si="170"/>
        <v>5.2428527960910789E-12</v>
      </c>
      <c r="CB168" s="20">
        <f t="shared" si="171"/>
        <v>9.8479201135599071E-12</v>
      </c>
      <c r="CC168" s="59">
        <f t="shared" si="119"/>
        <v>293.33333333334315</v>
      </c>
      <c r="CD168" s="59">
        <f ca="1">AVERAGE(OFFSET($CC$3,0,0,'Données projet'!$E$12+1,1))-AVERAGE(OFFSET($H$3,0,0,'Données projet'!$E$12+1,1))</f>
        <v>639.86968831634636</v>
      </c>
      <c r="CE168" s="59">
        <f t="shared" si="148"/>
        <v>218.1556771431184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192.08170274835791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192.08170274835791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9.9316821433603781E-14</v>
      </c>
      <c r="CV168" s="13">
        <f t="shared" si="173"/>
        <v>1.4932118279712753E-12</v>
      </c>
      <c r="CW168" s="20">
        <f t="shared" si="174"/>
        <v>2.7736540643801645E-12</v>
      </c>
      <c r="CX168" s="59">
        <f t="shared" si="122"/>
        <v>293.3333333333361</v>
      </c>
      <c r="CY168" s="59">
        <f ca="1">AVERAGE(OFFSET($CX$3,0,0,'Données projet'!$E$13+1,1))-AVERAGE(OFFSET($H$3,0,0,'Données projet'!$E$13+1,1))</f>
        <v>218.76600554860482</v>
      </c>
      <c r="CZ168" s="59">
        <f t="shared" si="150"/>
        <v>264.34840059907702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7.0504912159382398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7.0504912159382398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-1.7053025658242404E-13</v>
      </c>
      <c r="DP168" s="17">
        <f>DO168*VLOOKUP('Données projet'!$B$14,Paramètres!$A$1:$I$89,3,0)*VLOOKUP('Données projet'!$B$14,Paramètres!$A$1:$I$89,5,0)</f>
        <v>-1.4631496014771985E-13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442.97490100035287</v>
      </c>
      <c r="DU168" s="59">
        <f t="shared" si="152"/>
        <v>334.36243356457049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48.771391999548733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48.771391999548733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5.6843418860808015E-14</v>
      </c>
      <c r="EK168" s="17">
        <f>EJ168*VLOOKUP('Données projet'!$B$15,Paramètres!$A$1:$I$89,3,0)*VLOOKUP('Données projet'!$B$15,Paramètres!$A$1:$I$89,5,0)</f>
        <v>4.4337866711430253E-14</v>
      </c>
      <c r="EL168" s="13">
        <f t="shared" si="179"/>
        <v>7.3222115536967035E-13</v>
      </c>
      <c r="EM168" s="20">
        <f t="shared" si="180"/>
        <v>1.3525069634579169E-12</v>
      </c>
      <c r="EN168" s="59">
        <f t="shared" si="128"/>
        <v>293.33333333333468</v>
      </c>
      <c r="EO168" s="59">
        <f ca="1">AVERAGE(OFFSET($EN$3,0,0,'Données projet'!$E$15+1,1))-AVERAGE(OFFSET($H$3,0,0,'Données projet'!$E$15+1,1))</f>
        <v>288.82868507674738</v>
      </c>
      <c r="EP168" s="59">
        <f t="shared" si="154"/>
        <v>283.48738729114024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12.34253594515746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12.34253594515746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328.55201074501201</v>
      </c>
      <c r="FK168" s="59">
        <f t="shared" si="156"/>
        <v>321.81422611044985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17.827990309394131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17.827990309394131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353.37024194969638</v>
      </c>
      <c r="GF168" s="59">
        <f t="shared" si="158"/>
        <v>345.4750813433123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23.844165168872969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23.844165168872969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1.2710188457276673E-13</v>
      </c>
      <c r="P169" s="13">
        <f t="shared" si="141"/>
        <v>1.856866851063998E-12</v>
      </c>
      <c r="Q169" s="20">
        <f t="shared" si="162"/>
        <v>3.4554122145673649E-12</v>
      </c>
      <c r="R169" s="59">
        <f t="shared" si="109"/>
        <v>293.33333333333678</v>
      </c>
      <c r="S169" s="59">
        <f ca="1">AVERAGE(OFFSET($R$3,0,0,'Données projet'!$E$9+1,1))-AVERAGE(OFFSET($H$3,0,0,'Données projet'!$E$9+1,1))</f>
        <v>404.65492118472037</v>
      </c>
      <c r="T169" s="59">
        <f t="shared" si="142"/>
        <v>534.22295841722166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30.568725570967015</v>
      </c>
      <c r="AA169" s="21">
        <f>EXP(-LN(2)/25)*AA168+(1-EXP(-LN(2)/25))/(LN(2)/25)*Calculateur!V169*Calculateur!X169*VLOOKUP('Données projet'!$B$9,Paramètres!$A$1:$I$89,3,0)*0.475*44/12</f>
        <v>3.2939051118618754</v>
      </c>
      <c r="AB169" s="21">
        <f>EXP(-LN(2)/2)*AB168+(1-EXP(-LN(2)/2))/(LN(2)/2)*V169*Y169*VLOOKUP('Données projet'!$B$9,Paramètres!$A$1:$I$89,3,0)*0.475*44/12</f>
        <v>5.8322049107061022E-16</v>
      </c>
      <c r="AC169" s="22">
        <f t="shared" si="163"/>
        <v>33.862630682828893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-7.9808160080574461E-14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331.17634116262298</v>
      </c>
      <c r="AO169" s="59">
        <f t="shared" si="144"/>
        <v>286.28916368940605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44.463588046360002</v>
      </c>
      <c r="AV169" s="21">
        <f>EXP(-LN(2)/25)*AV168+(1-EXP(-LN(2)/25))/(LN(2)/25)*Calculateur!AQ169*Calculateur!AS169*VLOOKUP('Données projet'!$B$10,Paramètres!$A$1:$I$89,3,0)*0.475*44/12</f>
        <v>9.4330637386272169</v>
      </c>
      <c r="AW169" s="21">
        <f>EXP(-LN(2)/2)*AW168+(1-EXP(-LN(2)/2))/(LN(2)/2)*AQ169*AT169*VLOOKUP('Données projet'!$B$10,Paramètres!$A$1:$I$89,3,0)*0.475*44/12</f>
        <v>2.8894235959158773E-9</v>
      </c>
      <c r="AX169" s="21">
        <f t="shared" si="166"/>
        <v>53.896651787876642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1.4210854715202004E-13</v>
      </c>
      <c r="BE169" s="13">
        <f>BD169*VLOOKUP('Données projet'!$B$11,Paramètres!$A$1:$I$89,3,0)*VLOOKUP('Données projet'!$B$11,Paramètres!$A$1:$I$89,5,0)</f>
        <v>7.7591266745002952E-14</v>
      </c>
      <c r="BF169" s="13">
        <f t="shared" si="167"/>
        <v>1.2005788606873384E-12</v>
      </c>
      <c r="BG169" s="20">
        <f t="shared" si="168"/>
        <v>2.226146305277994E-12</v>
      </c>
      <c r="BH169" s="59">
        <f t="shared" si="116"/>
        <v>293.33333333333553</v>
      </c>
      <c r="BI169" s="59">
        <f ca="1">AVERAGE(OFFSET($BH$3,0,0,'Données projet'!$E$11+1,1))-AVERAGE(OFFSET($H$3,0,0,'Données projet'!$E$11+1,1))</f>
        <v>165.87377022031535</v>
      </c>
      <c r="BJ169" s="59">
        <f t="shared" si="146"/>
        <v>272.91122662088929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9.2719460879318163</v>
      </c>
      <c r="BQ169" s="21">
        <f>EXP(-LN(2)/25)*BQ168+(1-EXP(-LN(2)/25))/(LN(2)/25)*Calculateur!BL169*Calculateur!BN169*VLOOKUP('Données projet'!$B$11,Paramètres!$A$1:$I$89,3,0)*0.475*44/12</f>
        <v>1.1728996151698301</v>
      </c>
      <c r="BR169" s="21">
        <f>EXP(-LN(2)/2)*BR168+(1-EXP(-LN(2)/2))/(LN(2)/2)*BL169*BO169*VLOOKUP('Données projet'!$B$11,Paramètres!$A$1:$I$89,3,0)*0.475*44/12</f>
        <v>2.7934719299515671E-18</v>
      </c>
      <c r="BS169" s="22">
        <f t="shared" si="169"/>
        <v>10.444845703101647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4.5474735088646412E-13</v>
      </c>
      <c r="BZ169" s="13">
        <f>BY169*VLOOKUP('Données projet'!$B$12,Paramètres!$A$1:$I$89,3,0)*VLOOKUP('Données projet'!$B$12,Paramètres!$A$1:$I$89,5,0)</f>
        <v>4.1145540308207271E-13</v>
      </c>
      <c r="CA169" s="13">
        <f t="shared" si="170"/>
        <v>5.2428527960910789E-12</v>
      </c>
      <c r="CB169" s="20">
        <f t="shared" si="171"/>
        <v>9.8479201135599071E-12</v>
      </c>
      <c r="CC169" s="59">
        <f t="shared" si="119"/>
        <v>293.33333333334315</v>
      </c>
      <c r="CD169" s="59">
        <f ca="1">AVERAGE(OFFSET($CC$3,0,0,'Données projet'!$E$12+1,1))-AVERAGE(OFFSET($H$3,0,0,'Données projet'!$E$12+1,1))</f>
        <v>639.86968831634636</v>
      </c>
      <c r="CE169" s="59">
        <f t="shared" si="148"/>
        <v>218.1556771431184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188.31509771573286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188.31509771573286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9.9316821433603781E-14</v>
      </c>
      <c r="CV169" s="13">
        <f t="shared" si="173"/>
        <v>1.4932118279712753E-12</v>
      </c>
      <c r="CW169" s="20">
        <f t="shared" si="174"/>
        <v>2.7736540643801645E-12</v>
      </c>
      <c r="CX169" s="59">
        <f t="shared" si="122"/>
        <v>293.3333333333361</v>
      </c>
      <c r="CY169" s="59">
        <f ca="1">AVERAGE(OFFSET($CX$3,0,0,'Données projet'!$E$13+1,1))-AVERAGE(OFFSET($H$3,0,0,'Données projet'!$E$13+1,1))</f>
        <v>218.76600554860482</v>
      </c>
      <c r="CZ169" s="59">
        <f t="shared" si="150"/>
        <v>264.34840059907702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6.9122353835687056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6.9122353835687056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-1.7053025658242404E-13</v>
      </c>
      <c r="DP169" s="17">
        <f>DO169*VLOOKUP('Données projet'!$B$14,Paramètres!$A$1:$I$89,3,0)*VLOOKUP('Données projet'!$B$14,Paramètres!$A$1:$I$89,5,0)</f>
        <v>-1.4631496014771985E-13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442.97490100035287</v>
      </c>
      <c r="DU169" s="59">
        <f t="shared" si="152"/>
        <v>334.36243356457049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47.815014750049372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47.815014750049372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5.6843418860808015E-14</v>
      </c>
      <c r="EK169" s="17">
        <f>EJ169*VLOOKUP('Données projet'!$B$15,Paramètres!$A$1:$I$89,3,0)*VLOOKUP('Données projet'!$B$15,Paramètres!$A$1:$I$89,5,0)</f>
        <v>4.4337866711430253E-14</v>
      </c>
      <c r="EL169" s="13">
        <f t="shared" si="179"/>
        <v>7.3222115536967035E-13</v>
      </c>
      <c r="EM169" s="20">
        <f t="shared" si="180"/>
        <v>1.3525069634579169E-12</v>
      </c>
      <c r="EN169" s="59">
        <f t="shared" si="128"/>
        <v>293.33333333333468</v>
      </c>
      <c r="EO169" s="59">
        <f ca="1">AVERAGE(OFFSET($EN$3,0,0,'Données projet'!$E$15+1,1))-AVERAGE(OFFSET($H$3,0,0,'Données projet'!$E$15+1,1))</f>
        <v>288.82868507674738</v>
      </c>
      <c r="EP169" s="59">
        <f t="shared" si="154"/>
        <v>283.48738729114024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12.1005063434765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12.1005063434765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328.55201074501201</v>
      </c>
      <c r="FK169" s="59">
        <f t="shared" si="156"/>
        <v>321.81422611044985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17.478394293427282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17.478394293427282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353.37024194969638</v>
      </c>
      <c r="GF169" s="59">
        <f t="shared" si="158"/>
        <v>345.4750813433123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23.37659563341607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23.37659563341607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1.2710188457276673E-13</v>
      </c>
      <c r="P170" s="13">
        <f t="shared" si="141"/>
        <v>1.856866851063998E-12</v>
      </c>
      <c r="Q170" s="20">
        <f t="shared" si="162"/>
        <v>3.4554122145673649E-12</v>
      </c>
      <c r="R170" s="59">
        <f t="shared" si="109"/>
        <v>293.33333333333678</v>
      </c>
      <c r="S170" s="59">
        <f ca="1">AVERAGE(OFFSET($R$3,0,0,'Données projet'!$E$9+1,1))-AVERAGE(OFFSET($H$3,0,0,'Données projet'!$E$9+1,1))</f>
        <v>404.65492118472037</v>
      </c>
      <c r="T170" s="59">
        <f t="shared" si="142"/>
        <v>534.22295841722166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29.969291507601902</v>
      </c>
      <c r="AA170" s="21">
        <f>EXP(-LN(2)/25)*AA169+(1-EXP(-LN(2)/25))/(LN(2)/25)*Calculateur!V170*Calculateur!X170*VLOOKUP('Données projet'!$B$9,Paramètres!$A$1:$I$89,3,0)*0.475*44/12</f>
        <v>3.203833103359071</v>
      </c>
      <c r="AB170" s="21">
        <f>EXP(-LN(2)/2)*AB169+(1-EXP(-LN(2)/2))/(LN(2)/2)*V170*Y170*VLOOKUP('Données projet'!$B$9,Paramètres!$A$1:$I$89,3,0)*0.475*44/12</f>
        <v>4.1239916416297678E-16</v>
      </c>
      <c r="AC170" s="22">
        <f t="shared" si="163"/>
        <v>33.173124610960976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-7.9808160080574461E-14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331.17634116262298</v>
      </c>
      <c r="AO170" s="59">
        <f t="shared" si="144"/>
        <v>286.28916368940605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43.591684204881702</v>
      </c>
      <c r="AV170" s="21">
        <f>EXP(-LN(2)/25)*AV169+(1-EXP(-LN(2)/25))/(LN(2)/25)*Calculateur!AQ170*Calculateur!AS170*VLOOKUP('Données projet'!$B$10,Paramètres!$A$1:$I$89,3,0)*0.475*44/12</f>
        <v>9.1751161146311926</v>
      </c>
      <c r="AW170" s="21">
        <f>EXP(-LN(2)/2)*AW169+(1-EXP(-LN(2)/2))/(LN(2)/2)*AQ170*AT170*VLOOKUP('Données projet'!$B$10,Paramètres!$A$1:$I$89,3,0)*0.475*44/12</f>
        <v>2.0431310183925355E-9</v>
      </c>
      <c r="AX170" s="21">
        <f t="shared" si="166"/>
        <v>52.766800321556026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1.4210854715202004E-13</v>
      </c>
      <c r="BE170" s="13">
        <f>BD170*VLOOKUP('Données projet'!$B$11,Paramètres!$A$1:$I$89,3,0)*VLOOKUP('Données projet'!$B$11,Paramètres!$A$1:$I$89,5,0)</f>
        <v>7.7591266745002952E-14</v>
      </c>
      <c r="BF170" s="13">
        <f t="shared" si="167"/>
        <v>1.2005788606873384E-12</v>
      </c>
      <c r="BG170" s="20">
        <f t="shared" si="168"/>
        <v>2.226146305277994E-12</v>
      </c>
      <c r="BH170" s="59">
        <f t="shared" si="116"/>
        <v>293.33333333333553</v>
      </c>
      <c r="BI170" s="59">
        <f ca="1">AVERAGE(OFFSET($BH$3,0,0,'Données projet'!$E$11+1,1))-AVERAGE(OFFSET($H$3,0,0,'Données projet'!$E$11+1,1))</f>
        <v>165.87377022031535</v>
      </c>
      <c r="BJ170" s="59">
        <f t="shared" si="146"/>
        <v>272.91122662088929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9.0901288804761702</v>
      </c>
      <c r="BQ170" s="21">
        <f>EXP(-LN(2)/25)*BQ169+(1-EXP(-LN(2)/25))/(LN(2)/25)*Calculateur!BL170*Calculateur!BN170*VLOOKUP('Données projet'!$B$11,Paramètres!$A$1:$I$89,3,0)*0.475*44/12</f>
        <v>1.140826613512901</v>
      </c>
      <c r="BR170" s="21">
        <f>EXP(-LN(2)/2)*BR169+(1-EXP(-LN(2)/2))/(LN(2)/2)*BL170*BO170*VLOOKUP('Données projet'!$B$11,Paramètres!$A$1:$I$89,3,0)*0.475*44/12</f>
        <v>1.9752829447230253E-18</v>
      </c>
      <c r="BS170" s="22">
        <f t="shared" si="169"/>
        <v>10.230955493989072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4.5474735088646412E-13</v>
      </c>
      <c r="BZ170" s="13">
        <f>BY170*VLOOKUP('Données projet'!$B$12,Paramètres!$A$1:$I$89,3,0)*VLOOKUP('Données projet'!$B$12,Paramètres!$A$1:$I$89,5,0)</f>
        <v>4.1145540308207271E-13</v>
      </c>
      <c r="CA170" s="13">
        <f t="shared" si="170"/>
        <v>5.2428527960910789E-12</v>
      </c>
      <c r="CB170" s="20">
        <f t="shared" si="171"/>
        <v>9.8479201135599071E-12</v>
      </c>
      <c r="CC170" s="59">
        <f t="shared" si="119"/>
        <v>293.33333333334315</v>
      </c>
      <c r="CD170" s="59">
        <f ca="1">AVERAGE(OFFSET($CC$3,0,0,'Données projet'!$E$12+1,1))-AVERAGE(OFFSET($H$3,0,0,'Données projet'!$E$12+1,1))</f>
        <v>639.86968831634636</v>
      </c>
      <c r="CE170" s="59">
        <f t="shared" si="148"/>
        <v>218.1556771431184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184.62235351039539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184.62235351039539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9.9316821433603781E-14</v>
      </c>
      <c r="CV170" s="13">
        <f t="shared" si="173"/>
        <v>1.4932118279712753E-12</v>
      </c>
      <c r="CW170" s="20">
        <f t="shared" si="174"/>
        <v>2.7736540643801645E-12</v>
      </c>
      <c r="CX170" s="59">
        <f t="shared" si="122"/>
        <v>293.3333333333361</v>
      </c>
      <c r="CY170" s="59">
        <f ca="1">AVERAGE(OFFSET($CX$3,0,0,'Données projet'!$E$13+1,1))-AVERAGE(OFFSET($H$3,0,0,'Données projet'!$E$13+1,1))</f>
        <v>218.76600554860482</v>
      </c>
      <c r="CZ170" s="59">
        <f t="shared" si="150"/>
        <v>264.34840059907702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6.7766906637442075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6.7766906637442075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-1.7053025658242404E-13</v>
      </c>
      <c r="DP170" s="17">
        <f>DO170*VLOOKUP('Données projet'!$B$14,Paramètres!$A$1:$I$89,3,0)*VLOOKUP('Données projet'!$B$14,Paramètres!$A$1:$I$89,5,0)</f>
        <v>-1.4631496014771985E-13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442.97490100035287</v>
      </c>
      <c r="DU170" s="59">
        <f t="shared" si="152"/>
        <v>334.36243356457049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46.877391475080167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46.877391475080167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5.6843418860808015E-14</v>
      </c>
      <c r="EK170" s="17">
        <f>EJ170*VLOOKUP('Données projet'!$B$15,Paramètres!$A$1:$I$89,3,0)*VLOOKUP('Données projet'!$B$15,Paramètres!$A$1:$I$89,5,0)</f>
        <v>4.4337866711430253E-14</v>
      </c>
      <c r="EL170" s="13">
        <f t="shared" si="179"/>
        <v>7.3222115536967035E-13</v>
      </c>
      <c r="EM170" s="20">
        <f t="shared" si="180"/>
        <v>1.3525069634579169E-12</v>
      </c>
      <c r="EN170" s="59">
        <f t="shared" si="128"/>
        <v>293.33333333333468</v>
      </c>
      <c r="EO170" s="59">
        <f ca="1">AVERAGE(OFFSET($EN$3,0,0,'Données projet'!$E$15+1,1))-AVERAGE(OFFSET($H$3,0,0,'Données projet'!$E$15+1,1))</f>
        <v>288.82868507674738</v>
      </c>
      <c r="EP170" s="59">
        <f t="shared" si="154"/>
        <v>283.48738729114024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11.863222794661024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11.863222794661024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328.55201074501201</v>
      </c>
      <c r="FK170" s="59">
        <f t="shared" si="156"/>
        <v>321.81422611044985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17.13565364210103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17.13565364210103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353.37024194969638</v>
      </c>
      <c r="GF170" s="59">
        <f t="shared" si="158"/>
        <v>345.4750813433123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22.918194851360226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22.918194851360226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1.2710188457276673E-13</v>
      </c>
      <c r="P171" s="13">
        <f t="shared" si="141"/>
        <v>1.856866851063998E-12</v>
      </c>
      <c r="Q171" s="20">
        <f t="shared" si="162"/>
        <v>3.4554122145673649E-12</v>
      </c>
      <c r="R171" s="59">
        <f t="shared" si="109"/>
        <v>293.33333333333678</v>
      </c>
      <c r="S171" s="59">
        <f ca="1">AVERAGE(OFFSET($R$3,0,0,'Données projet'!$E$9+1,1))-AVERAGE(OFFSET($H$3,0,0,'Données projet'!$E$9+1,1))</f>
        <v>404.65492118472037</v>
      </c>
      <c r="T171" s="59">
        <f t="shared" si="142"/>
        <v>534.22295841722166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29.381611980600702</v>
      </c>
      <c r="AA171" s="21">
        <f>EXP(-LN(2)/25)*AA170+(1-EXP(-LN(2)/25))/(LN(2)/25)*Calculateur!V171*Calculateur!X171*VLOOKUP('Données projet'!$B$9,Paramètres!$A$1:$I$89,3,0)*0.475*44/12</f>
        <v>3.1162241186654569</v>
      </c>
      <c r="AB171" s="21">
        <f>EXP(-LN(2)/2)*AB170+(1-EXP(-LN(2)/2))/(LN(2)/2)*V171*Y171*VLOOKUP('Données projet'!$B$9,Paramètres!$A$1:$I$89,3,0)*0.475*44/12</f>
        <v>2.9161024553530511E-16</v>
      </c>
      <c r="AC171" s="22">
        <f t="shared" si="163"/>
        <v>32.497836099266159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-7.9808160080574461E-14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331.17634116262298</v>
      </c>
      <c r="AO171" s="59">
        <f t="shared" si="144"/>
        <v>286.28916368940605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42.736877865925962</v>
      </c>
      <c r="AV171" s="21">
        <f>EXP(-LN(2)/25)*AV170+(1-EXP(-LN(2)/25))/(LN(2)/25)*Calculateur!AQ171*Calculateur!AS171*VLOOKUP('Données projet'!$B$10,Paramètres!$A$1:$I$89,3,0)*0.475*44/12</f>
        <v>8.9242220819782165</v>
      </c>
      <c r="AW171" s="21">
        <f>EXP(-LN(2)/2)*AW170+(1-EXP(-LN(2)/2))/(LN(2)/2)*AQ171*AT171*VLOOKUP('Données projet'!$B$10,Paramètres!$A$1:$I$89,3,0)*0.475*44/12</f>
        <v>1.4447117979579386E-9</v>
      </c>
      <c r="AX171" s="21">
        <f t="shared" si="166"/>
        <v>51.661099949348888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1.4210854715202004E-13</v>
      </c>
      <c r="BE171" s="13">
        <f>BD171*VLOOKUP('Données projet'!$B$11,Paramètres!$A$1:$I$89,3,0)*VLOOKUP('Données projet'!$B$11,Paramètres!$A$1:$I$89,5,0)</f>
        <v>7.7591266745002952E-14</v>
      </c>
      <c r="BF171" s="13">
        <f t="shared" si="167"/>
        <v>1.2005788606873384E-12</v>
      </c>
      <c r="BG171" s="20">
        <f t="shared" si="168"/>
        <v>2.226146305277994E-12</v>
      </c>
      <c r="BH171" s="59">
        <f t="shared" si="116"/>
        <v>293.33333333333553</v>
      </c>
      <c r="BI171" s="59">
        <f ca="1">AVERAGE(OFFSET($BH$3,0,0,'Données projet'!$E$11+1,1))-AVERAGE(OFFSET($H$3,0,0,'Données projet'!$E$11+1,1))</f>
        <v>165.87377022031535</v>
      </c>
      <c r="BJ171" s="59">
        <f t="shared" si="146"/>
        <v>272.91122662088929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8.9118769975611833</v>
      </c>
      <c r="BQ171" s="21">
        <f>EXP(-LN(2)/25)*BQ170+(1-EXP(-LN(2)/25))/(LN(2)/25)*Calculateur!BL171*Calculateur!BN171*VLOOKUP('Données projet'!$B$11,Paramètres!$A$1:$I$89,3,0)*0.475*44/12</f>
        <v>1.1096306497729265</v>
      </c>
      <c r="BR171" s="21">
        <f>EXP(-LN(2)/2)*BR170+(1-EXP(-LN(2)/2))/(LN(2)/2)*BL171*BO171*VLOOKUP('Données projet'!$B$11,Paramètres!$A$1:$I$89,3,0)*0.475*44/12</f>
        <v>1.3967359649757836E-18</v>
      </c>
      <c r="BS171" s="22">
        <f t="shared" si="169"/>
        <v>10.02150764733411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4.5474735088646412E-13</v>
      </c>
      <c r="BZ171" s="13">
        <f>BY171*VLOOKUP('Données projet'!$B$12,Paramètres!$A$1:$I$89,3,0)*VLOOKUP('Données projet'!$B$12,Paramètres!$A$1:$I$89,5,0)</f>
        <v>4.1145540308207271E-13</v>
      </c>
      <c r="CA171" s="13">
        <f t="shared" si="170"/>
        <v>5.2428527960910789E-12</v>
      </c>
      <c r="CB171" s="20">
        <f t="shared" si="171"/>
        <v>9.8479201135599071E-12</v>
      </c>
      <c r="CC171" s="59">
        <f t="shared" si="119"/>
        <v>293.33333333334315</v>
      </c>
      <c r="CD171" s="59">
        <f ca="1">AVERAGE(OFFSET($CC$3,0,0,'Données projet'!$E$12+1,1))-AVERAGE(OFFSET($H$3,0,0,'Données projet'!$E$12+1,1))</f>
        <v>639.86968831634636</v>
      </c>
      <c r="CE171" s="59">
        <f t="shared" si="148"/>
        <v>218.1556771431184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181.00202176657299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181.00202176657299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9.9316821433603781E-14</v>
      </c>
      <c r="CV171" s="13">
        <f t="shared" si="173"/>
        <v>1.4932118279712753E-12</v>
      </c>
      <c r="CW171" s="20">
        <f t="shared" si="174"/>
        <v>2.7736540643801645E-12</v>
      </c>
      <c r="CX171" s="59">
        <f t="shared" si="122"/>
        <v>293.3333333333361</v>
      </c>
      <c r="CY171" s="59">
        <f ca="1">AVERAGE(OFFSET($CX$3,0,0,'Données projet'!$E$13+1,1))-AVERAGE(OFFSET($H$3,0,0,'Données projet'!$E$13+1,1))</f>
        <v>218.76600554860482</v>
      </c>
      <c r="CZ171" s="59">
        <f t="shared" si="150"/>
        <v>264.34840059907702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6.6438038932013521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6.6438038932013521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-1.7053025658242404E-13</v>
      </c>
      <c r="DP171" s="17">
        <f>DO171*VLOOKUP('Données projet'!$B$14,Paramètres!$A$1:$I$89,3,0)*VLOOKUP('Données projet'!$B$14,Paramètres!$A$1:$I$89,5,0)</f>
        <v>-1.4631496014771985E-13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442.97490100035287</v>
      </c>
      <c r="DU171" s="59">
        <f t="shared" si="152"/>
        <v>334.36243356457049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45.958154420639381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45.958154420639381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5.6843418860808015E-14</v>
      </c>
      <c r="EK171" s="17">
        <f>EJ171*VLOOKUP('Données projet'!$B$15,Paramètres!$A$1:$I$89,3,0)*VLOOKUP('Données projet'!$B$15,Paramètres!$A$1:$I$89,5,0)</f>
        <v>4.4337866711430253E-14</v>
      </c>
      <c r="EL171" s="13">
        <f t="shared" si="179"/>
        <v>7.3222115536967035E-13</v>
      </c>
      <c r="EM171" s="20">
        <f t="shared" si="180"/>
        <v>1.3525069634579169E-12</v>
      </c>
      <c r="EN171" s="59">
        <f t="shared" si="128"/>
        <v>293.33333333333468</v>
      </c>
      <c r="EO171" s="59">
        <f ca="1">AVERAGE(OFFSET($EN$3,0,0,'Données projet'!$E$15+1,1))-AVERAGE(OFFSET($H$3,0,0,'Données projet'!$E$15+1,1))</f>
        <v>288.82868507674738</v>
      </c>
      <c r="EP171" s="59">
        <f t="shared" si="154"/>
        <v>283.48738729114024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11.630592231509144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11.630592231509144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328.55201074501201</v>
      </c>
      <c r="FK171" s="59">
        <f t="shared" si="156"/>
        <v>321.81422611044985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16.799633925896128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16.799633925896128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353.37024194969638</v>
      </c>
      <c r="GF171" s="59">
        <f t="shared" si="158"/>
        <v>345.4750813433123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22.468783029043628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22.468783029043628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1.2710188457276673E-13</v>
      </c>
      <c r="P172" s="13">
        <f t="shared" si="141"/>
        <v>1.856866851063998E-12</v>
      </c>
      <c r="Q172" s="20">
        <f t="shared" si="162"/>
        <v>3.4554122145673649E-12</v>
      </c>
      <c r="R172" s="59">
        <f t="shared" si="109"/>
        <v>293.33333333333678</v>
      </c>
      <c r="S172" s="59">
        <f ca="1">AVERAGE(OFFSET($R$3,0,0,'Données projet'!$E$9+1,1))-AVERAGE(OFFSET($H$3,0,0,'Données projet'!$E$9+1,1))</f>
        <v>404.65492118472037</v>
      </c>
      <c r="T172" s="59">
        <f t="shared" si="142"/>
        <v>534.22295841722166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28.805456490674878</v>
      </c>
      <c r="AA172" s="21">
        <f>EXP(-LN(2)/25)*AA171+(1-EXP(-LN(2)/25))/(LN(2)/25)*Calculateur!V172*Calculateur!X172*VLOOKUP('Données projet'!$B$9,Paramètres!$A$1:$I$89,3,0)*0.475*44/12</f>
        <v>3.0310108062654457</v>
      </c>
      <c r="AB172" s="21">
        <f>EXP(-LN(2)/2)*AB171+(1-EXP(-LN(2)/2))/(LN(2)/2)*V172*Y172*VLOOKUP('Données projet'!$B$9,Paramètres!$A$1:$I$89,3,0)*0.475*44/12</f>
        <v>2.0619958208148839E-16</v>
      </c>
      <c r="AC172" s="22">
        <f t="shared" si="163"/>
        <v>31.836467296940324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-7.9808160080574461E-14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331.17634116262298</v>
      </c>
      <c r="AO172" s="59">
        <f t="shared" si="144"/>
        <v>286.28916368940605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41.89883375789676</v>
      </c>
      <c r="AV172" s="21">
        <f>EXP(-LN(2)/25)*AV171+(1-EXP(-LN(2)/25))/(LN(2)/25)*Calculateur!AQ172*Calculateur!AS172*VLOOKUP('Données projet'!$B$10,Paramètres!$A$1:$I$89,3,0)*0.475*44/12</f>
        <v>8.6801887598420802</v>
      </c>
      <c r="AW172" s="21">
        <f>EXP(-LN(2)/2)*AW171+(1-EXP(-LN(2)/2))/(LN(2)/2)*AQ172*AT172*VLOOKUP('Données projet'!$B$10,Paramètres!$A$1:$I$89,3,0)*0.475*44/12</f>
        <v>1.0215655091962678E-9</v>
      </c>
      <c r="AX172" s="21">
        <f t="shared" si="166"/>
        <v>50.579022518760411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1.4210854715202004E-13</v>
      </c>
      <c r="BE172" s="13">
        <f>BD172*VLOOKUP('Données projet'!$B$11,Paramètres!$A$1:$I$89,3,0)*VLOOKUP('Données projet'!$B$11,Paramètres!$A$1:$I$89,5,0)</f>
        <v>7.7591266745002952E-14</v>
      </c>
      <c r="BF172" s="13">
        <f t="shared" si="167"/>
        <v>1.2005788606873384E-12</v>
      </c>
      <c r="BG172" s="20">
        <f t="shared" si="168"/>
        <v>2.226146305277994E-12</v>
      </c>
      <c r="BH172" s="59">
        <f t="shared" si="116"/>
        <v>293.33333333333553</v>
      </c>
      <c r="BI172" s="59">
        <f ca="1">AVERAGE(OFFSET($BH$3,0,0,'Données projet'!$E$11+1,1))-AVERAGE(OFFSET($H$3,0,0,'Données projet'!$E$11+1,1))</f>
        <v>165.87377022031535</v>
      </c>
      <c r="BJ172" s="59">
        <f t="shared" si="146"/>
        <v>272.91122662088929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8.7371205253472457</v>
      </c>
      <c r="BQ172" s="21">
        <f>EXP(-LN(2)/25)*BQ171+(1-EXP(-LN(2)/25))/(LN(2)/25)*Calculateur!BL172*Calculateur!BN172*VLOOKUP('Données projet'!$B$11,Paramètres!$A$1:$I$89,3,0)*0.475*44/12</f>
        <v>1.0792877413019459</v>
      </c>
      <c r="BR172" s="21">
        <f>EXP(-LN(2)/2)*BR171+(1-EXP(-LN(2)/2))/(LN(2)/2)*BL172*BO172*VLOOKUP('Données projet'!$B$11,Paramètres!$A$1:$I$89,3,0)*0.475*44/12</f>
        <v>9.8764147236151267E-19</v>
      </c>
      <c r="BS172" s="22">
        <f t="shared" si="169"/>
        <v>9.8164082666491908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4.5474735088646412E-13</v>
      </c>
      <c r="BZ172" s="13">
        <f>BY172*VLOOKUP('Données projet'!$B$12,Paramètres!$A$1:$I$89,3,0)*VLOOKUP('Données projet'!$B$12,Paramètres!$A$1:$I$89,5,0)</f>
        <v>4.1145540308207271E-13</v>
      </c>
      <c r="CA172" s="13">
        <f t="shared" si="170"/>
        <v>5.2428527960910789E-12</v>
      </c>
      <c r="CB172" s="20">
        <f t="shared" si="171"/>
        <v>9.8479201135599071E-12</v>
      </c>
      <c r="CC172" s="59">
        <f t="shared" si="119"/>
        <v>293.33333333334315</v>
      </c>
      <c r="CD172" s="59">
        <f ca="1">AVERAGE(OFFSET($CC$3,0,0,'Données projet'!$E$12+1,1))-AVERAGE(OFFSET($H$3,0,0,'Données projet'!$E$12+1,1))</f>
        <v>639.86968831634636</v>
      </c>
      <c r="CE172" s="59">
        <f t="shared" si="148"/>
        <v>218.1556771431184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177.45268252006264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177.45268252006264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9.9316821433603781E-14</v>
      </c>
      <c r="CV172" s="13">
        <f t="shared" si="173"/>
        <v>1.4932118279712753E-12</v>
      </c>
      <c r="CW172" s="20">
        <f t="shared" si="174"/>
        <v>2.7736540643801645E-12</v>
      </c>
      <c r="CX172" s="59">
        <f t="shared" si="122"/>
        <v>293.3333333333361</v>
      </c>
      <c r="CY172" s="59">
        <f ca="1">AVERAGE(OFFSET($CX$3,0,0,'Données projet'!$E$13+1,1))-AVERAGE(OFFSET($H$3,0,0,'Données projet'!$E$13+1,1))</f>
        <v>218.76600554860482</v>
      </c>
      <c r="CZ172" s="59">
        <f t="shared" si="150"/>
        <v>264.34840059907702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6.513522951175915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6.513522951175915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-1.7053025658242404E-13</v>
      </c>
      <c r="DP172" s="17">
        <f>DO172*VLOOKUP('Données projet'!$B$14,Paramètres!$A$1:$I$89,3,0)*VLOOKUP('Données projet'!$B$14,Paramètres!$A$1:$I$89,5,0)</f>
        <v>-1.4631496014771985E-13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442.97490100035287</v>
      </c>
      <c r="DU172" s="59">
        <f t="shared" si="152"/>
        <v>334.36243356457049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45.056943044156938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45.056943044156938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5.6843418860808015E-14</v>
      </c>
      <c r="EK172" s="17">
        <f>EJ172*VLOOKUP('Données projet'!$B$15,Paramètres!$A$1:$I$89,3,0)*VLOOKUP('Données projet'!$B$15,Paramètres!$A$1:$I$89,5,0)</f>
        <v>4.4337866711430253E-14</v>
      </c>
      <c r="EL172" s="13">
        <f t="shared" si="179"/>
        <v>7.3222115536967035E-13</v>
      </c>
      <c r="EM172" s="20">
        <f t="shared" si="180"/>
        <v>1.3525069634579169E-12</v>
      </c>
      <c r="EN172" s="59">
        <f t="shared" si="128"/>
        <v>293.33333333333468</v>
      </c>
      <c r="EO172" s="59">
        <f ca="1">AVERAGE(OFFSET($EN$3,0,0,'Données projet'!$E$15+1,1))-AVERAGE(OFFSET($H$3,0,0,'Données projet'!$E$15+1,1))</f>
        <v>288.82868507674738</v>
      </c>
      <c r="EP172" s="59">
        <f t="shared" si="154"/>
        <v>283.48738729114024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11.402523411810041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11.402523411810041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328.55201074501201</v>
      </c>
      <c r="FK172" s="59">
        <f t="shared" si="156"/>
        <v>321.81422611044985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16.470203351374217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16.470203351374217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353.37024194969638</v>
      </c>
      <c r="GF172" s="59">
        <f t="shared" si="158"/>
        <v>345.4750813433123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22.028183898448514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22.028183898448514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1.2710188457276673E-13</v>
      </c>
      <c r="P173" s="13">
        <f t="shared" si="141"/>
        <v>1.856866851063998E-12</v>
      </c>
      <c r="Q173" s="20">
        <f t="shared" si="162"/>
        <v>3.4554122145673649E-12</v>
      </c>
      <c r="R173" s="59">
        <f t="shared" si="109"/>
        <v>293.33333333333678</v>
      </c>
      <c r="S173" s="59">
        <f ca="1">AVERAGE(OFFSET($R$3,0,0,'Données projet'!$E$9+1,1))-AVERAGE(OFFSET($H$3,0,0,'Données projet'!$E$9+1,1))</f>
        <v>404.65492118472037</v>
      </c>
      <c r="T173" s="59">
        <f t="shared" si="142"/>
        <v>534.22295841722166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28.24059905848635</v>
      </c>
      <c r="AA173" s="21">
        <f>EXP(-LN(2)/25)*AA172+(1-EXP(-LN(2)/25))/(LN(2)/25)*Calculateur!V173*Calculateur!X173*VLOOKUP('Données projet'!$B$9,Paramètres!$A$1:$I$89,3,0)*0.475*44/12</f>
        <v>2.9481276563741861</v>
      </c>
      <c r="AB173" s="21">
        <f>EXP(-LN(2)/2)*AB172+(1-EXP(-LN(2)/2))/(LN(2)/2)*V173*Y173*VLOOKUP('Données projet'!$B$9,Paramètres!$A$1:$I$89,3,0)*0.475*44/12</f>
        <v>1.4580512276765255E-16</v>
      </c>
      <c r="AC173" s="22">
        <f t="shared" si="163"/>
        <v>31.188726714860536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-7.9808160080574461E-14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331.17634116262298</v>
      </c>
      <c r="AO173" s="59">
        <f t="shared" si="144"/>
        <v>286.28916368940605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41.077223183669574</v>
      </c>
      <c r="AV173" s="21">
        <f>EXP(-LN(2)/25)*AV172+(1-EXP(-LN(2)/25))/(LN(2)/25)*Calculateur!AQ173*Calculateur!AS173*VLOOKUP('Données projet'!$B$10,Paramètres!$A$1:$I$89,3,0)*0.475*44/12</f>
        <v>8.4428285417329096</v>
      </c>
      <c r="AW173" s="21">
        <f>EXP(-LN(2)/2)*AW172+(1-EXP(-LN(2)/2))/(LN(2)/2)*AQ173*AT173*VLOOKUP('Données projet'!$B$10,Paramètres!$A$1:$I$89,3,0)*0.475*44/12</f>
        <v>7.2235589897896931E-10</v>
      </c>
      <c r="AX173" s="21">
        <f t="shared" si="166"/>
        <v>49.520051726124841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1.4210854715202004E-13</v>
      </c>
      <c r="BE173" s="13">
        <f>BD173*VLOOKUP('Données projet'!$B$11,Paramètres!$A$1:$I$89,3,0)*VLOOKUP('Données projet'!$B$11,Paramètres!$A$1:$I$89,5,0)</f>
        <v>7.7591266745002952E-14</v>
      </c>
      <c r="BF173" s="13">
        <f t="shared" si="167"/>
        <v>1.2005788606873384E-12</v>
      </c>
      <c r="BG173" s="20">
        <f t="shared" si="168"/>
        <v>2.226146305277994E-12</v>
      </c>
      <c r="BH173" s="59">
        <f t="shared" si="116"/>
        <v>293.33333333333553</v>
      </c>
      <c r="BI173" s="59">
        <f ca="1">AVERAGE(OFFSET($BH$3,0,0,'Données projet'!$E$11+1,1))-AVERAGE(OFFSET($H$3,0,0,'Données projet'!$E$11+1,1))</f>
        <v>165.87377022031535</v>
      </c>
      <c r="BJ173" s="59">
        <f t="shared" si="146"/>
        <v>272.91122662088929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8.5657909209625007</v>
      </c>
      <c r="BQ173" s="21">
        <f>EXP(-LN(2)/25)*BQ172+(1-EXP(-LN(2)/25))/(LN(2)/25)*Calculateur!BL173*Calculateur!BN173*VLOOKUP('Données projet'!$B$11,Paramètres!$A$1:$I$89,3,0)*0.475*44/12</f>
        <v>1.0497745612587686</v>
      </c>
      <c r="BR173" s="21">
        <f>EXP(-LN(2)/2)*BR172+(1-EXP(-LN(2)/2))/(LN(2)/2)*BL173*BO173*VLOOKUP('Données projet'!$B$11,Paramètres!$A$1:$I$89,3,0)*0.475*44/12</f>
        <v>6.9836798248789178E-19</v>
      </c>
      <c r="BS173" s="22">
        <f t="shared" si="169"/>
        <v>9.6155654822212693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4.5474735088646412E-13</v>
      </c>
      <c r="BZ173" s="13">
        <f>BY173*VLOOKUP('Données projet'!$B$12,Paramètres!$A$1:$I$89,3,0)*VLOOKUP('Données projet'!$B$12,Paramètres!$A$1:$I$89,5,0)</f>
        <v>4.1145540308207271E-13</v>
      </c>
      <c r="CA173" s="13">
        <f t="shared" si="170"/>
        <v>5.2428527960910789E-12</v>
      </c>
      <c r="CB173" s="20">
        <f t="shared" si="171"/>
        <v>9.8479201135599071E-12</v>
      </c>
      <c r="CC173" s="59">
        <f t="shared" si="119"/>
        <v>293.33333333334315</v>
      </c>
      <c r="CD173" s="59">
        <f ca="1">AVERAGE(OFFSET($CC$3,0,0,'Données projet'!$E$12+1,1))-AVERAGE(OFFSET($H$3,0,0,'Données projet'!$E$12+1,1))</f>
        <v>639.86968831634636</v>
      </c>
      <c r="CE173" s="59">
        <f t="shared" si="148"/>
        <v>218.1556771431184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173.97294365129318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173.97294365129318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9.9316821433603781E-14</v>
      </c>
      <c r="CV173" s="13">
        <f t="shared" si="173"/>
        <v>1.4932118279712753E-12</v>
      </c>
      <c r="CW173" s="20">
        <f t="shared" si="174"/>
        <v>2.7736540643801645E-12</v>
      </c>
      <c r="CX173" s="59">
        <f t="shared" si="122"/>
        <v>293.3333333333361</v>
      </c>
      <c r="CY173" s="59">
        <f ca="1">AVERAGE(OFFSET($CX$3,0,0,'Données projet'!$E$13+1,1))-AVERAGE(OFFSET($H$3,0,0,'Données projet'!$E$13+1,1))</f>
        <v>218.76600554860482</v>
      </c>
      <c r="CZ173" s="59">
        <f t="shared" si="150"/>
        <v>264.34840059907702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6.3857967389600683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6.3857967389600683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-1.7053025658242404E-13</v>
      </c>
      <c r="DP173" s="17">
        <f>DO173*VLOOKUP('Données projet'!$B$14,Paramètres!$A$1:$I$89,3,0)*VLOOKUP('Données projet'!$B$14,Paramètres!$A$1:$I$89,5,0)</f>
        <v>-1.4631496014771985E-13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442.97490100035287</v>
      </c>
      <c r="DU173" s="59">
        <f t="shared" si="152"/>
        <v>334.36243356457049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44.173403873082655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44.173403873082655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5.6843418860808015E-14</v>
      </c>
      <c r="EK173" s="17">
        <f>EJ173*VLOOKUP('Données projet'!$B$15,Paramètres!$A$1:$I$89,3,0)*VLOOKUP('Données projet'!$B$15,Paramètres!$A$1:$I$89,5,0)</f>
        <v>4.4337866711430253E-14</v>
      </c>
      <c r="EL173" s="13">
        <f t="shared" si="179"/>
        <v>7.3222115536967035E-13</v>
      </c>
      <c r="EM173" s="20">
        <f t="shared" si="180"/>
        <v>1.3525069634579169E-12</v>
      </c>
      <c r="EN173" s="59">
        <f t="shared" si="128"/>
        <v>293.33333333333468</v>
      </c>
      <c r="EO173" s="59">
        <f ca="1">AVERAGE(OFFSET($EN$3,0,0,'Données projet'!$E$15+1,1))-AVERAGE(OFFSET($H$3,0,0,'Données projet'!$E$15+1,1))</f>
        <v>288.82868507674738</v>
      </c>
      <c r="EP173" s="59">
        <f t="shared" si="154"/>
        <v>283.48738729114024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11.178926882556992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11.178926882556992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328.55201074501201</v>
      </c>
      <c r="FK173" s="59">
        <f t="shared" si="156"/>
        <v>321.81422611044985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16.14723270948587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16.14723270948587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353.37024194969638</v>
      </c>
      <c r="GF173" s="59">
        <f t="shared" si="158"/>
        <v>345.4750813433123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21.596224648065434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21.596224648065434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1.2710188457276673E-13</v>
      </c>
      <c r="P174" s="13">
        <f t="shared" si="141"/>
        <v>1.856866851063998E-12</v>
      </c>
      <c r="Q174" s="20">
        <f t="shared" si="162"/>
        <v>3.4554122145673649E-12</v>
      </c>
      <c r="R174" s="59">
        <f t="shared" si="109"/>
        <v>293.33333333333678</v>
      </c>
      <c r="S174" s="59">
        <f ca="1">AVERAGE(OFFSET($R$3,0,0,'Données projet'!$E$9+1,1))-AVERAGE(OFFSET($H$3,0,0,'Données projet'!$E$9+1,1))</f>
        <v>404.65492118472037</v>
      </c>
      <c r="T174" s="59">
        <f t="shared" si="142"/>
        <v>534.22295841722166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27.686818136014026</v>
      </c>
      <c r="AA174" s="21">
        <f>EXP(-LN(2)/25)*AA173+(1-EXP(-LN(2)/25))/(LN(2)/25)*Calculateur!V174*Calculateur!X174*VLOOKUP('Données projet'!$B$9,Paramètres!$A$1:$I$89,3,0)*0.475*44/12</f>
        <v>2.8675109505753387</v>
      </c>
      <c r="AB174" s="21">
        <f>EXP(-LN(2)/2)*AB173+(1-EXP(-LN(2)/2))/(LN(2)/2)*V174*Y174*VLOOKUP('Données projet'!$B$9,Paramètres!$A$1:$I$89,3,0)*0.475*44/12</f>
        <v>1.0309979104074419E-16</v>
      </c>
      <c r="AC174" s="22">
        <f t="shared" si="163"/>
        <v>30.554329086589362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-7.9808160080574461E-14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331.17634116262298</v>
      </c>
      <c r="AO174" s="59">
        <f t="shared" si="144"/>
        <v>286.28916368940605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40.271723891670014</v>
      </c>
      <c r="AV174" s="21">
        <f>EXP(-LN(2)/25)*AV173+(1-EXP(-LN(2)/25))/(LN(2)/25)*Calculateur!AQ174*Calculateur!AS174*VLOOKUP('Données projet'!$B$10,Paramètres!$A$1:$I$89,3,0)*0.475*44/12</f>
        <v>8.2119589512701658</v>
      </c>
      <c r="AW174" s="21">
        <f>EXP(-LN(2)/2)*AW173+(1-EXP(-LN(2)/2))/(LN(2)/2)*AQ174*AT174*VLOOKUP('Données projet'!$B$10,Paramètres!$A$1:$I$89,3,0)*0.475*44/12</f>
        <v>5.1078275459813388E-10</v>
      </c>
      <c r="AX174" s="21">
        <f t="shared" si="166"/>
        <v>48.483682843450964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1.4210854715202004E-13</v>
      </c>
      <c r="BE174" s="13">
        <f>BD174*VLOOKUP('Données projet'!$B$11,Paramètres!$A$1:$I$89,3,0)*VLOOKUP('Données projet'!$B$11,Paramètres!$A$1:$I$89,5,0)</f>
        <v>7.7591266745002952E-14</v>
      </c>
      <c r="BF174" s="13">
        <f t="shared" si="167"/>
        <v>1.2005788606873384E-12</v>
      </c>
      <c r="BG174" s="20">
        <f t="shared" si="168"/>
        <v>2.226146305277994E-12</v>
      </c>
      <c r="BH174" s="59">
        <f t="shared" si="116"/>
        <v>293.33333333333553</v>
      </c>
      <c r="BI174" s="59">
        <f ca="1">AVERAGE(OFFSET($BH$3,0,0,'Données projet'!$E$11+1,1))-AVERAGE(OFFSET($H$3,0,0,'Données projet'!$E$11+1,1))</f>
        <v>165.87377022031535</v>
      </c>
      <c r="BJ174" s="59">
        <f t="shared" si="146"/>
        <v>272.91122662088929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8.3978209856189991</v>
      </c>
      <c r="BQ174" s="21">
        <f>EXP(-LN(2)/25)*BQ173+(1-EXP(-LN(2)/25))/(LN(2)/25)*Calculateur!BL174*Calculateur!BN174*VLOOKUP('Données projet'!$B$11,Paramètres!$A$1:$I$89,3,0)*0.475*44/12</f>
        <v>1.0210684206759026</v>
      </c>
      <c r="BR174" s="21">
        <f>EXP(-LN(2)/2)*BR173+(1-EXP(-LN(2)/2))/(LN(2)/2)*BL174*BO174*VLOOKUP('Données projet'!$B$11,Paramètres!$A$1:$I$89,3,0)*0.475*44/12</f>
        <v>4.9382073618075633E-19</v>
      </c>
      <c r="BS174" s="22">
        <f t="shared" si="169"/>
        <v>9.4188894062949018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4.5474735088646412E-13</v>
      </c>
      <c r="BZ174" s="13">
        <f>BY174*VLOOKUP('Données projet'!$B$12,Paramètres!$A$1:$I$89,3,0)*VLOOKUP('Données projet'!$B$12,Paramètres!$A$1:$I$89,5,0)</f>
        <v>4.1145540308207271E-13</v>
      </c>
      <c r="CA174" s="13">
        <f t="shared" si="170"/>
        <v>5.2428527960910789E-12</v>
      </c>
      <c r="CB174" s="20">
        <f t="shared" si="171"/>
        <v>9.8479201135599071E-12</v>
      </c>
      <c r="CC174" s="59">
        <f t="shared" si="119"/>
        <v>293.33333333334315</v>
      </c>
      <c r="CD174" s="59">
        <f ca="1">AVERAGE(OFFSET($CC$3,0,0,'Données projet'!$E$12+1,1))-AVERAGE(OFFSET($H$3,0,0,'Données projet'!$E$12+1,1))</f>
        <v>639.86968831634636</v>
      </c>
      <c r="CE174" s="59">
        <f t="shared" si="148"/>
        <v>218.1556771431184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170.56144033930914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170.56144033930914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9.9316821433603781E-14</v>
      </c>
      <c r="CV174" s="13">
        <f t="shared" si="173"/>
        <v>1.4932118279712753E-12</v>
      </c>
      <c r="CW174" s="20">
        <f t="shared" si="174"/>
        <v>2.7736540643801645E-12</v>
      </c>
      <c r="CX174" s="59">
        <f t="shared" si="122"/>
        <v>293.3333333333361</v>
      </c>
      <c r="CY174" s="59">
        <f ca="1">AVERAGE(OFFSET($CX$3,0,0,'Données projet'!$E$13+1,1))-AVERAGE(OFFSET($H$3,0,0,'Données projet'!$E$13+1,1))</f>
        <v>218.76600554860482</v>
      </c>
      <c r="CZ174" s="59">
        <f t="shared" si="150"/>
        <v>264.34840059907702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6.260575159860478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6.260575159860478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-1.7053025658242404E-13</v>
      </c>
      <c r="DP174" s="17">
        <f>DO174*VLOOKUP('Données projet'!$B$14,Paramètres!$A$1:$I$89,3,0)*VLOOKUP('Données projet'!$B$14,Paramètres!$A$1:$I$89,5,0)</f>
        <v>-1.4631496014771985E-13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442.97490100035287</v>
      </c>
      <c r="DU174" s="59">
        <f t="shared" si="152"/>
        <v>334.36243356457049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43.307190366247454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43.307190366247454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5.6843418860808015E-14</v>
      </c>
      <c r="EK174" s="17">
        <f>EJ174*VLOOKUP('Données projet'!$B$15,Paramètres!$A$1:$I$89,3,0)*VLOOKUP('Données projet'!$B$15,Paramètres!$A$1:$I$89,5,0)</f>
        <v>4.4337866711430253E-14</v>
      </c>
      <c r="EL174" s="13">
        <f t="shared" si="179"/>
        <v>7.3222115536967035E-13</v>
      </c>
      <c r="EM174" s="20">
        <f t="shared" si="180"/>
        <v>1.3525069634579169E-12</v>
      </c>
      <c r="EN174" s="59">
        <f t="shared" si="128"/>
        <v>293.33333333333468</v>
      </c>
      <c r="EO174" s="59">
        <f ca="1">AVERAGE(OFFSET($EN$3,0,0,'Données projet'!$E$15+1,1))-AVERAGE(OFFSET($H$3,0,0,'Données projet'!$E$15+1,1))</f>
        <v>288.82868507674738</v>
      </c>
      <c r="EP174" s="59">
        <f t="shared" si="154"/>
        <v>283.48738729114024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10.95971494486218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10.95971494486218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328.55201074501201</v>
      </c>
      <c r="FK174" s="59">
        <f t="shared" si="156"/>
        <v>321.81422611044985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15.830595324892313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15.830595324892313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353.37024194969638</v>
      </c>
      <c r="GF174" s="59">
        <f t="shared" si="158"/>
        <v>345.4750813433123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21.172735855113238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21.172735855113238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1.2710188457276673E-13</v>
      </c>
      <c r="P175" s="13">
        <f t="shared" si="141"/>
        <v>1.856866851063998E-12</v>
      </c>
      <c r="Q175" s="20">
        <f t="shared" si="162"/>
        <v>3.4554122145673649E-12</v>
      </c>
      <c r="R175" s="59">
        <f t="shared" si="109"/>
        <v>293.33333333333678</v>
      </c>
      <c r="S175" s="59">
        <f ca="1">AVERAGE(OFFSET($R$3,0,0,'Données projet'!$E$9+1,1))-AVERAGE(OFFSET($H$3,0,0,'Données projet'!$E$9+1,1))</f>
        <v>404.65492118472037</v>
      </c>
      <c r="T175" s="59">
        <f t="shared" si="142"/>
        <v>534.22295841722166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27.143896519658373</v>
      </c>
      <c r="AA175" s="21">
        <f>EXP(-LN(2)/25)*AA174+(1-EXP(-LN(2)/25))/(LN(2)/25)*Calculateur!V175*Calculateur!X175*VLOOKUP('Données projet'!$B$9,Paramètres!$A$1:$I$89,3,0)*0.475*44/12</f>
        <v>2.789098712836009</v>
      </c>
      <c r="AB175" s="21">
        <f>EXP(-LN(2)/2)*AB174+(1-EXP(-LN(2)/2))/(LN(2)/2)*V175*Y175*VLOOKUP('Données projet'!$B$9,Paramètres!$A$1:$I$89,3,0)*0.475*44/12</f>
        <v>7.2902561383826277E-17</v>
      </c>
      <c r="AC175" s="22">
        <f t="shared" si="163"/>
        <v>29.932995232494381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-7.9808160080574461E-14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331.17634116262298</v>
      </c>
      <c r="AO175" s="59">
        <f t="shared" si="144"/>
        <v>286.28916368940605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39.48201994948051</v>
      </c>
      <c r="AV175" s="21">
        <f>EXP(-LN(2)/25)*AV174+(1-EXP(-LN(2)/25))/(LN(2)/25)*Calculateur!AQ175*Calculateur!AS175*VLOOKUP('Données projet'!$B$10,Paramètres!$A$1:$I$89,3,0)*0.475*44/12</f>
        <v>7.9874025018995303</v>
      </c>
      <c r="AW175" s="21">
        <f>EXP(-LN(2)/2)*AW174+(1-EXP(-LN(2)/2))/(LN(2)/2)*AQ175*AT175*VLOOKUP('Données projet'!$B$10,Paramètres!$A$1:$I$89,3,0)*0.475*44/12</f>
        <v>3.6117794948948466E-10</v>
      </c>
      <c r="AX175" s="21">
        <f t="shared" si="166"/>
        <v>47.469422451741217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1.4210854715202004E-13</v>
      </c>
      <c r="BE175" s="13">
        <f>BD175*VLOOKUP('Données projet'!$B$11,Paramètres!$A$1:$I$89,3,0)*VLOOKUP('Données projet'!$B$11,Paramètres!$A$1:$I$89,5,0)</f>
        <v>7.7591266745002952E-14</v>
      </c>
      <c r="BF175" s="13">
        <f t="shared" si="167"/>
        <v>1.2005788606873384E-12</v>
      </c>
      <c r="BG175" s="20">
        <f t="shared" si="168"/>
        <v>2.226146305277994E-12</v>
      </c>
      <c r="BH175" s="59">
        <f t="shared" si="116"/>
        <v>293.33333333333553</v>
      </c>
      <c r="BI175" s="59">
        <f ca="1">AVERAGE(OFFSET($BH$3,0,0,'Données projet'!$E$11+1,1))-AVERAGE(OFFSET($H$3,0,0,'Données projet'!$E$11+1,1))</f>
        <v>165.87377022031535</v>
      </c>
      <c r="BJ175" s="59">
        <f t="shared" si="146"/>
        <v>272.91122662088929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8.2331448382560399</v>
      </c>
      <c r="BQ175" s="21">
        <f>EXP(-LN(2)/25)*BQ174+(1-EXP(-LN(2)/25))/(LN(2)/25)*Calculateur!BL175*Calculateur!BN175*VLOOKUP('Données projet'!$B$11,Paramètres!$A$1:$I$89,3,0)*0.475*44/12</f>
        <v>0.99314725101686552</v>
      </c>
      <c r="BR175" s="21">
        <f>EXP(-LN(2)/2)*BR174+(1-EXP(-LN(2)/2))/(LN(2)/2)*BL175*BO175*VLOOKUP('Données projet'!$B$11,Paramètres!$A$1:$I$89,3,0)*0.475*44/12</f>
        <v>3.4918399124394589E-19</v>
      </c>
      <c r="BS175" s="22">
        <f t="shared" si="169"/>
        <v>9.2262920892729063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4.5474735088646412E-13</v>
      </c>
      <c r="BZ175" s="13">
        <f>BY175*VLOOKUP('Données projet'!$B$12,Paramètres!$A$1:$I$89,3,0)*VLOOKUP('Données projet'!$B$12,Paramètres!$A$1:$I$89,5,0)</f>
        <v>4.1145540308207271E-13</v>
      </c>
      <c r="CA175" s="13">
        <f t="shared" si="170"/>
        <v>5.2428527960910789E-12</v>
      </c>
      <c r="CB175" s="20">
        <f t="shared" si="171"/>
        <v>9.8479201135599071E-12</v>
      </c>
      <c r="CC175" s="59">
        <f t="shared" si="119"/>
        <v>293.33333333334315</v>
      </c>
      <c r="CD175" s="59">
        <f ca="1">AVERAGE(OFFSET($CC$3,0,0,'Données projet'!$E$12+1,1))-AVERAGE(OFFSET($H$3,0,0,'Données projet'!$E$12+1,1))</f>
        <v>639.86968831634636</v>
      </c>
      <c r="CE175" s="59">
        <f t="shared" si="148"/>
        <v>218.1556771431184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167.21683452646158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167.21683452646158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9.9316821433603781E-14</v>
      </c>
      <c r="CV175" s="13">
        <f t="shared" si="173"/>
        <v>1.4932118279712753E-12</v>
      </c>
      <c r="CW175" s="20">
        <f t="shared" si="174"/>
        <v>2.7736540643801645E-12</v>
      </c>
      <c r="CX175" s="59">
        <f t="shared" si="122"/>
        <v>293.3333333333361</v>
      </c>
      <c r="CY175" s="59">
        <f ca="1">AVERAGE(OFFSET($CX$3,0,0,'Données projet'!$E$13+1,1))-AVERAGE(OFFSET($H$3,0,0,'Données projet'!$E$13+1,1))</f>
        <v>218.76600554860482</v>
      </c>
      <c r="CZ175" s="59">
        <f t="shared" si="150"/>
        <v>264.34840059907702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6.1378090995494086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6.1378090995494086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-1.7053025658242404E-13</v>
      </c>
      <c r="DP175" s="17">
        <f>DO175*VLOOKUP('Données projet'!$B$14,Paramètres!$A$1:$I$89,3,0)*VLOOKUP('Données projet'!$B$14,Paramètres!$A$1:$I$89,5,0)</f>
        <v>-1.4631496014771985E-13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442.97490100035287</v>
      </c>
      <c r="DU175" s="59">
        <f t="shared" si="152"/>
        <v>334.36243356457049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42.457962777943223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42.457962777943223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5.6843418860808015E-14</v>
      </c>
      <c r="EK175" s="17">
        <f>EJ175*VLOOKUP('Données projet'!$B$15,Paramètres!$A$1:$I$89,3,0)*VLOOKUP('Données projet'!$B$15,Paramètres!$A$1:$I$89,5,0)</f>
        <v>4.4337866711430253E-14</v>
      </c>
      <c r="EL175" s="13">
        <f t="shared" si="179"/>
        <v>7.3222115536967035E-13</v>
      </c>
      <c r="EM175" s="20">
        <f t="shared" si="180"/>
        <v>1.3525069634579169E-12</v>
      </c>
      <c r="EN175" s="59">
        <f t="shared" si="128"/>
        <v>293.33333333333468</v>
      </c>
      <c r="EO175" s="59">
        <f ca="1">AVERAGE(OFFSET($EN$3,0,0,'Données projet'!$E$15+1,1))-AVERAGE(OFFSET($H$3,0,0,'Données projet'!$E$15+1,1))</f>
        <v>288.82868507674738</v>
      </c>
      <c r="EP175" s="59">
        <f t="shared" si="154"/>
        <v>283.48738729114024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10.744801619559484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10.744801619559484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328.55201074501201</v>
      </c>
      <c r="FK175" s="59">
        <f t="shared" si="156"/>
        <v>321.81422611044985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15.5201670062809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15.5201670062809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353.37024194969638</v>
      </c>
      <c r="GF175" s="59">
        <f t="shared" si="158"/>
        <v>345.4750813433123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20.757551419088177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20.757551419088177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1.2710188457276673E-13</v>
      </c>
      <c r="P176" s="13">
        <f t="shared" si="141"/>
        <v>1.856866851063998E-12</v>
      </c>
      <c r="Q176" s="20">
        <f t="shared" si="162"/>
        <v>3.4554122145673649E-12</v>
      </c>
      <c r="R176" s="59">
        <f t="shared" si="109"/>
        <v>293.33333333333678</v>
      </c>
      <c r="S176" s="59">
        <f ca="1">AVERAGE(OFFSET($R$3,0,0,'Données projet'!$E$9+1,1))-AVERAGE(OFFSET($H$3,0,0,'Données projet'!$E$9+1,1))</f>
        <v>404.65492118472037</v>
      </c>
      <c r="T176" s="59">
        <f t="shared" si="142"/>
        <v>534.22295841722166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26.611621265049966</v>
      </c>
      <c r="AA176" s="21">
        <f>EXP(-LN(2)/25)*AA175+(1-EXP(-LN(2)/25))/(LN(2)/25)*Calculateur!V176*Calculateur!X176*VLOOKUP('Données projet'!$B$9,Paramètres!$A$1:$I$89,3,0)*0.475*44/12</f>
        <v>2.7128306618611817</v>
      </c>
      <c r="AB176" s="21">
        <f>EXP(-LN(2)/2)*AB175+(1-EXP(-LN(2)/2))/(LN(2)/2)*V176*Y176*VLOOKUP('Données projet'!$B$9,Paramètres!$A$1:$I$89,3,0)*0.475*44/12</f>
        <v>5.1549895520372097E-17</v>
      </c>
      <c r="AC176" s="22">
        <f t="shared" si="163"/>
        <v>29.324451926911149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-7.9808160080574461E-14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331.17634116262298</v>
      </c>
      <c r="AO176" s="59">
        <f t="shared" si="144"/>
        <v>286.28916368940605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38.707801619925498</v>
      </c>
      <c r="AV176" s="21">
        <f>EXP(-LN(2)/25)*AV175+(1-EXP(-LN(2)/25))/(LN(2)/25)*Calculateur!AQ176*Calculateur!AS176*VLOOKUP('Données projet'!$B$10,Paramètres!$A$1:$I$89,3,0)*0.475*44/12</f>
        <v>7.7689865604458452</v>
      </c>
      <c r="AW176" s="21">
        <f>EXP(-LN(2)/2)*AW175+(1-EXP(-LN(2)/2))/(LN(2)/2)*AQ176*AT176*VLOOKUP('Données projet'!$B$10,Paramètres!$A$1:$I$89,3,0)*0.475*44/12</f>
        <v>2.5539137729906694E-10</v>
      </c>
      <c r="AX176" s="21">
        <f t="shared" si="166"/>
        <v>46.476788180626734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1.4210854715202004E-13</v>
      </c>
      <c r="BE176" s="13">
        <f>BD176*VLOOKUP('Données projet'!$B$11,Paramètres!$A$1:$I$89,3,0)*VLOOKUP('Données projet'!$B$11,Paramètres!$A$1:$I$89,5,0)</f>
        <v>7.7591266745002952E-14</v>
      </c>
      <c r="BF176" s="13">
        <f t="shared" si="167"/>
        <v>1.2005788606873384E-12</v>
      </c>
      <c r="BG176" s="20">
        <f t="shared" si="168"/>
        <v>2.226146305277994E-12</v>
      </c>
      <c r="BH176" s="59">
        <f t="shared" si="116"/>
        <v>293.33333333333553</v>
      </c>
      <c r="BI176" s="59">
        <f ca="1">AVERAGE(OFFSET($BH$3,0,0,'Données projet'!$E$11+1,1))-AVERAGE(OFFSET($H$3,0,0,'Données projet'!$E$11+1,1))</f>
        <v>165.87377022031535</v>
      </c>
      <c r="BJ176" s="59">
        <f t="shared" si="146"/>
        <v>272.91122662088929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8.0716978897003369</v>
      </c>
      <c r="BQ176" s="21">
        <f>EXP(-LN(2)/25)*BQ175+(1-EXP(-LN(2)/25))/(LN(2)/25)*Calculateur!BL176*Calculateur!BN176*VLOOKUP('Données projet'!$B$11,Paramètres!$A$1:$I$89,3,0)*0.475*44/12</f>
        <v>0.96598958721046524</v>
      </c>
      <c r="BR176" s="21">
        <f>EXP(-LN(2)/2)*BR175+(1-EXP(-LN(2)/2))/(LN(2)/2)*BL176*BO176*VLOOKUP('Données projet'!$B$11,Paramètres!$A$1:$I$89,3,0)*0.475*44/12</f>
        <v>2.4691036809037817E-19</v>
      </c>
      <c r="BS176" s="22">
        <f t="shared" si="169"/>
        <v>9.0376874769108024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4.5474735088646412E-13</v>
      </c>
      <c r="BZ176" s="13">
        <f>BY176*VLOOKUP('Données projet'!$B$12,Paramètres!$A$1:$I$89,3,0)*VLOOKUP('Données projet'!$B$12,Paramètres!$A$1:$I$89,5,0)</f>
        <v>4.1145540308207271E-13</v>
      </c>
      <c r="CA176" s="13">
        <f t="shared" si="170"/>
        <v>5.2428527960910789E-12</v>
      </c>
      <c r="CB176" s="20">
        <f t="shared" si="171"/>
        <v>9.8479201135599071E-12</v>
      </c>
      <c r="CC176" s="59">
        <f t="shared" si="119"/>
        <v>293.33333333334315</v>
      </c>
      <c r="CD176" s="59">
        <f ca="1">AVERAGE(OFFSET($CC$3,0,0,'Données projet'!$E$12+1,1))-AVERAGE(OFFSET($H$3,0,0,'Données projet'!$E$12+1,1))</f>
        <v>639.86968831634636</v>
      </c>
      <c r="CE176" s="59">
        <f t="shared" si="148"/>
        <v>218.1556771431184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163.93781439359583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163.93781439359583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9.9316821433603781E-14</v>
      </c>
      <c r="CV176" s="13">
        <f t="shared" si="173"/>
        <v>1.4932118279712753E-12</v>
      </c>
      <c r="CW176" s="20">
        <f t="shared" si="174"/>
        <v>2.7736540643801645E-12</v>
      </c>
      <c r="CX176" s="59">
        <f t="shared" si="122"/>
        <v>293.3333333333361</v>
      </c>
      <c r="CY176" s="59">
        <f ca="1">AVERAGE(OFFSET($CX$3,0,0,'Données projet'!$E$13+1,1))-AVERAGE(OFFSET($H$3,0,0,'Données projet'!$E$13+1,1))</f>
        <v>218.76600554860482</v>
      </c>
      <c r="CZ176" s="59">
        <f t="shared" si="150"/>
        <v>264.34840059907702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6.0174504068011361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6.0174504068011361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-1.7053025658242404E-13</v>
      </c>
      <c r="DP176" s="17">
        <f>DO176*VLOOKUP('Données projet'!$B$14,Paramètres!$A$1:$I$89,3,0)*VLOOKUP('Données projet'!$B$14,Paramètres!$A$1:$I$89,5,0)</f>
        <v>-1.4631496014771985E-13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442.97490100035287</v>
      </c>
      <c r="DU176" s="59">
        <f t="shared" si="152"/>
        <v>334.36243356457049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41.625388024667956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41.625388024667956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5.6843418860808015E-14</v>
      </c>
      <c r="EK176" s="17">
        <f>EJ176*VLOOKUP('Données projet'!$B$15,Paramètres!$A$1:$I$89,3,0)*VLOOKUP('Données projet'!$B$15,Paramètres!$A$1:$I$89,5,0)</f>
        <v>4.4337866711430253E-14</v>
      </c>
      <c r="EL176" s="13">
        <f t="shared" si="179"/>
        <v>7.3222115536967035E-13</v>
      </c>
      <c r="EM176" s="20">
        <f t="shared" si="180"/>
        <v>1.3525069634579169E-12</v>
      </c>
      <c r="EN176" s="59">
        <f t="shared" si="128"/>
        <v>293.33333333333468</v>
      </c>
      <c r="EO176" s="59">
        <f ca="1">AVERAGE(OFFSET($EN$3,0,0,'Données projet'!$E$15+1,1))-AVERAGE(OFFSET($H$3,0,0,'Données projet'!$E$15+1,1))</f>
        <v>288.82868507674738</v>
      </c>
      <c r="EP176" s="59">
        <f t="shared" si="154"/>
        <v>283.48738729114024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10.534102613481787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10.534102613481787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328.55201074501201</v>
      </c>
      <c r="FK176" s="59">
        <f t="shared" si="156"/>
        <v>321.81422611044985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15.21582599765488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15.21582599765488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353.37024194969638</v>
      </c>
      <c r="GF176" s="59">
        <f t="shared" si="158"/>
        <v>345.4750813433123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20.350508496616069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20.350508496616069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1.2710188457276673E-13</v>
      </c>
      <c r="P177" s="13">
        <f t="shared" si="141"/>
        <v>1.856866851063998E-12</v>
      </c>
      <c r="Q177" s="20">
        <f t="shared" si="162"/>
        <v>3.4554122145673649E-12</v>
      </c>
      <c r="R177" s="59">
        <f t="shared" si="109"/>
        <v>293.33333333333678</v>
      </c>
      <c r="S177" s="59">
        <f ca="1">AVERAGE(OFFSET($R$3,0,0,'Données projet'!$E$9+1,1))-AVERAGE(OFFSET($H$3,0,0,'Données projet'!$E$9+1,1))</f>
        <v>404.65492118472037</v>
      </c>
      <c r="T177" s="59">
        <f t="shared" si="142"/>
        <v>534.22295841722166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26.089783603528581</v>
      </c>
      <c r="AA177" s="21">
        <f>EXP(-LN(2)/25)*AA176+(1-EXP(-LN(2)/25))/(LN(2)/25)*Calculateur!V177*Calculateur!X177*VLOOKUP('Données projet'!$B$9,Paramètres!$A$1:$I$89,3,0)*0.475*44/12</f>
        <v>2.6386481647510234</v>
      </c>
      <c r="AB177" s="21">
        <f>EXP(-LN(2)/2)*AB176+(1-EXP(-LN(2)/2))/(LN(2)/2)*V177*Y177*VLOOKUP('Données projet'!$B$9,Paramètres!$A$1:$I$89,3,0)*0.475*44/12</f>
        <v>3.6451280691913139E-17</v>
      </c>
      <c r="AC177" s="22">
        <f t="shared" si="163"/>
        <v>28.728431768279606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-7.9808160080574461E-14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331.17634116262298</v>
      </c>
      <c r="AO177" s="59">
        <f t="shared" si="144"/>
        <v>286.28916368940605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37.948765239586507</v>
      </c>
      <c r="AV177" s="21">
        <f>EXP(-LN(2)/25)*AV176+(1-EXP(-LN(2)/25))/(LN(2)/25)*Calculateur!AQ177*Calculateur!AS177*VLOOKUP('Données projet'!$B$10,Paramètres!$A$1:$I$89,3,0)*0.475*44/12</f>
        <v>7.5565432143972062</v>
      </c>
      <c r="AW177" s="21">
        <f>EXP(-LN(2)/2)*AW176+(1-EXP(-LN(2)/2))/(LN(2)/2)*AQ177*AT177*VLOOKUP('Données projet'!$B$10,Paramètres!$A$1:$I$89,3,0)*0.475*44/12</f>
        <v>1.8058897474474233E-10</v>
      </c>
      <c r="AX177" s="21">
        <f t="shared" si="166"/>
        <v>45.505308454164307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1.4210854715202004E-13</v>
      </c>
      <c r="BE177" s="13">
        <f>BD177*VLOOKUP('Données projet'!$B$11,Paramètres!$A$1:$I$89,3,0)*VLOOKUP('Données projet'!$B$11,Paramètres!$A$1:$I$89,5,0)</f>
        <v>7.7591266745002952E-14</v>
      </c>
      <c r="BF177" s="13">
        <f t="shared" si="167"/>
        <v>1.2005788606873384E-12</v>
      </c>
      <c r="BG177" s="20">
        <f t="shared" si="168"/>
        <v>2.226146305277994E-12</v>
      </c>
      <c r="BH177" s="59">
        <f t="shared" si="116"/>
        <v>293.33333333333553</v>
      </c>
      <c r="BI177" s="59">
        <f ca="1">AVERAGE(OFFSET($BH$3,0,0,'Données projet'!$E$11+1,1))-AVERAGE(OFFSET($H$3,0,0,'Données projet'!$E$11+1,1))</f>
        <v>165.87377022031535</v>
      </c>
      <c r="BJ177" s="59">
        <f t="shared" si="146"/>
        <v>272.91122662088929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7.9134168173328954</v>
      </c>
      <c r="BQ177" s="21">
        <f>EXP(-LN(2)/25)*BQ176+(1-EXP(-LN(2)/25))/(LN(2)/25)*Calculateur!BL177*Calculateur!BN177*VLOOKUP('Données projet'!$B$11,Paramètres!$A$1:$I$89,3,0)*0.475*44/12</f>
        <v>0.93957455114901045</v>
      </c>
      <c r="BR177" s="21">
        <f>EXP(-LN(2)/2)*BR176+(1-EXP(-LN(2)/2))/(LN(2)/2)*BL177*BO177*VLOOKUP('Données projet'!$B$11,Paramètres!$A$1:$I$89,3,0)*0.475*44/12</f>
        <v>1.7459199562197294E-19</v>
      </c>
      <c r="BS177" s="22">
        <f t="shared" si="169"/>
        <v>8.8529913684819057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4.5474735088646412E-13</v>
      </c>
      <c r="BZ177" s="13">
        <f>BY177*VLOOKUP('Données projet'!$B$12,Paramètres!$A$1:$I$89,3,0)*VLOOKUP('Données projet'!$B$12,Paramètres!$A$1:$I$89,5,0)</f>
        <v>4.1145540308207271E-13</v>
      </c>
      <c r="CA177" s="13">
        <f t="shared" si="170"/>
        <v>5.2428527960910789E-12</v>
      </c>
      <c r="CB177" s="20">
        <f t="shared" si="171"/>
        <v>9.8479201135599071E-12</v>
      </c>
      <c r="CC177" s="59">
        <f t="shared" si="119"/>
        <v>293.33333333334315</v>
      </c>
      <c r="CD177" s="59">
        <f ca="1">AVERAGE(OFFSET($CC$3,0,0,'Données projet'!$E$12+1,1))-AVERAGE(OFFSET($H$3,0,0,'Données projet'!$E$12+1,1))</f>
        <v>639.86968831634636</v>
      </c>
      <c r="CE177" s="59">
        <f t="shared" si="148"/>
        <v>218.1556771431184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160.7230938455308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160.7230938455308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9.9316821433603781E-14</v>
      </c>
      <c r="CV177" s="13">
        <f t="shared" si="173"/>
        <v>1.4932118279712753E-12</v>
      </c>
      <c r="CW177" s="20">
        <f t="shared" si="174"/>
        <v>2.7736540643801645E-12</v>
      </c>
      <c r="CX177" s="59">
        <f t="shared" si="122"/>
        <v>293.3333333333361</v>
      </c>
      <c r="CY177" s="59">
        <f ca="1">AVERAGE(OFFSET($CX$3,0,0,'Données projet'!$E$13+1,1))-AVERAGE(OFFSET($H$3,0,0,'Données projet'!$E$13+1,1))</f>
        <v>218.76600554860482</v>
      </c>
      <c r="CZ177" s="59">
        <f t="shared" si="150"/>
        <v>264.34840059907702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5.899451874606104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5.899451874606104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-1.7053025658242404E-13</v>
      </c>
      <c r="DP177" s="17">
        <f>DO177*VLOOKUP('Données projet'!$B$14,Paramètres!$A$1:$I$89,3,0)*VLOOKUP('Données projet'!$B$14,Paramètres!$A$1:$I$89,5,0)</f>
        <v>-1.4631496014771985E-13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442.97490100035287</v>
      </c>
      <c r="DU177" s="59">
        <f t="shared" si="152"/>
        <v>334.36243356457049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40.809139554483956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40.809139554483956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5.6843418860808015E-14</v>
      </c>
      <c r="EK177" s="17">
        <f>EJ177*VLOOKUP('Données projet'!$B$15,Paramètres!$A$1:$I$89,3,0)*VLOOKUP('Données projet'!$B$15,Paramètres!$A$1:$I$89,5,0)</f>
        <v>4.4337866711430253E-14</v>
      </c>
      <c r="EL177" s="13">
        <f t="shared" si="179"/>
        <v>7.3222115536967035E-13</v>
      </c>
      <c r="EM177" s="20">
        <f t="shared" si="180"/>
        <v>1.3525069634579169E-12</v>
      </c>
      <c r="EN177" s="59">
        <f t="shared" si="128"/>
        <v>293.33333333333468</v>
      </c>
      <c r="EO177" s="59">
        <f ca="1">AVERAGE(OFFSET($EN$3,0,0,'Données projet'!$E$15+1,1))-AVERAGE(OFFSET($H$3,0,0,'Données projet'!$E$15+1,1))</f>
        <v>288.82868507674738</v>
      </c>
      <c r="EP177" s="59">
        <f t="shared" si="154"/>
        <v>283.48738729114024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10.32753528639957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10.32753528639957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328.55201074501201</v>
      </c>
      <c r="FK177" s="59">
        <f t="shared" si="156"/>
        <v>321.81422611044985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14.91745293057833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14.91745293057833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353.37024194969638</v>
      </c>
      <c r="GF177" s="59">
        <f t="shared" si="158"/>
        <v>345.4750813433123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19.951447437581969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19.951447437581969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1.2710188457276673E-13</v>
      </c>
      <c r="P178" s="13">
        <f t="shared" si="141"/>
        <v>1.856866851063998E-12</v>
      </c>
      <c r="Q178" s="20">
        <f t="shared" si="162"/>
        <v>3.4554122145673649E-12</v>
      </c>
      <c r="R178" s="59">
        <f t="shared" si="109"/>
        <v>293.33333333333678</v>
      </c>
      <c r="S178" s="59">
        <f ca="1">AVERAGE(OFFSET($R$3,0,0,'Données projet'!$E$9+1,1))-AVERAGE(OFFSET($H$3,0,0,'Données projet'!$E$9+1,1))</f>
        <v>404.65492118472037</v>
      </c>
      <c r="T178" s="59">
        <f t="shared" si="142"/>
        <v>534.22295841722166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25.578178860260085</v>
      </c>
      <c r="AA178" s="21">
        <f>EXP(-LN(2)/25)*AA177+(1-EXP(-LN(2)/25))/(LN(2)/25)*Calculateur!V178*Calculateur!X178*VLOOKUP('Données projet'!$B$9,Paramètres!$A$1:$I$89,3,0)*0.475*44/12</f>
        <v>2.5664941919254303</v>
      </c>
      <c r="AB178" s="21">
        <f>EXP(-LN(2)/2)*AB177+(1-EXP(-LN(2)/2))/(LN(2)/2)*V178*Y178*VLOOKUP('Données projet'!$B$9,Paramètres!$A$1:$I$89,3,0)*0.475*44/12</f>
        <v>2.5774947760186049E-17</v>
      </c>
      <c r="AC178" s="22">
        <f t="shared" si="163"/>
        <v>28.144673052185514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-7.9808160080574461E-14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331.17634116262298</v>
      </c>
      <c r="AO178" s="59">
        <f t="shared" si="144"/>
        <v>286.28916368940605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37.204613099699486</v>
      </c>
      <c r="AV178" s="21">
        <f>EXP(-LN(2)/25)*AV177+(1-EXP(-LN(2)/25))/(LN(2)/25)*Calculateur!AQ178*Calculateur!AS178*VLOOKUP('Données projet'!$B$10,Paramètres!$A$1:$I$89,3,0)*0.475*44/12</f>
        <v>7.349909142818178</v>
      </c>
      <c r="AW178" s="21">
        <f>EXP(-LN(2)/2)*AW177+(1-EXP(-LN(2)/2))/(LN(2)/2)*AQ178*AT178*VLOOKUP('Données projet'!$B$10,Paramètres!$A$1:$I$89,3,0)*0.475*44/12</f>
        <v>1.2769568864953347E-10</v>
      </c>
      <c r="AX178" s="21">
        <f t="shared" si="166"/>
        <v>44.554522242645362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1.4210854715202004E-13</v>
      </c>
      <c r="BE178" s="13">
        <f>BD178*VLOOKUP('Données projet'!$B$11,Paramètres!$A$1:$I$89,3,0)*VLOOKUP('Données projet'!$B$11,Paramètres!$A$1:$I$89,5,0)</f>
        <v>7.7591266745002952E-14</v>
      </c>
      <c r="BF178" s="13">
        <f t="shared" si="167"/>
        <v>1.2005788606873384E-12</v>
      </c>
      <c r="BG178" s="20">
        <f t="shared" si="168"/>
        <v>2.226146305277994E-12</v>
      </c>
      <c r="BH178" s="59">
        <f t="shared" si="116"/>
        <v>293.33333333333553</v>
      </c>
      <c r="BI178" s="59">
        <f ca="1">AVERAGE(OFFSET($BH$3,0,0,'Données projet'!$E$11+1,1))-AVERAGE(OFFSET($H$3,0,0,'Données projet'!$E$11+1,1))</f>
        <v>165.87377022031535</v>
      </c>
      <c r="BJ178" s="59">
        <f t="shared" si="146"/>
        <v>272.91122662088929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7.7582395402526583</v>
      </c>
      <c r="BQ178" s="21">
        <f>EXP(-LN(2)/25)*BQ177+(1-EXP(-LN(2)/25))/(LN(2)/25)*Calculateur!BL178*Calculateur!BN178*VLOOKUP('Données projet'!$B$11,Paramètres!$A$1:$I$89,3,0)*0.475*44/12</f>
        <v>0.9138818356377626</v>
      </c>
      <c r="BR178" s="21">
        <f>EXP(-LN(2)/2)*BR177+(1-EXP(-LN(2)/2))/(LN(2)/2)*BL178*BO178*VLOOKUP('Données projet'!$B$11,Paramètres!$A$1:$I$89,3,0)*0.475*44/12</f>
        <v>1.2345518404518908E-19</v>
      </c>
      <c r="BS178" s="22">
        <f t="shared" si="169"/>
        <v>8.6721213758904216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4.5474735088646412E-13</v>
      </c>
      <c r="BZ178" s="13">
        <f>BY178*VLOOKUP('Données projet'!$B$12,Paramètres!$A$1:$I$89,3,0)*VLOOKUP('Données projet'!$B$12,Paramètres!$A$1:$I$89,5,0)</f>
        <v>4.1145540308207271E-13</v>
      </c>
      <c r="CA178" s="13">
        <f t="shared" si="170"/>
        <v>5.2428527960910789E-12</v>
      </c>
      <c r="CB178" s="20">
        <f t="shared" si="171"/>
        <v>9.8479201135599071E-12</v>
      </c>
      <c r="CC178" s="59">
        <f t="shared" si="119"/>
        <v>293.33333333334315</v>
      </c>
      <c r="CD178" s="59">
        <f ca="1">AVERAGE(OFFSET($CC$3,0,0,'Données projet'!$E$12+1,1))-AVERAGE(OFFSET($H$3,0,0,'Données projet'!$E$12+1,1))</f>
        <v>639.86968831634636</v>
      </c>
      <c r="CE178" s="59">
        <f t="shared" si="148"/>
        <v>218.1556771431184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157.57141200662738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157.57141200662738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9.9316821433603781E-14</v>
      </c>
      <c r="CV178" s="13">
        <f t="shared" si="173"/>
        <v>1.4932118279712753E-12</v>
      </c>
      <c r="CW178" s="20">
        <f t="shared" si="174"/>
        <v>2.7736540643801645E-12</v>
      </c>
      <c r="CX178" s="59">
        <f t="shared" si="122"/>
        <v>293.3333333333361</v>
      </c>
      <c r="CY178" s="59">
        <f ca="1">AVERAGE(OFFSET($CX$3,0,0,'Données projet'!$E$13+1,1))-AVERAGE(OFFSET($H$3,0,0,'Données projet'!$E$13+1,1))</f>
        <v>218.76600554860482</v>
      </c>
      <c r="CZ178" s="59">
        <f t="shared" si="150"/>
        <v>264.34840059907702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5.7837672216554186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5.7837672216554186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-1.7053025658242404E-13</v>
      </c>
      <c r="DP178" s="17">
        <f>DO178*VLOOKUP('Données projet'!$B$14,Paramètres!$A$1:$I$89,3,0)*VLOOKUP('Données projet'!$B$14,Paramètres!$A$1:$I$89,5,0)</f>
        <v>-1.4631496014771985E-13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442.97490100035287</v>
      </c>
      <c r="DU178" s="59">
        <f t="shared" si="152"/>
        <v>334.36243356457049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40.008897218937861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40.008897218937861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5.6843418860808015E-14</v>
      </c>
      <c r="EK178" s="17">
        <f>EJ178*VLOOKUP('Données projet'!$B$15,Paramètres!$A$1:$I$89,3,0)*VLOOKUP('Données projet'!$B$15,Paramètres!$A$1:$I$89,5,0)</f>
        <v>4.4337866711430253E-14</v>
      </c>
      <c r="EL178" s="13">
        <f t="shared" si="179"/>
        <v>7.3222115536967035E-13</v>
      </c>
      <c r="EM178" s="20">
        <f t="shared" si="180"/>
        <v>1.3525069634579169E-12</v>
      </c>
      <c r="EN178" s="59">
        <f t="shared" si="128"/>
        <v>293.33333333333468</v>
      </c>
      <c r="EO178" s="59">
        <f ca="1">AVERAGE(OFFSET($EN$3,0,0,'Données projet'!$E$15+1,1))-AVERAGE(OFFSET($H$3,0,0,'Données projet'!$E$15+1,1))</f>
        <v>288.82868507674738</v>
      </c>
      <c r="EP178" s="59">
        <f t="shared" si="154"/>
        <v>283.48738729114024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10.125018618607807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10.125018618607807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328.55201074501201</v>
      </c>
      <c r="FK178" s="59">
        <f t="shared" si="156"/>
        <v>321.81422611044985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14.62493077735755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14.62493077735755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353.37024194969638</v>
      </c>
      <c r="GF178" s="59">
        <f t="shared" si="158"/>
        <v>345.4750813433123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19.560211722512317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19.560211722512317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1.2710188457276673E-13</v>
      </c>
      <c r="P179" s="13">
        <f t="shared" si="141"/>
        <v>1.856866851063998E-12</v>
      </c>
      <c r="Q179" s="20">
        <f t="shared" si="162"/>
        <v>3.4554122145673649E-12</v>
      </c>
      <c r="R179" s="59">
        <f t="shared" si="109"/>
        <v>293.33333333333678</v>
      </c>
      <c r="S179" s="59">
        <f ca="1">AVERAGE(OFFSET($R$3,0,0,'Données projet'!$E$9+1,1))-AVERAGE(OFFSET($H$3,0,0,'Données projet'!$E$9+1,1))</f>
        <v>404.65492118472037</v>
      </c>
      <c r="T179" s="59">
        <f t="shared" si="142"/>
        <v>534.22295841722166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25.076606373959002</v>
      </c>
      <c r="AA179" s="21">
        <f>EXP(-LN(2)/25)*AA178+(1-EXP(-LN(2)/25))/(LN(2)/25)*Calculateur!V179*Calculateur!X179*VLOOKUP('Données projet'!$B$9,Paramètres!$A$1:$I$89,3,0)*0.475*44/12</f>
        <v>2.4963132732811655</v>
      </c>
      <c r="AB179" s="21">
        <f>EXP(-LN(2)/2)*AB178+(1-EXP(-LN(2)/2))/(LN(2)/2)*V179*Y179*VLOOKUP('Données projet'!$B$9,Paramètres!$A$1:$I$89,3,0)*0.475*44/12</f>
        <v>1.8225640345956569E-17</v>
      </c>
      <c r="AC179" s="22">
        <f t="shared" si="163"/>
        <v>27.57291964724017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-7.9808160080574461E-14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331.17634116262298</v>
      </c>
      <c r="AO179" s="59">
        <f t="shared" si="144"/>
        <v>286.28916368940605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36.475053329387663</v>
      </c>
      <c r="AV179" s="21">
        <f>EXP(-LN(2)/25)*AV178+(1-EXP(-LN(2)/25))/(LN(2)/25)*Calculateur!AQ179*Calculateur!AS179*VLOOKUP('Données projet'!$B$10,Paramètres!$A$1:$I$89,3,0)*0.475*44/12</f>
        <v>7.1489254907928919</v>
      </c>
      <c r="AW179" s="21">
        <f>EXP(-LN(2)/2)*AW178+(1-EXP(-LN(2)/2))/(LN(2)/2)*AQ179*AT179*VLOOKUP('Données projet'!$B$10,Paramètres!$A$1:$I$89,3,0)*0.475*44/12</f>
        <v>9.0294487372371164E-11</v>
      </c>
      <c r="AX179" s="21">
        <f t="shared" si="166"/>
        <v>43.62397882027085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1.4210854715202004E-13</v>
      </c>
      <c r="BE179" s="13">
        <f>BD179*VLOOKUP('Données projet'!$B$11,Paramètres!$A$1:$I$89,3,0)*VLOOKUP('Données projet'!$B$11,Paramètres!$A$1:$I$89,5,0)</f>
        <v>7.7591266745002952E-14</v>
      </c>
      <c r="BF179" s="13">
        <f t="shared" si="167"/>
        <v>1.2005788606873384E-12</v>
      </c>
      <c r="BG179" s="20">
        <f t="shared" si="168"/>
        <v>2.226146305277994E-12</v>
      </c>
      <c r="BH179" s="59">
        <f t="shared" si="116"/>
        <v>293.33333333333553</v>
      </c>
      <c r="BI179" s="59">
        <f ca="1">AVERAGE(OFFSET($BH$3,0,0,'Données projet'!$E$11+1,1))-AVERAGE(OFFSET($H$3,0,0,'Données projet'!$E$11+1,1))</f>
        <v>165.87377022031535</v>
      </c>
      <c r="BJ179" s="59">
        <f t="shared" si="146"/>
        <v>272.91122662088929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7.6061051949271716</v>
      </c>
      <c r="BQ179" s="21">
        <f>EXP(-LN(2)/25)*BQ178+(1-EXP(-LN(2)/25))/(LN(2)/25)*Calculateur!BL179*Calculateur!BN179*VLOOKUP('Données projet'!$B$11,Paramètres!$A$1:$I$89,3,0)*0.475*44/12</f>
        <v>0.88889168878329095</v>
      </c>
      <c r="BR179" s="21">
        <f>EXP(-LN(2)/2)*BR178+(1-EXP(-LN(2)/2))/(LN(2)/2)*BL179*BO179*VLOOKUP('Données projet'!$B$11,Paramètres!$A$1:$I$89,3,0)*0.475*44/12</f>
        <v>8.7295997810986472E-20</v>
      </c>
      <c r="BS179" s="22">
        <f t="shared" si="169"/>
        <v>8.4949968837104635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4.5474735088646412E-13</v>
      </c>
      <c r="BZ179" s="13">
        <f>BY179*VLOOKUP('Données projet'!$B$12,Paramètres!$A$1:$I$89,3,0)*VLOOKUP('Données projet'!$B$12,Paramètres!$A$1:$I$89,5,0)</f>
        <v>4.1145540308207271E-13</v>
      </c>
      <c r="CA179" s="13">
        <f t="shared" si="170"/>
        <v>5.2428527960910789E-12</v>
      </c>
      <c r="CB179" s="20">
        <f t="shared" si="171"/>
        <v>9.8479201135599071E-12</v>
      </c>
      <c r="CC179" s="59">
        <f t="shared" si="119"/>
        <v>293.33333333334315</v>
      </c>
      <c r="CD179" s="59">
        <f ca="1">AVERAGE(OFFSET($CC$3,0,0,'Données projet'!$E$12+1,1))-AVERAGE(OFFSET($H$3,0,0,'Données projet'!$E$12+1,1))</f>
        <v>639.86968831634636</v>
      </c>
      <c r="CE179" s="59">
        <f t="shared" si="148"/>
        <v>218.1556771431184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154.48153272624876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154.48153272624876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9.9316821433603781E-14</v>
      </c>
      <c r="CV179" s="13">
        <f t="shared" si="173"/>
        <v>1.4932118279712753E-12</v>
      </c>
      <c r="CW179" s="20">
        <f t="shared" si="174"/>
        <v>2.7736540643801645E-12</v>
      </c>
      <c r="CX179" s="59">
        <f t="shared" si="122"/>
        <v>293.3333333333361</v>
      </c>
      <c r="CY179" s="59">
        <f ca="1">AVERAGE(OFFSET($CX$3,0,0,'Données projet'!$E$13+1,1))-AVERAGE(OFFSET($H$3,0,0,'Données projet'!$E$13+1,1))</f>
        <v>218.76600554860482</v>
      </c>
      <c r="CZ179" s="59">
        <f t="shared" si="150"/>
        <v>264.34840059907702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5.6703510741884244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5.6703510741884244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-1.7053025658242404E-13</v>
      </c>
      <c r="DP179" s="17">
        <f>DO179*VLOOKUP('Données projet'!$B$14,Paramètres!$A$1:$I$89,3,0)*VLOOKUP('Données projet'!$B$14,Paramètres!$A$1:$I$89,5,0)</f>
        <v>-1.4631496014771985E-13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442.97490100035287</v>
      </c>
      <c r="DU179" s="59">
        <f t="shared" si="152"/>
        <v>334.36243356457049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39.224347147492196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39.224347147492196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5.6843418860808015E-14</v>
      </c>
      <c r="EK179" s="17">
        <f>EJ179*VLOOKUP('Données projet'!$B$15,Paramètres!$A$1:$I$89,3,0)*VLOOKUP('Données projet'!$B$15,Paramètres!$A$1:$I$89,5,0)</f>
        <v>4.4337866711430253E-14</v>
      </c>
      <c r="EL179" s="13">
        <f t="shared" si="179"/>
        <v>7.3222115536967035E-13</v>
      </c>
      <c r="EM179" s="20">
        <f t="shared" si="180"/>
        <v>1.3525069634579169E-12</v>
      </c>
      <c r="EN179" s="59">
        <f t="shared" si="128"/>
        <v>293.33333333333468</v>
      </c>
      <c r="EO179" s="59">
        <f ca="1">AVERAGE(OFFSET($EN$3,0,0,'Données projet'!$E$15+1,1))-AVERAGE(OFFSET($H$3,0,0,'Données projet'!$E$15+1,1))</f>
        <v>288.82868507674738</v>
      </c>
      <c r="EP179" s="59">
        <f t="shared" si="154"/>
        <v>283.48738729114024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9.9264731791484699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9.9264731791484699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328.55201074501201</v>
      </c>
      <c r="FK179" s="59">
        <f t="shared" si="156"/>
        <v>321.81422611044985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14.338144805140534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14.338144805140534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353.37024194969638</v>
      </c>
      <c r="GF179" s="59">
        <f t="shared" si="158"/>
        <v>345.4750813433123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19.176647901184957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19.176647901184957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1.2710188457276673E-13</v>
      </c>
      <c r="P180" s="13">
        <f t="shared" si="141"/>
        <v>1.856866851063998E-12</v>
      </c>
      <c r="Q180" s="20">
        <f t="shared" si="162"/>
        <v>3.4554122145673649E-12</v>
      </c>
      <c r="R180" s="59">
        <f t="shared" si="109"/>
        <v>293.33333333333678</v>
      </c>
      <c r="S180" s="59">
        <f ca="1">AVERAGE(OFFSET($R$3,0,0,'Données projet'!$E$9+1,1))-AVERAGE(OFFSET($H$3,0,0,'Données projet'!$E$9+1,1))</f>
        <v>404.65492118472037</v>
      </c>
      <c r="T180" s="59">
        <f t="shared" si="142"/>
        <v>534.22295841722166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24.584869418185278</v>
      </c>
      <c r="AA180" s="21">
        <f>EXP(-LN(2)/25)*AA179+(1-EXP(-LN(2)/25))/(LN(2)/25)*Calculateur!V180*Calculateur!X180*VLOOKUP('Données projet'!$B$9,Paramètres!$A$1:$I$89,3,0)*0.475*44/12</f>
        <v>2.4280514555478825</v>
      </c>
      <c r="AB180" s="21">
        <f>EXP(-LN(2)/2)*AB179+(1-EXP(-LN(2)/2))/(LN(2)/2)*V180*Y180*VLOOKUP('Données projet'!$B$9,Paramètres!$A$1:$I$89,3,0)*0.475*44/12</f>
        <v>1.2887473880093024E-17</v>
      </c>
      <c r="AC180" s="22">
        <f t="shared" si="163"/>
        <v>27.012920873733162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-7.9808160080574461E-14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331.17634116262298</v>
      </c>
      <c r="AO180" s="59">
        <f t="shared" si="144"/>
        <v>286.28916368940605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35.759799781184135</v>
      </c>
      <c r="AV180" s="21">
        <f>EXP(-LN(2)/25)*AV179+(1-EXP(-LN(2)/25))/(LN(2)/25)*Calculateur!AQ180*Calculateur!AS180*VLOOKUP('Données projet'!$B$10,Paramètres!$A$1:$I$89,3,0)*0.475*44/12</f>
        <v>6.9534377473015079</v>
      </c>
      <c r="AW180" s="21">
        <f>EXP(-LN(2)/2)*AW179+(1-EXP(-LN(2)/2))/(LN(2)/2)*AQ180*AT180*VLOOKUP('Données projet'!$B$10,Paramètres!$A$1:$I$89,3,0)*0.475*44/12</f>
        <v>6.3847844324766735E-11</v>
      </c>
      <c r="AX180" s="21">
        <f t="shared" si="166"/>
        <v>42.713237528549492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1.4210854715202004E-13</v>
      </c>
      <c r="BE180" s="13">
        <f>BD180*VLOOKUP('Données projet'!$B$11,Paramètres!$A$1:$I$89,3,0)*VLOOKUP('Données projet'!$B$11,Paramètres!$A$1:$I$89,5,0)</f>
        <v>7.7591266745002952E-14</v>
      </c>
      <c r="BF180" s="13">
        <f t="shared" si="167"/>
        <v>1.2005788606873384E-12</v>
      </c>
      <c r="BG180" s="20">
        <f t="shared" si="168"/>
        <v>2.226146305277994E-12</v>
      </c>
      <c r="BH180" s="59">
        <f t="shared" si="116"/>
        <v>293.33333333333553</v>
      </c>
      <c r="BI180" s="59">
        <f ca="1">AVERAGE(OFFSET($BH$3,0,0,'Données projet'!$E$11+1,1))-AVERAGE(OFFSET($H$3,0,0,'Données projet'!$E$11+1,1))</f>
        <v>165.87377022031535</v>
      </c>
      <c r="BJ180" s="59">
        <f t="shared" si="146"/>
        <v>272.91122662088929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7.4569541113207292</v>
      </c>
      <c r="BQ180" s="21">
        <f>EXP(-LN(2)/25)*BQ179+(1-EXP(-LN(2)/25))/(LN(2)/25)*Calculateur!BL180*Calculateur!BN180*VLOOKUP('Données projet'!$B$11,Paramètres!$A$1:$I$89,3,0)*0.475*44/12</f>
        <v>0.86458489880872957</v>
      </c>
      <c r="BR180" s="21">
        <f>EXP(-LN(2)/2)*BR179+(1-EXP(-LN(2)/2))/(LN(2)/2)*BL180*BO180*VLOOKUP('Données projet'!$B$11,Paramètres!$A$1:$I$89,3,0)*0.475*44/12</f>
        <v>6.1727592022594542E-20</v>
      </c>
      <c r="BS180" s="22">
        <f t="shared" si="169"/>
        <v>8.3215390101294595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4.5474735088646412E-13</v>
      </c>
      <c r="BZ180" s="13">
        <f>BY180*VLOOKUP('Données projet'!$B$12,Paramètres!$A$1:$I$89,3,0)*VLOOKUP('Données projet'!$B$12,Paramètres!$A$1:$I$89,5,0)</f>
        <v>4.1145540308207271E-13</v>
      </c>
      <c r="CA180" s="13">
        <f t="shared" si="170"/>
        <v>5.2428527960910789E-12</v>
      </c>
      <c r="CB180" s="20">
        <f t="shared" si="171"/>
        <v>9.8479201135599071E-12</v>
      </c>
      <c r="CC180" s="59">
        <f t="shared" si="119"/>
        <v>293.33333333334315</v>
      </c>
      <c r="CD180" s="59">
        <f ca="1">AVERAGE(OFFSET($CC$3,0,0,'Données projet'!$E$12+1,1))-AVERAGE(OFFSET($H$3,0,0,'Données projet'!$E$12+1,1))</f>
        <v>639.86968831634636</v>
      </c>
      <c r="CE180" s="59">
        <f t="shared" si="148"/>
        <v>218.1556771431184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151.4522440939181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151.4522440939181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9.9316821433603781E-14</v>
      </c>
      <c r="CV180" s="13">
        <f t="shared" si="173"/>
        <v>1.4932118279712753E-12</v>
      </c>
      <c r="CW180" s="20">
        <f t="shared" si="174"/>
        <v>2.7736540643801645E-12</v>
      </c>
      <c r="CX180" s="59">
        <f t="shared" si="122"/>
        <v>293.3333333333361</v>
      </c>
      <c r="CY180" s="59">
        <f ca="1">AVERAGE(OFFSET($CX$3,0,0,'Données projet'!$E$13+1,1))-AVERAGE(OFFSET($H$3,0,0,'Données projet'!$E$13+1,1))</f>
        <v>218.76600554860482</v>
      </c>
      <c r="CZ180" s="59">
        <f t="shared" si="150"/>
        <v>264.34840059907702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5.5591589481962389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5.5591589481962389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-1.7053025658242404E-13</v>
      </c>
      <c r="DP180" s="17">
        <f>DO180*VLOOKUP('Données projet'!$B$14,Paramètres!$A$1:$I$89,3,0)*VLOOKUP('Données projet'!$B$14,Paramètres!$A$1:$I$89,5,0)</f>
        <v>-1.4631496014771985E-13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442.97490100035287</v>
      </c>
      <c r="DU180" s="59">
        <f t="shared" si="152"/>
        <v>334.36243356457049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38.455181624419289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38.455181624419289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5.6843418860808015E-14</v>
      </c>
      <c r="EK180" s="17">
        <f>EJ180*VLOOKUP('Données projet'!$B$15,Paramètres!$A$1:$I$89,3,0)*VLOOKUP('Données projet'!$B$15,Paramètres!$A$1:$I$89,5,0)</f>
        <v>4.4337866711430253E-14</v>
      </c>
      <c r="EL180" s="13">
        <f t="shared" si="179"/>
        <v>7.3222115536967035E-13</v>
      </c>
      <c r="EM180" s="20">
        <f t="shared" si="180"/>
        <v>1.3525069634579169E-12</v>
      </c>
      <c r="EN180" s="59">
        <f t="shared" si="128"/>
        <v>293.33333333333468</v>
      </c>
      <c r="EO180" s="59">
        <f ca="1">AVERAGE(OFFSET($EN$3,0,0,'Données projet'!$E$15+1,1))-AVERAGE(OFFSET($H$3,0,0,'Données projet'!$E$15+1,1))</f>
        <v>288.82868507674738</v>
      </c>
      <c r="EP180" s="59">
        <f t="shared" si="154"/>
        <v>283.48738729114024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9.731821094656171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9.731821094656171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328.55201074501201</v>
      </c>
      <c r="FK180" s="59">
        <f t="shared" si="156"/>
        <v>321.81422611044985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14.056982530916521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14.056982530916521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353.37024194969638</v>
      </c>
      <c r="GF180" s="59">
        <f t="shared" si="158"/>
        <v>345.4750813433123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18.800605532442997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18.800605532442997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1.2710188457276673E-13</v>
      </c>
      <c r="P181" s="13">
        <f t="shared" si="141"/>
        <v>1.856866851063998E-12</v>
      </c>
      <c r="Q181" s="20">
        <f t="shared" si="162"/>
        <v>3.4554122145673649E-12</v>
      </c>
      <c r="R181" s="59">
        <f t="shared" si="109"/>
        <v>293.33333333333678</v>
      </c>
      <c r="S181" s="59">
        <f ca="1">AVERAGE(OFFSET($R$3,0,0,'Données projet'!$E$9+1,1))-AVERAGE(OFFSET($H$3,0,0,'Données projet'!$E$9+1,1))</f>
        <v>404.65492118472037</v>
      </c>
      <c r="T181" s="59">
        <f t="shared" si="142"/>
        <v>534.22295841722166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24.102775124184348</v>
      </c>
      <c r="AA181" s="21">
        <f>EXP(-LN(2)/25)*AA180+(1-EXP(-LN(2)/25))/(LN(2)/25)*Calculateur!V181*Calculateur!X181*VLOOKUP('Données projet'!$B$9,Paramètres!$A$1:$I$89,3,0)*0.475*44/12</f>
        <v>2.3616562608102489</v>
      </c>
      <c r="AB181" s="21">
        <f>EXP(-LN(2)/2)*AB180+(1-EXP(-LN(2)/2))/(LN(2)/2)*V181*Y181*VLOOKUP('Données projet'!$B$9,Paramètres!$A$1:$I$89,3,0)*0.475*44/12</f>
        <v>9.1128201729782847E-18</v>
      </c>
      <c r="AC181" s="22">
        <f t="shared" si="163"/>
        <v>26.464431384994597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-7.9808160080574461E-14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331.17634116262298</v>
      </c>
      <c r="AO181" s="59">
        <f t="shared" si="144"/>
        <v>286.28916368940605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35.058571918799295</v>
      </c>
      <c r="AV181" s="21">
        <f>EXP(-LN(2)/25)*AV180+(1-EXP(-LN(2)/25))/(LN(2)/25)*Calculateur!AQ181*Calculateur!AS181*VLOOKUP('Données projet'!$B$10,Paramètres!$A$1:$I$89,3,0)*0.475*44/12</f>
        <v>6.7632956264361495</v>
      </c>
      <c r="AW181" s="21">
        <f>EXP(-LN(2)/2)*AW180+(1-EXP(-LN(2)/2))/(LN(2)/2)*AQ181*AT181*VLOOKUP('Données projet'!$B$10,Paramètres!$A$1:$I$89,3,0)*0.475*44/12</f>
        <v>4.5147243686185582E-11</v>
      </c>
      <c r="AX181" s="21">
        <f t="shared" si="166"/>
        <v>41.82186754528059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1.4210854715202004E-13</v>
      </c>
      <c r="BE181" s="13">
        <f>BD181*VLOOKUP('Données projet'!$B$11,Paramètres!$A$1:$I$89,3,0)*VLOOKUP('Données projet'!$B$11,Paramètres!$A$1:$I$89,5,0)</f>
        <v>7.7591266745002952E-14</v>
      </c>
      <c r="BF181" s="13">
        <f t="shared" si="167"/>
        <v>1.2005788606873384E-12</v>
      </c>
      <c r="BG181" s="20">
        <f t="shared" si="168"/>
        <v>2.226146305277994E-12</v>
      </c>
      <c r="BH181" s="59">
        <f t="shared" si="116"/>
        <v>293.33333333333553</v>
      </c>
      <c r="BI181" s="59">
        <f ca="1">AVERAGE(OFFSET($BH$3,0,0,'Données projet'!$E$11+1,1))-AVERAGE(OFFSET($H$3,0,0,'Données projet'!$E$11+1,1))</f>
        <v>165.87377022031535</v>
      </c>
      <c r="BJ181" s="59">
        <f t="shared" si="146"/>
        <v>272.91122662088929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7.3107277894906311</v>
      </c>
      <c r="BQ181" s="21">
        <f>EXP(-LN(2)/25)*BQ180+(1-EXP(-LN(2)/25))/(LN(2)/25)*Calculateur!BL181*Calculateur!BN181*VLOOKUP('Données projet'!$B$11,Paramètres!$A$1:$I$89,3,0)*0.475*44/12</f>
        <v>0.84094277928426109</v>
      </c>
      <c r="BR181" s="21">
        <f>EXP(-LN(2)/2)*BR180+(1-EXP(-LN(2)/2))/(LN(2)/2)*BL181*BO181*VLOOKUP('Données projet'!$B$11,Paramètres!$A$1:$I$89,3,0)*0.475*44/12</f>
        <v>4.3647998905493236E-20</v>
      </c>
      <c r="BS181" s="22">
        <f t="shared" si="169"/>
        <v>8.1516705687748914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4.5474735088646412E-13</v>
      </c>
      <c r="BZ181" s="13">
        <f>BY181*VLOOKUP('Données projet'!$B$12,Paramètres!$A$1:$I$89,3,0)*VLOOKUP('Données projet'!$B$12,Paramètres!$A$1:$I$89,5,0)</f>
        <v>4.1145540308207271E-13</v>
      </c>
      <c r="CA181" s="13">
        <f t="shared" si="170"/>
        <v>5.2428527960910789E-12</v>
      </c>
      <c r="CB181" s="20">
        <f t="shared" si="171"/>
        <v>9.8479201135599071E-12</v>
      </c>
      <c r="CC181" s="59">
        <f t="shared" si="119"/>
        <v>293.33333333334315</v>
      </c>
      <c r="CD181" s="59">
        <f ca="1">AVERAGE(OFFSET($CC$3,0,0,'Données projet'!$E$12+1,1))-AVERAGE(OFFSET($H$3,0,0,'Données projet'!$E$12+1,1))</f>
        <v>639.86968831634636</v>
      </c>
      <c r="CE181" s="59">
        <f t="shared" si="148"/>
        <v>218.1556771431184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148.48235796398382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148.48235796398382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9.9316821433603781E-14</v>
      </c>
      <c r="CV181" s="13">
        <f t="shared" si="173"/>
        <v>1.4932118279712753E-12</v>
      </c>
      <c r="CW181" s="20">
        <f t="shared" si="174"/>
        <v>2.7736540643801645E-12</v>
      </c>
      <c r="CX181" s="59">
        <f t="shared" si="122"/>
        <v>293.3333333333361</v>
      </c>
      <c r="CY181" s="59">
        <f ca="1">AVERAGE(OFFSET($CX$3,0,0,'Données projet'!$E$13+1,1))-AVERAGE(OFFSET($H$3,0,0,'Données projet'!$E$13+1,1))</f>
        <v>218.76600554860482</v>
      </c>
      <c r="CZ181" s="59">
        <f t="shared" si="150"/>
        <v>264.34840059907702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5.4501472319742597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5.4501472319742597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-1.7053025658242404E-13</v>
      </c>
      <c r="DP181" s="17">
        <f>DO181*VLOOKUP('Données projet'!$B$14,Paramètres!$A$1:$I$89,3,0)*VLOOKUP('Données projet'!$B$14,Paramètres!$A$1:$I$89,5,0)</f>
        <v>-1.4631496014771985E-13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442.97490100035287</v>
      </c>
      <c r="DU181" s="59">
        <f t="shared" si="152"/>
        <v>334.36243356457049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37.701098968109193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37.701098968109193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5.6843418860808015E-14</v>
      </c>
      <c r="EK181" s="17">
        <f>EJ181*VLOOKUP('Données projet'!$B$15,Paramètres!$A$1:$I$89,3,0)*VLOOKUP('Données projet'!$B$15,Paramètres!$A$1:$I$89,5,0)</f>
        <v>4.4337866711430253E-14</v>
      </c>
      <c r="EL181" s="13">
        <f t="shared" si="179"/>
        <v>7.3222115536967035E-13</v>
      </c>
      <c r="EM181" s="20">
        <f t="shared" si="180"/>
        <v>1.3525069634579169E-12</v>
      </c>
      <c r="EN181" s="59">
        <f t="shared" si="128"/>
        <v>293.33333333333468</v>
      </c>
      <c r="EO181" s="59">
        <f ca="1">AVERAGE(OFFSET($EN$3,0,0,'Données projet'!$E$15+1,1))-AVERAGE(OFFSET($H$3,0,0,'Données projet'!$E$15+1,1))</f>
        <v>288.82868507674738</v>
      </c>
      <c r="EP181" s="59">
        <f t="shared" si="154"/>
        <v>283.48738729114024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9.5409860188147171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9.5409860188147171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328.55201074501201</v>
      </c>
      <c r="FK181" s="59">
        <f t="shared" si="156"/>
        <v>321.81422611044985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13.781333677397988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13.781333677397988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353.37024194969638</v>
      </c>
      <c r="GF181" s="59">
        <f t="shared" si="158"/>
        <v>345.4750813433123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18.43193712518887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18.43193712518887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1.2710188457276673E-13</v>
      </c>
      <c r="P182" s="13">
        <f t="shared" si="141"/>
        <v>1.856866851063998E-12</v>
      </c>
      <c r="Q182" s="20">
        <f t="shared" si="162"/>
        <v>3.4554122145673649E-12</v>
      </c>
      <c r="R182" s="59">
        <f t="shared" si="109"/>
        <v>293.33333333333678</v>
      </c>
      <c r="S182" s="59">
        <f ca="1">AVERAGE(OFFSET($R$3,0,0,'Données projet'!$E$9+1,1))-AVERAGE(OFFSET($H$3,0,0,'Données projet'!$E$9+1,1))</f>
        <v>404.65492118472037</v>
      </c>
      <c r="T182" s="59">
        <f t="shared" si="142"/>
        <v>534.22295841722166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23.630134405240291</v>
      </c>
      <c r="AA182" s="21">
        <f>EXP(-LN(2)/25)*AA181+(1-EXP(-LN(2)/25))/(LN(2)/25)*Calculateur!V182*Calculateur!X182*VLOOKUP('Données projet'!$B$9,Paramètres!$A$1:$I$89,3,0)*0.475*44/12</f>
        <v>2.2970766461642875</v>
      </c>
      <c r="AB182" s="21">
        <f>EXP(-LN(2)/2)*AB181+(1-EXP(-LN(2)/2))/(LN(2)/2)*V182*Y182*VLOOKUP('Données projet'!$B$9,Paramètres!$A$1:$I$89,3,0)*0.475*44/12</f>
        <v>6.4437369400465122E-18</v>
      </c>
      <c r="AC182" s="22">
        <f t="shared" si="163"/>
        <v>25.92721105140458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-7.9808160080574461E-14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331.17634116262298</v>
      </c>
      <c r="AO182" s="59">
        <f t="shared" si="144"/>
        <v>286.28916368940605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34.371094707089057</v>
      </c>
      <c r="AV182" s="21">
        <f>EXP(-LN(2)/25)*AV181+(1-EXP(-LN(2)/25))/(LN(2)/25)*Calculateur!AQ182*Calculateur!AS182*VLOOKUP('Données projet'!$B$10,Paramètres!$A$1:$I$89,3,0)*0.475*44/12</f>
        <v>6.5783529518649937</v>
      </c>
      <c r="AW182" s="21">
        <f>EXP(-LN(2)/2)*AW181+(1-EXP(-LN(2)/2))/(LN(2)/2)*AQ182*AT182*VLOOKUP('Données projet'!$B$10,Paramètres!$A$1:$I$89,3,0)*0.475*44/12</f>
        <v>3.1923922162383368E-11</v>
      </c>
      <c r="AX182" s="21">
        <f t="shared" si="166"/>
        <v>40.949447658985974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1.4210854715202004E-13</v>
      </c>
      <c r="BE182" s="13">
        <f>BD182*VLOOKUP('Données projet'!$B$11,Paramètres!$A$1:$I$89,3,0)*VLOOKUP('Données projet'!$B$11,Paramètres!$A$1:$I$89,5,0)</f>
        <v>7.7591266745002952E-14</v>
      </c>
      <c r="BF182" s="13">
        <f t="shared" si="167"/>
        <v>1.2005788606873384E-12</v>
      </c>
      <c r="BG182" s="20">
        <f t="shared" si="168"/>
        <v>2.226146305277994E-12</v>
      </c>
      <c r="BH182" s="59">
        <f t="shared" si="116"/>
        <v>293.33333333333553</v>
      </c>
      <c r="BI182" s="59">
        <f ca="1">AVERAGE(OFFSET($BH$3,0,0,'Données projet'!$E$11+1,1))-AVERAGE(OFFSET($H$3,0,0,'Données projet'!$E$11+1,1))</f>
        <v>165.87377022031535</v>
      </c>
      <c r="BJ182" s="59">
        <f t="shared" si="146"/>
        <v>272.91122662088929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7.1673688766423718</v>
      </c>
      <c r="BQ182" s="21">
        <f>EXP(-LN(2)/25)*BQ181+(1-EXP(-LN(2)/25))/(LN(2)/25)*Calculateur!BL182*Calculateur!BN182*VLOOKUP('Données projet'!$B$11,Paramètres!$A$1:$I$89,3,0)*0.475*44/12</f>
        <v>0.81794715476147417</v>
      </c>
      <c r="BR182" s="21">
        <f>EXP(-LN(2)/2)*BR181+(1-EXP(-LN(2)/2))/(LN(2)/2)*BL182*BO182*VLOOKUP('Données projet'!$B$11,Paramètres!$A$1:$I$89,3,0)*0.475*44/12</f>
        <v>3.0863796011297271E-20</v>
      </c>
      <c r="BS182" s="22">
        <f t="shared" si="169"/>
        <v>7.9853160314038458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4.5474735088646412E-13</v>
      </c>
      <c r="BZ182" s="13">
        <f>BY182*VLOOKUP('Données projet'!$B$12,Paramètres!$A$1:$I$89,3,0)*VLOOKUP('Données projet'!$B$12,Paramètres!$A$1:$I$89,5,0)</f>
        <v>4.1145540308207271E-13</v>
      </c>
      <c r="CA182" s="13">
        <f t="shared" si="170"/>
        <v>5.2428527960910789E-12</v>
      </c>
      <c r="CB182" s="20">
        <f t="shared" si="171"/>
        <v>9.8479201135599071E-12</v>
      </c>
      <c r="CC182" s="59">
        <f t="shared" si="119"/>
        <v>293.33333333334315</v>
      </c>
      <c r="CD182" s="59">
        <f ca="1">AVERAGE(OFFSET($CC$3,0,0,'Données projet'!$E$12+1,1))-AVERAGE(OFFSET($H$3,0,0,'Données projet'!$E$12+1,1))</f>
        <v>639.86968831634636</v>
      </c>
      <c r="CE182" s="59">
        <f t="shared" si="148"/>
        <v>218.1556771431184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145.57070948960586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145.57070948960586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9.9316821433603781E-14</v>
      </c>
      <c r="CV182" s="13">
        <f t="shared" si="173"/>
        <v>1.4932118279712753E-12</v>
      </c>
      <c r="CW182" s="20">
        <f t="shared" si="174"/>
        <v>2.7736540643801645E-12</v>
      </c>
      <c r="CX182" s="59">
        <f t="shared" si="122"/>
        <v>293.3333333333361</v>
      </c>
      <c r="CY182" s="59">
        <f ca="1">AVERAGE(OFFSET($CX$3,0,0,'Données projet'!$E$13+1,1))-AVERAGE(OFFSET($H$3,0,0,'Données projet'!$E$13+1,1))</f>
        <v>218.76600554860482</v>
      </c>
      <c r="CZ182" s="59">
        <f t="shared" si="150"/>
        <v>264.34840059907702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5.343273169016812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5.343273169016812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-1.7053025658242404E-13</v>
      </c>
      <c r="DP182" s="17">
        <f>DO182*VLOOKUP('Données projet'!$B$14,Paramètres!$A$1:$I$89,3,0)*VLOOKUP('Données projet'!$B$14,Paramètres!$A$1:$I$89,5,0)</f>
        <v>-1.4631496014771985E-13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442.97490100035287</v>
      </c>
      <c r="DU182" s="59">
        <f t="shared" si="152"/>
        <v>334.36243356457049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36.961803412744338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36.961803412744338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5.6843418860808015E-14</v>
      </c>
      <c r="EK182" s="17">
        <f>EJ182*VLOOKUP('Données projet'!$B$15,Paramètres!$A$1:$I$89,3,0)*VLOOKUP('Données projet'!$B$15,Paramètres!$A$1:$I$89,5,0)</f>
        <v>4.4337866711430253E-14</v>
      </c>
      <c r="EL182" s="13">
        <f t="shared" si="179"/>
        <v>7.3222115536967035E-13</v>
      </c>
      <c r="EM182" s="20">
        <f t="shared" si="180"/>
        <v>1.3525069634579169E-12</v>
      </c>
      <c r="EN182" s="59">
        <f t="shared" si="128"/>
        <v>293.33333333333468</v>
      </c>
      <c r="EO182" s="59">
        <f ca="1">AVERAGE(OFFSET($EN$3,0,0,'Données projet'!$E$15+1,1))-AVERAGE(OFFSET($H$3,0,0,'Données projet'!$E$15+1,1))</f>
        <v>288.82868507674738</v>
      </c>
      <c r="EP182" s="59">
        <f t="shared" si="154"/>
        <v>283.48738729114024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9.3538931024126111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9.3538931024126111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328.55201074501201</v>
      </c>
      <c r="FK182" s="59">
        <f t="shared" si="156"/>
        <v>321.81422611044985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13.511090129767755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13.511090129767755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353.37024194969638</v>
      </c>
      <c r="GF182" s="59">
        <f t="shared" si="158"/>
        <v>345.4750813433123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18.070498080535472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18.070498080535472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1.2710188457276673E-13</v>
      </c>
      <c r="P183" s="13">
        <f t="shared" si="141"/>
        <v>1.856866851063998E-12</v>
      </c>
      <c r="Q183" s="20">
        <f t="shared" si="162"/>
        <v>3.4554122145673649E-12</v>
      </c>
      <c r="R183" s="59">
        <f t="shared" si="109"/>
        <v>293.33333333333678</v>
      </c>
      <c r="S183" s="59">
        <f ca="1">AVERAGE(OFFSET($R$3,0,0,'Données projet'!$E$9+1,1))-AVERAGE(OFFSET($H$3,0,0,'Données projet'!$E$9+1,1))</f>
        <v>404.65492118472037</v>
      </c>
      <c r="T183" s="59">
        <f t="shared" si="142"/>
        <v>534.22295841722166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23.166761882512354</v>
      </c>
      <c r="AA183" s="21">
        <f>EXP(-LN(2)/25)*AA182+(1-EXP(-LN(2)/25))/(LN(2)/25)*Calculateur!V183*Calculateur!X183*VLOOKUP('Données projet'!$B$9,Paramètres!$A$1:$I$89,3,0)*0.475*44/12</f>
        <v>2.2342629644769141</v>
      </c>
      <c r="AB183" s="21">
        <f>EXP(-LN(2)/2)*AB182+(1-EXP(-LN(2)/2))/(LN(2)/2)*V183*Y183*VLOOKUP('Données projet'!$B$9,Paramètres!$A$1:$I$89,3,0)*0.475*44/12</f>
        <v>4.5564100864891423E-18</v>
      </c>
      <c r="AC183" s="22">
        <f t="shared" si="163"/>
        <v>25.401024846989269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-7.9808160080574461E-14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331.17634116262298</v>
      </c>
      <c r="AO183" s="59">
        <f t="shared" si="144"/>
        <v>286.28916368940605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33.697098504180758</v>
      </c>
      <c r="AV183" s="21">
        <f>EXP(-LN(2)/25)*AV182+(1-EXP(-LN(2)/25))/(LN(2)/25)*Calculateur!AQ183*Calculateur!AS183*VLOOKUP('Données projet'!$B$10,Paramètres!$A$1:$I$89,3,0)*0.475*44/12</f>
        <v>6.3984675444556984</v>
      </c>
      <c r="AW183" s="21">
        <f>EXP(-LN(2)/2)*AW182+(1-EXP(-LN(2)/2))/(LN(2)/2)*AQ183*AT183*VLOOKUP('Données projet'!$B$10,Paramètres!$A$1:$I$89,3,0)*0.475*44/12</f>
        <v>2.2573621843092791E-11</v>
      </c>
      <c r="AX183" s="21">
        <f t="shared" si="166"/>
        <v>40.09556604865903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1.4210854715202004E-13</v>
      </c>
      <c r="BE183" s="13">
        <f>BD183*VLOOKUP('Données projet'!$B$11,Paramètres!$A$1:$I$89,3,0)*VLOOKUP('Données projet'!$B$11,Paramètres!$A$1:$I$89,5,0)</f>
        <v>7.7591266745002952E-14</v>
      </c>
      <c r="BF183" s="13">
        <f t="shared" si="167"/>
        <v>1.2005788606873384E-12</v>
      </c>
      <c r="BG183" s="20">
        <f t="shared" si="168"/>
        <v>2.226146305277994E-12</v>
      </c>
      <c r="BH183" s="59">
        <f t="shared" si="116"/>
        <v>293.33333333333553</v>
      </c>
      <c r="BI183" s="59">
        <f ca="1">AVERAGE(OFFSET($BH$3,0,0,'Données projet'!$E$11+1,1))-AVERAGE(OFFSET($H$3,0,0,'Données projet'!$E$11+1,1))</f>
        <v>165.87377022031535</v>
      </c>
      <c r="BJ183" s="59">
        <f t="shared" si="146"/>
        <v>272.91122662088929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7.0268211446347637</v>
      </c>
      <c r="BQ183" s="21">
        <f>EXP(-LN(2)/25)*BQ182+(1-EXP(-LN(2)/25))/(LN(2)/25)*Calculateur!BL183*Calculateur!BN183*VLOOKUP('Données projet'!$B$11,Paramètres!$A$1:$I$89,3,0)*0.475*44/12</f>
        <v>0.79558034680055023</v>
      </c>
      <c r="BR183" s="21">
        <f>EXP(-LN(2)/2)*BR182+(1-EXP(-LN(2)/2))/(LN(2)/2)*BL183*BO183*VLOOKUP('Données projet'!$B$11,Paramètres!$A$1:$I$89,3,0)*0.475*44/12</f>
        <v>2.1823999452746618E-20</v>
      </c>
      <c r="BS183" s="22">
        <f t="shared" si="169"/>
        <v>7.8224014914353139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4.5474735088646412E-13</v>
      </c>
      <c r="BZ183" s="13">
        <f>BY183*VLOOKUP('Données projet'!$B$12,Paramètres!$A$1:$I$89,3,0)*VLOOKUP('Données projet'!$B$12,Paramètres!$A$1:$I$89,5,0)</f>
        <v>4.1145540308207271E-13</v>
      </c>
      <c r="CA183" s="13">
        <f t="shared" si="170"/>
        <v>5.2428527960910789E-12</v>
      </c>
      <c r="CB183" s="20">
        <f t="shared" si="171"/>
        <v>9.8479201135599071E-12</v>
      </c>
      <c r="CC183" s="59">
        <f t="shared" si="119"/>
        <v>293.33333333334315</v>
      </c>
      <c r="CD183" s="59">
        <f ca="1">AVERAGE(OFFSET($CC$3,0,0,'Données projet'!$E$12+1,1))-AVERAGE(OFFSET($H$3,0,0,'Données projet'!$E$12+1,1))</f>
        <v>639.86968831634636</v>
      </c>
      <c r="CE183" s="59">
        <f t="shared" si="148"/>
        <v>218.1556771431184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142.71615666588025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142.71615666588025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9.9316821433603781E-14</v>
      </c>
      <c r="CV183" s="13">
        <f t="shared" si="173"/>
        <v>1.4932118279712753E-12</v>
      </c>
      <c r="CW183" s="20">
        <f t="shared" si="174"/>
        <v>2.7736540643801645E-12</v>
      </c>
      <c r="CX183" s="59">
        <f t="shared" si="122"/>
        <v>293.3333333333361</v>
      </c>
      <c r="CY183" s="59">
        <f ca="1">AVERAGE(OFFSET($CX$3,0,0,'Données projet'!$E$13+1,1))-AVERAGE(OFFSET($H$3,0,0,'Données projet'!$E$13+1,1))</f>
        <v>218.76600554860482</v>
      </c>
      <c r="CZ183" s="59">
        <f t="shared" si="150"/>
        <v>264.34840059907702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5.2384948412472188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5.2384948412472188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-1.7053025658242404E-13</v>
      </c>
      <c r="DP183" s="17">
        <f>DO183*VLOOKUP('Données projet'!$B$14,Paramètres!$A$1:$I$89,3,0)*VLOOKUP('Données projet'!$B$14,Paramètres!$A$1:$I$89,5,0)</f>
        <v>-1.4631496014771985E-13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442.97490100035287</v>
      </c>
      <c r="DU183" s="59">
        <f t="shared" si="152"/>
        <v>334.36243356457049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36.237004992294423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36.237004992294423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5.6843418860808015E-14</v>
      </c>
      <c r="EK183" s="17">
        <f>EJ183*VLOOKUP('Données projet'!$B$15,Paramètres!$A$1:$I$89,3,0)*VLOOKUP('Données projet'!$B$15,Paramètres!$A$1:$I$89,5,0)</f>
        <v>4.4337866711430253E-14</v>
      </c>
      <c r="EL183" s="13">
        <f t="shared" si="179"/>
        <v>7.3222115536967035E-13</v>
      </c>
      <c r="EM183" s="20">
        <f t="shared" si="180"/>
        <v>1.3525069634579169E-12</v>
      </c>
      <c r="EN183" s="59">
        <f t="shared" si="128"/>
        <v>293.33333333333468</v>
      </c>
      <c r="EO183" s="59">
        <f ca="1">AVERAGE(OFFSET($EN$3,0,0,'Données projet'!$E$15+1,1))-AVERAGE(OFFSET($H$3,0,0,'Données projet'!$E$15+1,1))</f>
        <v>288.82868507674738</v>
      </c>
      <c r="EP183" s="59">
        <f t="shared" si="154"/>
        <v>283.48738729114024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9.1704689639857389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9.1704689639857389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328.55201074501201</v>
      </c>
      <c r="FK183" s="59">
        <f t="shared" si="156"/>
        <v>321.81422611044985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13.246145893274262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13.246145893274262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353.37024194969638</v>
      </c>
      <c r="GF183" s="59">
        <f t="shared" si="158"/>
        <v>345.4750813433123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17.716146635091675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17.716146635091675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1.2710188457276673E-13</v>
      </c>
      <c r="P184" s="13">
        <f t="shared" si="141"/>
        <v>1.856866851063998E-12</v>
      </c>
      <c r="Q184" s="20">
        <f t="shared" si="162"/>
        <v>3.4554122145673649E-12</v>
      </c>
      <c r="R184" s="59">
        <f t="shared" si="109"/>
        <v>293.33333333333678</v>
      </c>
      <c r="S184" s="59">
        <f ca="1">AVERAGE(OFFSET($R$3,0,0,'Données projet'!$E$9+1,1))-AVERAGE(OFFSET($H$3,0,0,'Données projet'!$E$9+1,1))</f>
        <v>404.65492118472037</v>
      </c>
      <c r="T184" s="59">
        <f t="shared" si="142"/>
        <v>534.22295841722166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22.712475812325781</v>
      </c>
      <c r="AA184" s="21">
        <f>EXP(-LN(2)/25)*AA183+(1-EXP(-LN(2)/25))/(LN(2)/25)*Calculateur!V184*Calculateur!X184*VLOOKUP('Données projet'!$B$9,Paramètres!$A$1:$I$89,3,0)*0.475*44/12</f>
        <v>2.17316692621851</v>
      </c>
      <c r="AB184" s="21">
        <f>EXP(-LN(2)/2)*AB183+(1-EXP(-LN(2)/2))/(LN(2)/2)*V184*Y184*VLOOKUP('Données projet'!$B$9,Paramètres!$A$1:$I$89,3,0)*0.475*44/12</f>
        <v>3.2218684700232561E-18</v>
      </c>
      <c r="AC184" s="22">
        <f t="shared" si="163"/>
        <v>24.885642738544291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-7.9808160080574461E-14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331.17634116262298</v>
      </c>
      <c r="AO184" s="59">
        <f t="shared" si="144"/>
        <v>286.28916368940605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33.0363189557144</v>
      </c>
      <c r="AV184" s="21">
        <f>EXP(-LN(2)/25)*AV183+(1-EXP(-LN(2)/25))/(LN(2)/25)*Calculateur!AQ184*Calculateur!AS184*VLOOKUP('Données projet'!$B$10,Paramètres!$A$1:$I$89,3,0)*0.475*44/12</f>
        <v>6.223501112971773</v>
      </c>
      <c r="AW184" s="21">
        <f>EXP(-LN(2)/2)*AW183+(1-EXP(-LN(2)/2))/(LN(2)/2)*AQ184*AT184*VLOOKUP('Données projet'!$B$10,Paramètres!$A$1:$I$89,3,0)*0.475*44/12</f>
        <v>1.5961961081191684E-11</v>
      </c>
      <c r="AX184" s="21">
        <f t="shared" si="166"/>
        <v>39.259820068702133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1.4210854715202004E-13</v>
      </c>
      <c r="BE184" s="13">
        <f>BD184*VLOOKUP('Données projet'!$B$11,Paramètres!$A$1:$I$89,3,0)*VLOOKUP('Données projet'!$B$11,Paramètres!$A$1:$I$89,5,0)</f>
        <v>7.7591266745002952E-14</v>
      </c>
      <c r="BF184" s="13">
        <f t="shared" si="167"/>
        <v>1.2005788606873384E-12</v>
      </c>
      <c r="BG184" s="20">
        <f t="shared" si="168"/>
        <v>2.226146305277994E-12</v>
      </c>
      <c r="BH184" s="59">
        <f t="shared" si="116"/>
        <v>293.33333333333553</v>
      </c>
      <c r="BI184" s="59">
        <f ca="1">AVERAGE(OFFSET($BH$3,0,0,'Données projet'!$E$11+1,1))-AVERAGE(OFFSET($H$3,0,0,'Données projet'!$E$11+1,1))</f>
        <v>165.87377022031535</v>
      </c>
      <c r="BJ184" s="59">
        <f t="shared" si="146"/>
        <v>272.91122662088929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6.8890294679261732</v>
      </c>
      <c r="BQ184" s="21">
        <f>EXP(-LN(2)/25)*BQ183+(1-EXP(-LN(2)/25))/(LN(2)/25)*Calculateur!BL184*Calculateur!BN184*VLOOKUP('Données projet'!$B$11,Paramètres!$A$1:$I$89,3,0)*0.475*44/12</f>
        <v>0.77382516037953708</v>
      </c>
      <c r="BR184" s="21">
        <f>EXP(-LN(2)/2)*BR183+(1-EXP(-LN(2)/2))/(LN(2)/2)*BL184*BO184*VLOOKUP('Données projet'!$B$11,Paramètres!$A$1:$I$89,3,0)*0.475*44/12</f>
        <v>1.5431898005648635E-20</v>
      </c>
      <c r="BS184" s="22">
        <f t="shared" si="169"/>
        <v>7.66285462830571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4.5474735088646412E-13</v>
      </c>
      <c r="BZ184" s="13">
        <f>BY184*VLOOKUP('Données projet'!$B$12,Paramètres!$A$1:$I$89,3,0)*VLOOKUP('Données projet'!$B$12,Paramètres!$A$1:$I$89,5,0)</f>
        <v>4.1145540308207271E-13</v>
      </c>
      <c r="CA184" s="13">
        <f t="shared" si="170"/>
        <v>5.2428527960910789E-12</v>
      </c>
      <c r="CB184" s="20">
        <f t="shared" si="171"/>
        <v>9.8479201135599071E-12</v>
      </c>
      <c r="CC184" s="59">
        <f t="shared" si="119"/>
        <v>293.33333333334315</v>
      </c>
      <c r="CD184" s="59">
        <f ca="1">AVERAGE(OFFSET($CC$3,0,0,'Données projet'!$E$12+1,1))-AVERAGE(OFFSET($H$3,0,0,'Données projet'!$E$12+1,1))</f>
        <v>639.86968831634636</v>
      </c>
      <c r="CE184" s="59">
        <f t="shared" si="148"/>
        <v>218.1556771431184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139.91757988192259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139.91757988192259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9.9316821433603781E-14</v>
      </c>
      <c r="CV184" s="13">
        <f t="shared" si="173"/>
        <v>1.4932118279712753E-12</v>
      </c>
      <c r="CW184" s="20">
        <f t="shared" si="174"/>
        <v>2.7736540643801645E-12</v>
      </c>
      <c r="CX184" s="59">
        <f t="shared" si="122"/>
        <v>293.3333333333361</v>
      </c>
      <c r="CY184" s="59">
        <f ca="1">AVERAGE(OFFSET($CX$3,0,0,'Données projet'!$E$13+1,1))-AVERAGE(OFFSET($H$3,0,0,'Données projet'!$E$13+1,1))</f>
        <v>218.76600554860482</v>
      </c>
      <c r="CZ184" s="59">
        <f t="shared" si="150"/>
        <v>264.34840059907702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5.1357711525767176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5.1357711525767176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-1.7053025658242404E-13</v>
      </c>
      <c r="DP184" s="17">
        <f>DO184*VLOOKUP('Données projet'!$B$14,Paramètres!$A$1:$I$89,3,0)*VLOOKUP('Données projet'!$B$14,Paramètres!$A$1:$I$89,5,0)</f>
        <v>-1.4631496014771985E-13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442.97490100035287</v>
      </c>
      <c r="DU184" s="59">
        <f t="shared" si="152"/>
        <v>334.36243356457049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35.526419426786148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35.526419426786148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5.6843418860808015E-14</v>
      </c>
      <c r="EK184" s="17">
        <f>EJ184*VLOOKUP('Données projet'!$B$15,Paramètres!$A$1:$I$89,3,0)*VLOOKUP('Données projet'!$B$15,Paramètres!$A$1:$I$89,5,0)</f>
        <v>4.4337866711430253E-14</v>
      </c>
      <c r="EL184" s="13">
        <f t="shared" si="179"/>
        <v>7.3222115536967035E-13</v>
      </c>
      <c r="EM184" s="20">
        <f t="shared" si="180"/>
        <v>1.3525069634579169E-12</v>
      </c>
      <c r="EN184" s="59">
        <f t="shared" si="128"/>
        <v>293.33333333333468</v>
      </c>
      <c r="EO184" s="59">
        <f ca="1">AVERAGE(OFFSET($EN$3,0,0,'Données projet'!$E$15+1,1))-AVERAGE(OFFSET($H$3,0,0,'Données projet'!$E$15+1,1))</f>
        <v>288.82868507674738</v>
      </c>
      <c r="EP184" s="59">
        <f t="shared" si="154"/>
        <v>283.48738729114024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8.99064166103574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8.99064166103574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328.55201074501201</v>
      </c>
      <c r="FK184" s="59">
        <f t="shared" si="156"/>
        <v>321.81422611044985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12.986397051658379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12.986397051658379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353.37024194969638</v>
      </c>
      <c r="GF184" s="59">
        <f t="shared" si="158"/>
        <v>345.4750813433123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17.368743805359994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17.368743805359994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1.2710188457276673E-13</v>
      </c>
      <c r="P185" s="13">
        <f t="shared" si="141"/>
        <v>1.856866851063998E-12</v>
      </c>
      <c r="Q185" s="20">
        <f t="shared" si="162"/>
        <v>3.4554122145673649E-12</v>
      </c>
      <c r="R185" s="59">
        <f t="shared" si="109"/>
        <v>293.33333333333678</v>
      </c>
      <c r="S185" s="59">
        <f ca="1">AVERAGE(OFFSET($R$3,0,0,'Données projet'!$E$9+1,1))-AVERAGE(OFFSET($H$3,0,0,'Données projet'!$E$9+1,1))</f>
        <v>404.65492118472037</v>
      </c>
      <c r="T185" s="59">
        <f t="shared" si="142"/>
        <v>534.22295841722166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22.267098014888425</v>
      </c>
      <c r="AA185" s="21">
        <f>EXP(-LN(2)/25)*AA184+(1-EXP(-LN(2)/25))/(LN(2)/25)*Calculateur!V185*Calculateur!X185*VLOOKUP('Données projet'!$B$9,Paramètres!$A$1:$I$89,3,0)*0.475*44/12</f>
        <v>2.1137415623391829</v>
      </c>
      <c r="AB185" s="21">
        <f>EXP(-LN(2)/2)*AB184+(1-EXP(-LN(2)/2))/(LN(2)/2)*V185*Y185*VLOOKUP('Données projet'!$B$9,Paramètres!$A$1:$I$89,3,0)*0.475*44/12</f>
        <v>2.2782050432445712E-18</v>
      </c>
      <c r="AC185" s="22">
        <f t="shared" si="163"/>
        <v>24.380839577227608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-7.9808160080574461E-14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331.17634116262298</v>
      </c>
      <c r="AO185" s="59">
        <f t="shared" si="144"/>
        <v>286.28916368940605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32.388496891157743</v>
      </c>
      <c r="AV185" s="21">
        <f>EXP(-LN(2)/25)*AV184+(1-EXP(-LN(2)/25))/(LN(2)/25)*Calculateur!AQ185*Calculateur!AS185*VLOOKUP('Données projet'!$B$10,Paramètres!$A$1:$I$89,3,0)*0.475*44/12</f>
        <v>6.0533191477578603</v>
      </c>
      <c r="AW185" s="21">
        <f>EXP(-LN(2)/2)*AW184+(1-EXP(-LN(2)/2))/(LN(2)/2)*AQ185*AT185*VLOOKUP('Données projet'!$B$10,Paramètres!$A$1:$I$89,3,0)*0.475*44/12</f>
        <v>1.1286810921546396E-11</v>
      </c>
      <c r="AX185" s="21">
        <f t="shared" si="166"/>
        <v>38.441816038926888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1.4210854715202004E-13</v>
      </c>
      <c r="BE185" s="13">
        <f>BD185*VLOOKUP('Données projet'!$B$11,Paramètres!$A$1:$I$89,3,0)*VLOOKUP('Données projet'!$B$11,Paramètres!$A$1:$I$89,5,0)</f>
        <v>7.7591266745002952E-14</v>
      </c>
      <c r="BF185" s="13">
        <f t="shared" si="167"/>
        <v>1.2005788606873384E-12</v>
      </c>
      <c r="BG185" s="20">
        <f t="shared" si="168"/>
        <v>2.226146305277994E-12</v>
      </c>
      <c r="BH185" s="59">
        <f t="shared" si="116"/>
        <v>293.33333333333553</v>
      </c>
      <c r="BI185" s="59">
        <f ca="1">AVERAGE(OFFSET($BH$3,0,0,'Données projet'!$E$11+1,1))-AVERAGE(OFFSET($H$3,0,0,'Données projet'!$E$11+1,1))</f>
        <v>165.87377022031535</v>
      </c>
      <c r="BJ185" s="59">
        <f t="shared" si="146"/>
        <v>272.91122662088929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6.753939801953214</v>
      </c>
      <c r="BQ185" s="21">
        <f>EXP(-LN(2)/25)*BQ184+(1-EXP(-LN(2)/25))/(LN(2)/25)*Calculateur!BL185*Calculateur!BN185*VLOOKUP('Données projet'!$B$11,Paramètres!$A$1:$I$89,3,0)*0.475*44/12</f>
        <v>0.75266487067526211</v>
      </c>
      <c r="BR185" s="21">
        <f>EXP(-LN(2)/2)*BR184+(1-EXP(-LN(2)/2))/(LN(2)/2)*BL185*BO185*VLOOKUP('Données projet'!$B$11,Paramètres!$A$1:$I$89,3,0)*0.475*44/12</f>
        <v>1.0911999726373309E-20</v>
      </c>
      <c r="BS185" s="22">
        <f t="shared" si="169"/>
        <v>7.5066046726284759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4.5474735088646412E-13</v>
      </c>
      <c r="BZ185" s="13">
        <f>BY185*VLOOKUP('Données projet'!$B$12,Paramètres!$A$1:$I$89,3,0)*VLOOKUP('Données projet'!$B$12,Paramètres!$A$1:$I$89,5,0)</f>
        <v>4.1145540308207271E-13</v>
      </c>
      <c r="CA185" s="13">
        <f t="shared" si="170"/>
        <v>5.2428527960910789E-12</v>
      </c>
      <c r="CB185" s="20">
        <f t="shared" si="171"/>
        <v>9.8479201135599071E-12</v>
      </c>
      <c r="CC185" s="59">
        <f t="shared" si="119"/>
        <v>293.33333333334315</v>
      </c>
      <c r="CD185" s="59">
        <f ca="1">AVERAGE(OFFSET($CC$3,0,0,'Données projet'!$E$12+1,1))-AVERAGE(OFFSET($H$3,0,0,'Données projet'!$E$12+1,1))</f>
        <v>639.86968831634636</v>
      </c>
      <c r="CE185" s="59">
        <f t="shared" si="148"/>
        <v>218.1556771431184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137.17388148173507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137.17388148173507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9.9316821433603781E-14</v>
      </c>
      <c r="CV185" s="13">
        <f t="shared" si="173"/>
        <v>1.4932118279712753E-12</v>
      </c>
      <c r="CW185" s="20">
        <f t="shared" si="174"/>
        <v>2.7736540643801645E-12</v>
      </c>
      <c r="CX185" s="59">
        <f t="shared" si="122"/>
        <v>293.3333333333361</v>
      </c>
      <c r="CY185" s="59">
        <f ca="1">AVERAGE(OFFSET($CX$3,0,0,'Données projet'!$E$13+1,1))-AVERAGE(OFFSET($H$3,0,0,'Données projet'!$E$13+1,1))</f>
        <v>218.76600554860482</v>
      </c>
      <c r="CZ185" s="59">
        <f t="shared" si="150"/>
        <v>264.34840059907702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5.0350618127857816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5.0350618127857816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-1.7053025658242404E-13</v>
      </c>
      <c r="DP185" s="17">
        <f>DO185*VLOOKUP('Données projet'!$B$14,Paramètres!$A$1:$I$89,3,0)*VLOOKUP('Données projet'!$B$14,Paramètres!$A$1:$I$89,5,0)</f>
        <v>-1.4631496014771985E-13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442.97490100035287</v>
      </c>
      <c r="DU185" s="59">
        <f t="shared" si="152"/>
        <v>334.36243356457049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34.829768010803086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34.829768010803086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5.6843418860808015E-14</v>
      </c>
      <c r="EK185" s="17">
        <f>EJ185*VLOOKUP('Données projet'!$B$15,Paramètres!$A$1:$I$89,3,0)*VLOOKUP('Données projet'!$B$15,Paramètres!$A$1:$I$89,5,0)</f>
        <v>4.4337866711430253E-14</v>
      </c>
      <c r="EL185" s="13">
        <f t="shared" si="179"/>
        <v>7.3222115536967035E-13</v>
      </c>
      <c r="EM185" s="20">
        <f t="shared" si="180"/>
        <v>1.3525069634579169E-12</v>
      </c>
      <c r="EN185" s="59">
        <f t="shared" si="128"/>
        <v>293.33333333333468</v>
      </c>
      <c r="EO185" s="59">
        <f ca="1">AVERAGE(OFFSET($EN$3,0,0,'Données projet'!$E$15+1,1))-AVERAGE(OFFSET($H$3,0,0,'Données projet'!$E$15+1,1))</f>
        <v>288.82868507674738</v>
      </c>
      <c r="EP185" s="59">
        <f t="shared" si="154"/>
        <v>283.48738729114024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8.8143406618127678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8.8143406618127678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328.55201074501201</v>
      </c>
      <c r="FK185" s="59">
        <f t="shared" si="156"/>
        <v>321.81422611044985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12.731741726395434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12.731741726395434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353.37024194969638</v>
      </c>
      <c r="GF185" s="59">
        <f t="shared" si="158"/>
        <v>345.4750813433123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17.028153333224548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17.028153333224548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1.2710188457276673E-13</v>
      </c>
      <c r="P186" s="13">
        <f t="shared" si="141"/>
        <v>1.856866851063998E-12</v>
      </c>
      <c r="Q186" s="20">
        <f t="shared" si="162"/>
        <v>3.4554122145673649E-12</v>
      </c>
      <c r="R186" s="59">
        <f t="shared" si="109"/>
        <v>293.33333333333678</v>
      </c>
      <c r="S186" s="59">
        <f ca="1">AVERAGE(OFFSET($R$3,0,0,'Données projet'!$E$9+1,1))-AVERAGE(OFFSET($H$3,0,0,'Données projet'!$E$9+1,1))</f>
        <v>404.65492118472037</v>
      </c>
      <c r="T186" s="59">
        <f t="shared" si="142"/>
        <v>534.22295841722166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21.830453804405181</v>
      </c>
      <c r="AA186" s="21">
        <f>EXP(-LN(2)/25)*AA185+(1-EXP(-LN(2)/25))/(LN(2)/25)*Calculateur!V186*Calculateur!X186*VLOOKUP('Données projet'!$B$9,Paramètres!$A$1:$I$89,3,0)*0.475*44/12</f>
        <v>2.0559411881601801</v>
      </c>
      <c r="AB186" s="21">
        <f>EXP(-LN(2)/2)*AB185+(1-EXP(-LN(2)/2))/(LN(2)/2)*V186*Y186*VLOOKUP('Données projet'!$B$9,Paramètres!$A$1:$I$89,3,0)*0.475*44/12</f>
        <v>1.610934235011628E-18</v>
      </c>
      <c r="AC186" s="22">
        <f t="shared" si="163"/>
        <v>23.886394992565361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-7.9808160080574461E-14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331.17634116262298</v>
      </c>
      <c r="AO186" s="59">
        <f t="shared" si="144"/>
        <v>286.28916368940605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31.753378222154595</v>
      </c>
      <c r="AV186" s="21">
        <f>EXP(-LN(2)/25)*AV185+(1-EXP(-LN(2)/25))/(LN(2)/25)*Calculateur!AQ186*Calculateur!AS186*VLOOKUP('Données projet'!$B$10,Paramètres!$A$1:$I$89,3,0)*0.475*44/12</f>
        <v>5.8877908173322027</v>
      </c>
      <c r="AW186" s="21">
        <f>EXP(-LN(2)/2)*AW185+(1-EXP(-LN(2)/2))/(LN(2)/2)*AQ186*AT186*VLOOKUP('Données projet'!$B$10,Paramètres!$A$1:$I$89,3,0)*0.475*44/12</f>
        <v>7.9809805405958419E-12</v>
      </c>
      <c r="AX186" s="21">
        <f t="shared" si="166"/>
        <v>37.641169039494777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1.4210854715202004E-13</v>
      </c>
      <c r="BE186" s="13">
        <f>BD186*VLOOKUP('Données projet'!$B$11,Paramètres!$A$1:$I$89,3,0)*VLOOKUP('Données projet'!$B$11,Paramètres!$A$1:$I$89,5,0)</f>
        <v>7.7591266745002952E-14</v>
      </c>
      <c r="BF186" s="13">
        <f t="shared" si="167"/>
        <v>1.2005788606873384E-12</v>
      </c>
      <c r="BG186" s="20">
        <f t="shared" si="168"/>
        <v>2.226146305277994E-12</v>
      </c>
      <c r="BH186" s="59">
        <f t="shared" si="116"/>
        <v>293.33333333333553</v>
      </c>
      <c r="BI186" s="59">
        <f ca="1">AVERAGE(OFFSET($BH$3,0,0,'Données projet'!$E$11+1,1))-AVERAGE(OFFSET($H$3,0,0,'Données projet'!$E$11+1,1))</f>
        <v>165.87377022031535</v>
      </c>
      <c r="BJ186" s="59">
        <f t="shared" si="146"/>
        <v>272.91122662088929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6.621499161933424</v>
      </c>
      <c r="BQ186" s="21">
        <f>EXP(-LN(2)/25)*BQ185+(1-EXP(-LN(2)/25))/(LN(2)/25)*Calculateur!BL186*Calculateur!BN186*VLOOKUP('Données projet'!$B$11,Paramètres!$A$1:$I$89,3,0)*0.475*44/12</f>
        <v>0.73208321020572176</v>
      </c>
      <c r="BR186" s="21">
        <f>EXP(-LN(2)/2)*BR185+(1-EXP(-LN(2)/2))/(LN(2)/2)*BL186*BO186*VLOOKUP('Données projet'!$B$11,Paramètres!$A$1:$I$89,3,0)*0.475*44/12</f>
        <v>7.7159490028243177E-21</v>
      </c>
      <c r="BS186" s="22">
        <f t="shared" si="169"/>
        <v>7.3535823721391456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4.5474735088646412E-13</v>
      </c>
      <c r="BZ186" s="13">
        <f>BY186*VLOOKUP('Données projet'!$B$12,Paramètres!$A$1:$I$89,3,0)*VLOOKUP('Données projet'!$B$12,Paramètres!$A$1:$I$89,5,0)</f>
        <v>4.1145540308207271E-13</v>
      </c>
      <c r="CA186" s="13">
        <f t="shared" si="170"/>
        <v>5.2428527960910789E-12</v>
      </c>
      <c r="CB186" s="20">
        <f t="shared" si="171"/>
        <v>9.8479201135599071E-12</v>
      </c>
      <c r="CC186" s="59">
        <f t="shared" si="119"/>
        <v>293.33333333334315</v>
      </c>
      <c r="CD186" s="59">
        <f ca="1">AVERAGE(OFFSET($CC$3,0,0,'Données projet'!$E$12+1,1))-AVERAGE(OFFSET($H$3,0,0,'Données projet'!$E$12+1,1))</f>
        <v>639.86968831634636</v>
      </c>
      <c r="CE186" s="59">
        <f t="shared" si="148"/>
        <v>218.1556771431184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134.48398533368444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134.48398533368444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9.9316821433603781E-14</v>
      </c>
      <c r="CV186" s="13">
        <f t="shared" si="173"/>
        <v>1.4932118279712753E-12</v>
      </c>
      <c r="CW186" s="20">
        <f t="shared" si="174"/>
        <v>2.7736540643801645E-12</v>
      </c>
      <c r="CX186" s="59">
        <f t="shared" si="122"/>
        <v>293.3333333333361</v>
      </c>
      <c r="CY186" s="59">
        <f ca="1">AVERAGE(OFFSET($CX$3,0,0,'Données projet'!$E$13+1,1))-AVERAGE(OFFSET($H$3,0,0,'Données projet'!$E$13+1,1))</f>
        <v>218.76600554860482</v>
      </c>
      <c r="CZ186" s="59">
        <f t="shared" si="150"/>
        <v>264.34840059907702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4.9363273217215138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4.9363273217215138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-1.7053025658242404E-13</v>
      </c>
      <c r="DP186" s="17">
        <f>DO186*VLOOKUP('Données projet'!$B$14,Paramètres!$A$1:$I$89,3,0)*VLOOKUP('Données projet'!$B$14,Paramètres!$A$1:$I$89,5,0)</f>
        <v>-1.4631496014771985E-13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442.97490100035287</v>
      </c>
      <c r="DU186" s="59">
        <f t="shared" si="152"/>
        <v>334.36243356457049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34.14677750417205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34.14677750417205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5.6843418860808015E-14</v>
      </c>
      <c r="EK186" s="17">
        <f>EJ186*VLOOKUP('Données projet'!$B$15,Paramètres!$A$1:$I$89,3,0)*VLOOKUP('Données projet'!$B$15,Paramètres!$A$1:$I$89,5,0)</f>
        <v>4.4337866711430253E-14</v>
      </c>
      <c r="EL186" s="13">
        <f t="shared" si="179"/>
        <v>7.3222115536967035E-13</v>
      </c>
      <c r="EM186" s="20">
        <f t="shared" si="180"/>
        <v>1.3525069634579169E-12</v>
      </c>
      <c r="EN186" s="59">
        <f t="shared" si="128"/>
        <v>293.33333333333468</v>
      </c>
      <c r="EO186" s="59">
        <f ca="1">AVERAGE(OFFSET($EN$3,0,0,'Données projet'!$E$15+1,1))-AVERAGE(OFFSET($H$3,0,0,'Données projet'!$E$15+1,1))</f>
        <v>288.82868507674738</v>
      </c>
      <c r="EP186" s="59">
        <f t="shared" si="154"/>
        <v>283.48738729114024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8.6414968176515661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8.6414968176515661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328.55201074501201</v>
      </c>
      <c r="FK186" s="59">
        <f t="shared" si="156"/>
        <v>321.81422611044985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12.482080036736484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12.482080036736484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353.37024194969638</v>
      </c>
      <c r="GF186" s="59">
        <f t="shared" si="158"/>
        <v>345.4750813433123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16.694241632508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16.694241632508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1.2710188457276673E-13</v>
      </c>
      <c r="P187" s="13">
        <f t="shared" si="141"/>
        <v>1.856866851063998E-12</v>
      </c>
      <c r="Q187" s="20">
        <f t="shared" si="162"/>
        <v>3.4554122145673649E-12</v>
      </c>
      <c r="R187" s="59">
        <f t="shared" si="109"/>
        <v>293.33333333333678</v>
      </c>
      <c r="S187" s="59">
        <f ca="1">AVERAGE(OFFSET($R$3,0,0,'Données projet'!$E$9+1,1))-AVERAGE(OFFSET($H$3,0,0,'Données projet'!$E$9+1,1))</f>
        <v>404.65492118472037</v>
      </c>
      <c r="T187" s="59">
        <f t="shared" si="142"/>
        <v>534.22295841722166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21.402371920562842</v>
      </c>
      <c r="AA187" s="21">
        <f>EXP(-LN(2)/25)*AA186+(1-EXP(-LN(2)/25))/(LN(2)/25)*Calculateur!V187*Calculateur!X187*VLOOKUP('Données projet'!$B$9,Paramètres!$A$1:$I$89,3,0)*0.475*44/12</f>
        <v>1.9997213682526918</v>
      </c>
      <c r="AB187" s="21">
        <f>EXP(-LN(2)/2)*AB186+(1-EXP(-LN(2)/2))/(LN(2)/2)*V187*Y187*VLOOKUP('Données projet'!$B$9,Paramètres!$A$1:$I$89,3,0)*0.475*44/12</f>
        <v>1.1391025216222856E-18</v>
      </c>
      <c r="AC187" s="22">
        <f t="shared" si="163"/>
        <v>23.402093288815536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-7.9808160080574461E-14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331.17634116262298</v>
      </c>
      <c r="AO187" s="59">
        <f t="shared" si="144"/>
        <v>286.28916368940605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31.130713842866463</v>
      </c>
      <c r="AV187" s="21">
        <f>EXP(-LN(2)/25)*AV186+(1-EXP(-LN(2)/25))/(LN(2)/25)*Calculateur!AQ187*Calculateur!AS187*VLOOKUP('Données projet'!$B$10,Paramètres!$A$1:$I$89,3,0)*0.475*44/12</f>
        <v>5.7267888678067909</v>
      </c>
      <c r="AW187" s="21">
        <f>EXP(-LN(2)/2)*AW186+(1-EXP(-LN(2)/2))/(LN(2)/2)*AQ187*AT187*VLOOKUP('Données projet'!$B$10,Paramètres!$A$1:$I$89,3,0)*0.475*44/12</f>
        <v>5.6434054607731978E-12</v>
      </c>
      <c r="AX187" s="21">
        <f t="shared" si="166"/>
        <v>36.857502710678894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1.4210854715202004E-13</v>
      </c>
      <c r="BE187" s="13">
        <f>BD187*VLOOKUP('Données projet'!$B$11,Paramètres!$A$1:$I$89,3,0)*VLOOKUP('Données projet'!$B$11,Paramètres!$A$1:$I$89,5,0)</f>
        <v>7.7591266745002952E-14</v>
      </c>
      <c r="BF187" s="13">
        <f t="shared" si="167"/>
        <v>1.2005788606873384E-12</v>
      </c>
      <c r="BG187" s="20">
        <f t="shared" si="168"/>
        <v>2.226146305277994E-12</v>
      </c>
      <c r="BH187" s="59">
        <f t="shared" si="116"/>
        <v>293.33333333333553</v>
      </c>
      <c r="BI187" s="59">
        <f ca="1">AVERAGE(OFFSET($BH$3,0,0,'Données projet'!$E$11+1,1))-AVERAGE(OFFSET($H$3,0,0,'Données projet'!$E$11+1,1))</f>
        <v>165.87377022031535</v>
      </c>
      <c r="BJ187" s="59">
        <f t="shared" si="146"/>
        <v>272.91122662088929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6.4916556020836085</v>
      </c>
      <c r="BQ187" s="21">
        <f>EXP(-LN(2)/25)*BQ186+(1-EXP(-LN(2)/25))/(LN(2)/25)*Calculateur!BL187*Calculateur!BN187*VLOOKUP('Données projet'!$B$11,Paramètres!$A$1:$I$89,3,0)*0.475*44/12</f>
        <v>0.71206435632406351</v>
      </c>
      <c r="BR187" s="21">
        <f>EXP(-LN(2)/2)*BR186+(1-EXP(-LN(2)/2))/(LN(2)/2)*BL187*BO187*VLOOKUP('Données projet'!$B$11,Paramètres!$A$1:$I$89,3,0)*0.475*44/12</f>
        <v>5.4559998631866545E-21</v>
      </c>
      <c r="BS187" s="22">
        <f t="shared" si="169"/>
        <v>7.2037199584076719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4.5474735088646412E-13</v>
      </c>
      <c r="BZ187" s="13">
        <f>BY187*VLOOKUP('Données projet'!$B$12,Paramètres!$A$1:$I$89,3,0)*VLOOKUP('Données projet'!$B$12,Paramètres!$A$1:$I$89,5,0)</f>
        <v>4.1145540308207271E-13</v>
      </c>
      <c r="CA187" s="13">
        <f t="shared" si="170"/>
        <v>5.2428527960910789E-12</v>
      </c>
      <c r="CB187" s="20">
        <f t="shared" si="171"/>
        <v>9.8479201135599071E-12</v>
      </c>
      <c r="CC187" s="59">
        <f t="shared" si="119"/>
        <v>293.33333333334315</v>
      </c>
      <c r="CD187" s="59">
        <f ca="1">AVERAGE(OFFSET($CC$3,0,0,'Données projet'!$E$12+1,1))-AVERAGE(OFFSET($H$3,0,0,'Données projet'!$E$12+1,1))</f>
        <v>639.86968831634636</v>
      </c>
      <c r="CE187" s="59">
        <f t="shared" si="148"/>
        <v>218.1556771431184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131.84683640842243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131.84683640842243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9.9316821433603781E-14</v>
      </c>
      <c r="CV187" s="13">
        <f t="shared" si="173"/>
        <v>1.4932118279712753E-12</v>
      </c>
      <c r="CW187" s="20">
        <f t="shared" si="174"/>
        <v>2.7736540643801645E-12</v>
      </c>
      <c r="CX187" s="59">
        <f t="shared" si="122"/>
        <v>293.3333333333361</v>
      </c>
      <c r="CY187" s="59">
        <f ca="1">AVERAGE(OFFSET($CX$3,0,0,'Données projet'!$E$13+1,1))-AVERAGE(OFFSET($H$3,0,0,'Données projet'!$E$13+1,1))</f>
        <v>218.76600554860482</v>
      </c>
      <c r="CZ187" s="59">
        <f t="shared" si="150"/>
        <v>264.34840059907702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4.8395289538049235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4.8395289538049235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-1.7053025658242404E-13</v>
      </c>
      <c r="DP187" s="17">
        <f>DO187*VLOOKUP('Données projet'!$B$14,Paramètres!$A$1:$I$89,3,0)*VLOOKUP('Données projet'!$B$14,Paramètres!$A$1:$I$89,5,0)</f>
        <v>-1.4631496014771985E-13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442.97490100035287</v>
      </c>
      <c r="DU187" s="59">
        <f t="shared" si="152"/>
        <v>334.36243356457049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33.477180024792972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33.477180024792972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5.6843418860808015E-14</v>
      </c>
      <c r="EK187" s="17">
        <f>EJ187*VLOOKUP('Données projet'!$B$15,Paramètres!$A$1:$I$89,3,0)*VLOOKUP('Données projet'!$B$15,Paramètres!$A$1:$I$89,5,0)</f>
        <v>4.4337866711430253E-14</v>
      </c>
      <c r="EL187" s="13">
        <f t="shared" si="179"/>
        <v>7.3222115536967035E-13</v>
      </c>
      <c r="EM187" s="20">
        <f t="shared" si="180"/>
        <v>1.3525069634579169E-12</v>
      </c>
      <c r="EN187" s="59">
        <f t="shared" si="128"/>
        <v>293.33333333333468</v>
      </c>
      <c r="EO187" s="59">
        <f ca="1">AVERAGE(OFFSET($EN$3,0,0,'Données projet'!$E$15+1,1))-AVERAGE(OFFSET($H$3,0,0,'Données projet'!$E$15+1,1))</f>
        <v>288.82868507674738</v>
      </c>
      <c r="EP187" s="59">
        <f t="shared" si="154"/>
        <v>283.48738729114024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8.4720423358500305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8.4720423358500305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328.55201074501201</v>
      </c>
      <c r="FK187" s="59">
        <f t="shared" si="156"/>
        <v>321.81422611044985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12.237314060533151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12.237314060533151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353.37024194969638</v>
      </c>
      <c r="GF187" s="59">
        <f t="shared" si="158"/>
        <v>345.4750813433123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16.366877736576477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16.366877736576477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1.2710188457276673E-13</v>
      </c>
      <c r="P188" s="13">
        <f t="shared" si="141"/>
        <v>1.856866851063998E-12</v>
      </c>
      <c r="Q188" s="20">
        <f t="shared" si="162"/>
        <v>3.4554122145673649E-12</v>
      </c>
      <c r="R188" s="59">
        <f t="shared" si="109"/>
        <v>293.33333333333678</v>
      </c>
      <c r="S188" s="59">
        <f ca="1">AVERAGE(OFFSET($R$3,0,0,'Données projet'!$E$9+1,1))-AVERAGE(OFFSET($H$3,0,0,'Données projet'!$E$9+1,1))</f>
        <v>404.65492118472037</v>
      </c>
      <c r="T188" s="59">
        <f t="shared" si="142"/>
        <v>534.22295841722166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20.982684461358485</v>
      </c>
      <c r="AA188" s="21">
        <f>EXP(-LN(2)/25)*AA187+(1-EXP(-LN(2)/25))/(LN(2)/25)*Calculateur!V188*Calculateur!X188*VLOOKUP('Données projet'!$B$9,Paramètres!$A$1:$I$89,3,0)*0.475*44/12</f>
        <v>1.9450388822770455</v>
      </c>
      <c r="AB188" s="21">
        <f>EXP(-LN(2)/2)*AB187+(1-EXP(-LN(2)/2))/(LN(2)/2)*V188*Y188*VLOOKUP('Données projet'!$B$9,Paramètres!$A$1:$I$89,3,0)*0.475*44/12</f>
        <v>8.0546711750581402E-19</v>
      </c>
      <c r="AC188" s="22">
        <f t="shared" si="163"/>
        <v>22.927723343635531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-7.9808160080574461E-14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331.17634116262298</v>
      </c>
      <c r="AO188" s="59">
        <f t="shared" si="144"/>
        <v>286.28916368940605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30.520259532268401</v>
      </c>
      <c r="AV188" s="21">
        <f>EXP(-LN(2)/25)*AV187+(1-EXP(-LN(2)/25))/(LN(2)/25)*Calculateur!AQ188*Calculateur!AS188*VLOOKUP('Données projet'!$B$10,Paramètres!$A$1:$I$89,3,0)*0.475*44/12</f>
        <v>5.5701895250578763</v>
      </c>
      <c r="AW188" s="21">
        <f>EXP(-LN(2)/2)*AW187+(1-EXP(-LN(2)/2))/(LN(2)/2)*AQ188*AT188*VLOOKUP('Données projet'!$B$10,Paramètres!$A$1:$I$89,3,0)*0.475*44/12</f>
        <v>3.9904902702979209E-12</v>
      </c>
      <c r="AX188" s="21">
        <f t="shared" si="166"/>
        <v>36.090449057330268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1.4210854715202004E-13</v>
      </c>
      <c r="BE188" s="13">
        <f>BD188*VLOOKUP('Données projet'!$B$11,Paramètres!$A$1:$I$89,3,0)*VLOOKUP('Données projet'!$B$11,Paramètres!$A$1:$I$89,5,0)</f>
        <v>7.7591266745002952E-14</v>
      </c>
      <c r="BF188" s="13">
        <f t="shared" si="167"/>
        <v>1.2005788606873384E-12</v>
      </c>
      <c r="BG188" s="20">
        <f t="shared" si="168"/>
        <v>2.226146305277994E-12</v>
      </c>
      <c r="BH188" s="59">
        <f t="shared" si="116"/>
        <v>293.33333333333553</v>
      </c>
      <c r="BI188" s="59">
        <f ca="1">AVERAGE(OFFSET($BH$3,0,0,'Données projet'!$E$11+1,1))-AVERAGE(OFFSET($H$3,0,0,'Données projet'!$E$11+1,1))</f>
        <v>165.87377022031535</v>
      </c>
      <c r="BJ188" s="59">
        <f t="shared" si="146"/>
        <v>272.91122662088929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6.3643581952456962</v>
      </c>
      <c r="BQ188" s="21">
        <f>EXP(-LN(2)/25)*BQ187+(1-EXP(-LN(2)/25))/(LN(2)/25)*Calculateur!BL188*Calculateur!BN188*VLOOKUP('Données projet'!$B$11,Paramètres!$A$1:$I$89,3,0)*0.475*44/12</f>
        <v>0.6925929190545449</v>
      </c>
      <c r="BR188" s="21">
        <f>EXP(-LN(2)/2)*BR187+(1-EXP(-LN(2)/2))/(LN(2)/2)*BL188*BO188*VLOOKUP('Données projet'!$B$11,Paramètres!$A$1:$I$89,3,0)*0.475*44/12</f>
        <v>3.8579745014121588E-21</v>
      </c>
      <c r="BS188" s="22">
        <f t="shared" si="169"/>
        <v>7.056951114300241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4.5474735088646412E-13</v>
      </c>
      <c r="BZ188" s="13">
        <f>BY188*VLOOKUP('Données projet'!$B$12,Paramètres!$A$1:$I$89,3,0)*VLOOKUP('Données projet'!$B$12,Paramètres!$A$1:$I$89,5,0)</f>
        <v>4.1145540308207271E-13</v>
      </c>
      <c r="CA188" s="13">
        <f t="shared" si="170"/>
        <v>5.2428527960910789E-12</v>
      </c>
      <c r="CB188" s="20">
        <f t="shared" si="171"/>
        <v>9.8479201135599071E-12</v>
      </c>
      <c r="CC188" s="59">
        <f t="shared" si="119"/>
        <v>293.33333333334315</v>
      </c>
      <c r="CD188" s="59">
        <f ca="1">AVERAGE(OFFSET($CC$3,0,0,'Données projet'!$E$12+1,1))-AVERAGE(OFFSET($H$3,0,0,'Données projet'!$E$12+1,1))</f>
        <v>639.86968831634636</v>
      </c>
      <c r="CE188" s="59">
        <f t="shared" si="148"/>
        <v>218.1556771431184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129.26140036508281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129.26140036508281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9.9316821433603781E-14</v>
      </c>
      <c r="CV188" s="13">
        <f t="shared" si="173"/>
        <v>1.4932118279712753E-12</v>
      </c>
      <c r="CW188" s="20">
        <f t="shared" si="174"/>
        <v>2.7736540643801645E-12</v>
      </c>
      <c r="CX188" s="59">
        <f t="shared" si="122"/>
        <v>293.3333333333361</v>
      </c>
      <c r="CY188" s="59">
        <f ca="1">AVERAGE(OFFSET($CX$3,0,0,'Données projet'!$E$13+1,1))-AVERAGE(OFFSET($H$3,0,0,'Données projet'!$E$13+1,1))</f>
        <v>218.76600554860482</v>
      </c>
      <c r="CZ188" s="59">
        <f t="shared" si="150"/>
        <v>264.34840059907702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4.7446287428420026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4.7446287428420026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-1.7053025658242404E-13</v>
      </c>
      <c r="DP188" s="17">
        <f>DO188*VLOOKUP('Données projet'!$B$14,Paramètres!$A$1:$I$89,3,0)*VLOOKUP('Données projet'!$B$14,Paramètres!$A$1:$I$89,5,0)</f>
        <v>-1.4631496014771985E-13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442.97490100035287</v>
      </c>
      <c r="DU188" s="59">
        <f t="shared" si="152"/>
        <v>334.36243356457049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32.820712943570385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32.820712943570385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5.6843418860808015E-14</v>
      </c>
      <c r="EK188" s="17">
        <f>EJ188*VLOOKUP('Données projet'!$B$15,Paramètres!$A$1:$I$89,3,0)*VLOOKUP('Données projet'!$B$15,Paramètres!$A$1:$I$89,5,0)</f>
        <v>4.4337866711430253E-14</v>
      </c>
      <c r="EL188" s="13">
        <f t="shared" si="179"/>
        <v>7.3222115536967035E-13</v>
      </c>
      <c r="EM188" s="20">
        <f t="shared" si="180"/>
        <v>1.3525069634579169E-12</v>
      </c>
      <c r="EN188" s="59">
        <f t="shared" si="128"/>
        <v>293.33333333333468</v>
      </c>
      <c r="EO188" s="59">
        <f ca="1">AVERAGE(OFFSET($EN$3,0,0,'Données projet'!$E$15+1,1))-AVERAGE(OFFSET($H$3,0,0,'Données projet'!$E$15+1,1))</f>
        <v>288.82868507674738</v>
      </c>
      <c r="EP188" s="59">
        <f t="shared" si="154"/>
        <v>283.48738729114024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8.3059107530795941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8.3059107530795941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328.55201074501201</v>
      </c>
      <c r="FK188" s="59">
        <f t="shared" si="156"/>
        <v>321.81422611044985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11.997347795830661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11.997347795830661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353.37024194969638</v>
      </c>
      <c r="GF188" s="59">
        <f t="shared" si="158"/>
        <v>345.4750813433123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16.045933246971909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16.045933246971909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1.2710188457276673E-13</v>
      </c>
      <c r="P189" s="13">
        <f t="shared" si="141"/>
        <v>1.856866851063998E-12</v>
      </c>
      <c r="Q189" s="20">
        <f t="shared" si="162"/>
        <v>3.4554122145673649E-12</v>
      </c>
      <c r="R189" s="59">
        <f t="shared" si="109"/>
        <v>293.33333333333678</v>
      </c>
      <c r="S189" s="59">
        <f ca="1">AVERAGE(OFFSET($R$3,0,0,'Données projet'!$E$9+1,1))-AVERAGE(OFFSET($H$3,0,0,'Données projet'!$E$9+1,1))</f>
        <v>404.65492118472037</v>
      </c>
      <c r="T189" s="59">
        <f t="shared" si="142"/>
        <v>534.22295841722166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20.571226817245051</v>
      </c>
      <c r="AA189" s="21">
        <f>EXP(-LN(2)/25)*AA188+(1-EXP(-LN(2)/25))/(LN(2)/25)*Calculateur!V189*Calculateur!X189*VLOOKUP('Données projet'!$B$9,Paramètres!$A$1:$I$89,3,0)*0.475*44/12</f>
        <v>1.8918516917560302</v>
      </c>
      <c r="AB189" s="21">
        <f>EXP(-LN(2)/2)*AB188+(1-EXP(-LN(2)/2))/(LN(2)/2)*V189*Y189*VLOOKUP('Données projet'!$B$9,Paramètres!$A$1:$I$89,3,0)*0.475*44/12</f>
        <v>5.6955126081114279E-19</v>
      </c>
      <c r="AC189" s="22">
        <f t="shared" si="163"/>
        <v>22.463078509001082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-7.9808160080574461E-14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331.17634116262298</v>
      </c>
      <c r="AO189" s="59">
        <f t="shared" si="144"/>
        <v>286.28916368940605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29.921775858360803</v>
      </c>
      <c r="AV189" s="21">
        <f>EXP(-LN(2)/25)*AV188+(1-EXP(-LN(2)/25))/(LN(2)/25)*Calculateur!AQ189*Calculateur!AS189*VLOOKUP('Données projet'!$B$10,Paramètres!$A$1:$I$89,3,0)*0.475*44/12</f>
        <v>5.4178723995716327</v>
      </c>
      <c r="AW189" s="21">
        <f>EXP(-LN(2)/2)*AW188+(1-EXP(-LN(2)/2))/(LN(2)/2)*AQ189*AT189*VLOOKUP('Données projet'!$B$10,Paramètres!$A$1:$I$89,3,0)*0.475*44/12</f>
        <v>2.8217027303865989E-12</v>
      </c>
      <c r="AX189" s="21">
        <f t="shared" si="166"/>
        <v>35.339648257935259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1.4210854715202004E-13</v>
      </c>
      <c r="BE189" s="13">
        <f>BD189*VLOOKUP('Données projet'!$B$11,Paramètres!$A$1:$I$89,3,0)*VLOOKUP('Données projet'!$B$11,Paramètres!$A$1:$I$89,5,0)</f>
        <v>7.7591266745002952E-14</v>
      </c>
      <c r="BF189" s="13">
        <f t="shared" si="167"/>
        <v>1.2005788606873384E-12</v>
      </c>
      <c r="BG189" s="20">
        <f t="shared" si="168"/>
        <v>2.226146305277994E-12</v>
      </c>
      <c r="BH189" s="59">
        <f t="shared" si="116"/>
        <v>293.33333333333553</v>
      </c>
      <c r="BI189" s="59">
        <f ca="1">AVERAGE(OFFSET($BH$3,0,0,'Données projet'!$E$11+1,1))-AVERAGE(OFFSET($H$3,0,0,'Données projet'!$E$11+1,1))</f>
        <v>165.87377022031535</v>
      </c>
      <c r="BJ189" s="59">
        <f t="shared" si="146"/>
        <v>272.91122662088929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6.2395570129121243</v>
      </c>
      <c r="BQ189" s="21">
        <f>EXP(-LN(2)/25)*BQ188+(1-EXP(-LN(2)/25))/(LN(2)/25)*Calculateur!BL189*Calculateur!BN189*VLOOKUP('Données projet'!$B$11,Paramètres!$A$1:$I$89,3,0)*0.475*44/12</f>
        <v>0.67365392926111967</v>
      </c>
      <c r="BR189" s="21">
        <f>EXP(-LN(2)/2)*BR188+(1-EXP(-LN(2)/2))/(LN(2)/2)*BL189*BO189*VLOOKUP('Données projet'!$B$11,Paramètres!$A$1:$I$89,3,0)*0.475*44/12</f>
        <v>2.7279999315933273E-21</v>
      </c>
      <c r="BS189" s="22">
        <f t="shared" si="169"/>
        <v>6.9132109421732437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4.5474735088646412E-13</v>
      </c>
      <c r="BZ189" s="13">
        <f>BY189*VLOOKUP('Données projet'!$B$12,Paramètres!$A$1:$I$89,3,0)*VLOOKUP('Données projet'!$B$12,Paramètres!$A$1:$I$89,5,0)</f>
        <v>4.1145540308207271E-13</v>
      </c>
      <c r="CA189" s="13">
        <f t="shared" si="170"/>
        <v>5.2428527960910789E-12</v>
      </c>
      <c r="CB189" s="20">
        <f t="shared" si="171"/>
        <v>9.8479201135599071E-12</v>
      </c>
      <c r="CC189" s="59">
        <f t="shared" si="119"/>
        <v>293.33333333334315</v>
      </c>
      <c r="CD189" s="59">
        <f ca="1">AVERAGE(OFFSET($CC$3,0,0,'Données projet'!$E$12+1,1))-AVERAGE(OFFSET($H$3,0,0,'Données projet'!$E$12+1,1))</f>
        <v>639.86968831634636</v>
      </c>
      <c r="CE189" s="59">
        <f t="shared" si="148"/>
        <v>218.1556771431184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126.72666314559278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126.72666314559278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9.9316821433603781E-14</v>
      </c>
      <c r="CV189" s="13">
        <f t="shared" si="173"/>
        <v>1.4932118279712753E-12</v>
      </c>
      <c r="CW189" s="20">
        <f t="shared" si="174"/>
        <v>2.7736540643801645E-12</v>
      </c>
      <c r="CX189" s="59">
        <f t="shared" si="122"/>
        <v>293.3333333333361</v>
      </c>
      <c r="CY189" s="59">
        <f ca="1">AVERAGE(OFFSET($CX$3,0,0,'Données projet'!$E$13+1,1))-AVERAGE(OFFSET($H$3,0,0,'Données projet'!$E$13+1,1))</f>
        <v>218.76600554860482</v>
      </c>
      <c r="CZ189" s="59">
        <f t="shared" si="150"/>
        <v>264.34840059907702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4.6515894671326512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4.6515894671326512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-1.7053025658242404E-13</v>
      </c>
      <c r="DP189" s="17">
        <f>DO189*VLOOKUP('Données projet'!$B$14,Paramètres!$A$1:$I$89,3,0)*VLOOKUP('Données projet'!$B$14,Paramètres!$A$1:$I$89,5,0)</f>
        <v>-1.4631496014771985E-13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442.97490100035287</v>
      </c>
      <c r="DU189" s="59">
        <f t="shared" si="152"/>
        <v>334.36243356457049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32.177118781405184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32.177118781405184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5.6843418860808015E-14</v>
      </c>
      <c r="EK189" s="17">
        <f>EJ189*VLOOKUP('Données projet'!$B$15,Paramètres!$A$1:$I$89,3,0)*VLOOKUP('Données projet'!$B$15,Paramètres!$A$1:$I$89,5,0)</f>
        <v>4.4337866711430253E-14</v>
      </c>
      <c r="EL189" s="13">
        <f t="shared" si="179"/>
        <v>7.3222115536967035E-13</v>
      </c>
      <c r="EM189" s="20">
        <f t="shared" si="180"/>
        <v>1.3525069634579169E-12</v>
      </c>
      <c r="EN189" s="59">
        <f t="shared" si="128"/>
        <v>293.33333333333468</v>
      </c>
      <c r="EO189" s="59">
        <f ca="1">AVERAGE(OFFSET($EN$3,0,0,'Données projet'!$E$15+1,1))-AVERAGE(OFFSET($H$3,0,0,'Données projet'!$E$15+1,1))</f>
        <v>288.82868507674738</v>
      </c>
      <c r="EP189" s="59">
        <f t="shared" si="154"/>
        <v>283.48738729114024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8.1430369093170256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8.1430369093170256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328.55201074501201</v>
      </c>
      <c r="FK189" s="59">
        <f t="shared" si="156"/>
        <v>321.81422611044985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11.762087123214018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11.762087123214018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353.37024194969638</v>
      </c>
      <c r="GF189" s="59">
        <f t="shared" si="158"/>
        <v>345.4750813433123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15.73128228305168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15.73128228305168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1.2710188457276673E-13</v>
      </c>
      <c r="P190" s="13">
        <f t="shared" si="141"/>
        <v>1.856866851063998E-12</v>
      </c>
      <c r="Q190" s="20">
        <f t="shared" si="162"/>
        <v>3.4554122145673649E-12</v>
      </c>
      <c r="R190" s="59">
        <f t="shared" si="109"/>
        <v>293.33333333333678</v>
      </c>
      <c r="S190" s="59">
        <f ca="1">AVERAGE(OFFSET($R$3,0,0,'Données projet'!$E$9+1,1))-AVERAGE(OFFSET($H$3,0,0,'Données projet'!$E$9+1,1))</f>
        <v>404.65492118472037</v>
      </c>
      <c r="T190" s="59">
        <f t="shared" si="142"/>
        <v>534.22295841722166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20.167837606568302</v>
      </c>
      <c r="AA190" s="21">
        <f>EXP(-LN(2)/25)*AA189+(1-EXP(-LN(2)/25))/(LN(2)/25)*Calculateur!V190*Calculateur!X190*VLOOKUP('Données projet'!$B$9,Paramètres!$A$1:$I$89,3,0)*0.475*44/12</f>
        <v>1.840118907756805</v>
      </c>
      <c r="AB190" s="21">
        <f>EXP(-LN(2)/2)*AB189+(1-EXP(-LN(2)/2))/(LN(2)/2)*V190*Y190*VLOOKUP('Données projet'!$B$9,Paramètres!$A$1:$I$89,3,0)*0.475*44/12</f>
        <v>4.0273355875290701E-19</v>
      </c>
      <c r="AC190" s="22">
        <f t="shared" si="163"/>
        <v>22.007956514325105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-7.9808160080574461E-14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331.17634116262298</v>
      </c>
      <c r="AO190" s="59">
        <f t="shared" si="144"/>
        <v>286.28916368940605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29.335028084259537</v>
      </c>
      <c r="AV190" s="21">
        <f>EXP(-LN(2)/25)*AV189+(1-EXP(-LN(2)/25))/(LN(2)/25)*Calculateur!AQ190*Calculateur!AS190*VLOOKUP('Données projet'!$B$10,Paramètres!$A$1:$I$89,3,0)*0.475*44/12</f>
        <v>5.26972039389182</v>
      </c>
      <c r="AW190" s="21">
        <f>EXP(-LN(2)/2)*AW189+(1-EXP(-LN(2)/2))/(LN(2)/2)*AQ190*AT190*VLOOKUP('Données projet'!$B$10,Paramètres!$A$1:$I$89,3,0)*0.475*44/12</f>
        <v>1.9952451351489605E-12</v>
      </c>
      <c r="AX190" s="21">
        <f t="shared" si="166"/>
        <v>34.604748478153354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1.4210854715202004E-13</v>
      </c>
      <c r="BE190" s="13">
        <f>BD190*VLOOKUP('Données projet'!$B$11,Paramètres!$A$1:$I$89,3,0)*VLOOKUP('Données projet'!$B$11,Paramètres!$A$1:$I$89,5,0)</f>
        <v>7.7591266745002952E-14</v>
      </c>
      <c r="BF190" s="13">
        <f t="shared" si="167"/>
        <v>1.2005788606873384E-12</v>
      </c>
      <c r="BG190" s="20">
        <f t="shared" si="168"/>
        <v>2.226146305277994E-12</v>
      </c>
      <c r="BH190" s="59">
        <f t="shared" si="116"/>
        <v>293.33333333333553</v>
      </c>
      <c r="BI190" s="59">
        <f ca="1">AVERAGE(OFFSET($BH$3,0,0,'Données projet'!$E$11+1,1))-AVERAGE(OFFSET($H$3,0,0,'Données projet'!$E$11+1,1))</f>
        <v>165.87377022031535</v>
      </c>
      <c r="BJ190" s="59">
        <f t="shared" si="146"/>
        <v>272.91122662088929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6.1172031056429086</v>
      </c>
      <c r="BQ190" s="21">
        <f>EXP(-LN(2)/25)*BQ189+(1-EXP(-LN(2)/25))/(LN(2)/25)*Calculateur!BL190*Calculateur!BN190*VLOOKUP('Données projet'!$B$11,Paramètres!$A$1:$I$89,3,0)*0.475*44/12</f>
        <v>0.65523282713955389</v>
      </c>
      <c r="BR190" s="21">
        <f>EXP(-LN(2)/2)*BR189+(1-EXP(-LN(2)/2))/(LN(2)/2)*BL190*BO190*VLOOKUP('Données projet'!$B$11,Paramètres!$A$1:$I$89,3,0)*0.475*44/12</f>
        <v>1.9289872507060794E-21</v>
      </c>
      <c r="BS190" s="22">
        <f t="shared" si="169"/>
        <v>6.7724359327824626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4.5474735088646412E-13</v>
      </c>
      <c r="BZ190" s="13">
        <f>BY190*VLOOKUP('Données projet'!$B$12,Paramètres!$A$1:$I$89,3,0)*VLOOKUP('Données projet'!$B$12,Paramètres!$A$1:$I$89,5,0)</f>
        <v>4.1145540308207271E-13</v>
      </c>
      <c r="CA190" s="13">
        <f t="shared" si="170"/>
        <v>5.2428527960910789E-12</v>
      </c>
      <c r="CB190" s="20">
        <f t="shared" si="171"/>
        <v>9.8479201135599071E-12</v>
      </c>
      <c r="CC190" s="59">
        <f t="shared" si="119"/>
        <v>293.33333333334315</v>
      </c>
      <c r="CD190" s="59">
        <f ca="1">AVERAGE(OFFSET($CC$3,0,0,'Données projet'!$E$12+1,1))-AVERAGE(OFFSET($H$3,0,0,'Données projet'!$E$12+1,1))</f>
        <v>639.86968831634636</v>
      </c>
      <c r="CE190" s="59">
        <f t="shared" si="148"/>
        <v>218.1556771431184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124.24163057693991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124.24163057693991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9.9316821433603781E-14</v>
      </c>
      <c r="CV190" s="13">
        <f t="shared" si="173"/>
        <v>1.4932118279712753E-12</v>
      </c>
      <c r="CW190" s="20">
        <f t="shared" si="174"/>
        <v>2.7736540643801645E-12</v>
      </c>
      <c r="CX190" s="59">
        <f t="shared" si="122"/>
        <v>293.3333333333361</v>
      </c>
      <c r="CY190" s="59">
        <f ca="1">AVERAGE(OFFSET($CX$3,0,0,'Données projet'!$E$13+1,1))-AVERAGE(OFFSET($H$3,0,0,'Données projet'!$E$13+1,1))</f>
        <v>218.76600554860482</v>
      </c>
      <c r="CZ190" s="59">
        <f t="shared" si="150"/>
        <v>264.34840059907702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4.5603746348716054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4.5603746348716054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-1.7053025658242404E-13</v>
      </c>
      <c r="DP190" s="17">
        <f>DO190*VLOOKUP('Données projet'!$B$14,Paramètres!$A$1:$I$89,3,0)*VLOOKUP('Données projet'!$B$14,Paramètres!$A$1:$I$89,5,0)</f>
        <v>-1.4631496014771985E-13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442.97490100035287</v>
      </c>
      <c r="DU190" s="59">
        <f t="shared" si="152"/>
        <v>334.36243356457049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31.546145108206368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31.546145108206368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5.6843418860808015E-14</v>
      </c>
      <c r="EK190" s="17">
        <f>EJ190*VLOOKUP('Données projet'!$B$15,Paramètres!$A$1:$I$89,3,0)*VLOOKUP('Données projet'!$B$15,Paramètres!$A$1:$I$89,5,0)</f>
        <v>4.4337866711430253E-14</v>
      </c>
      <c r="EL190" s="13">
        <f t="shared" si="179"/>
        <v>7.3222115536967035E-13</v>
      </c>
      <c r="EM190" s="20">
        <f t="shared" si="180"/>
        <v>1.3525069634579169E-12</v>
      </c>
      <c r="EN190" s="59">
        <f t="shared" si="128"/>
        <v>293.33333333333468</v>
      </c>
      <c r="EO190" s="59">
        <f ca="1">AVERAGE(OFFSET($EN$3,0,0,'Données projet'!$E$15+1,1))-AVERAGE(OFFSET($H$3,0,0,'Données projet'!$E$15+1,1))</f>
        <v>288.82868507674738</v>
      </c>
      <c r="EP190" s="59">
        <f t="shared" si="154"/>
        <v>283.48738729114024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7.9833569222874061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7.9833569222874061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328.55201074501201</v>
      </c>
      <c r="FK190" s="59">
        <f t="shared" si="156"/>
        <v>321.81422611044985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11.531439768892547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11.531439768892547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353.37024194969638</v>
      </c>
      <c r="GF190" s="59">
        <f t="shared" si="158"/>
        <v>345.4750813433123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15.422801432615788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15.422801432615788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1.2710188457276673E-13</v>
      </c>
      <c r="P191" s="13">
        <f t="shared" si="141"/>
        <v>1.856866851063998E-12</v>
      </c>
      <c r="Q191" s="20">
        <f t="shared" si="162"/>
        <v>3.4554122145673649E-12</v>
      </c>
      <c r="R191" s="59">
        <f t="shared" si="109"/>
        <v>293.33333333333678</v>
      </c>
      <c r="S191" s="59">
        <f ca="1">AVERAGE(OFFSET($R$3,0,0,'Données projet'!$E$9+1,1))-AVERAGE(OFFSET($H$3,0,0,'Données projet'!$E$9+1,1))</f>
        <v>404.65492118472037</v>
      </c>
      <c r="T191" s="59">
        <f t="shared" si="142"/>
        <v>534.22295841722166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19.772358612269798</v>
      </c>
      <c r="AA191" s="21">
        <f>EXP(-LN(2)/25)*AA190+(1-EXP(-LN(2)/25))/(LN(2)/25)*Calculateur!V191*Calculateur!X191*VLOOKUP('Données projet'!$B$9,Paramètres!$A$1:$I$89,3,0)*0.475*44/12</f>
        <v>1.7898007594565475</v>
      </c>
      <c r="AB191" s="21">
        <f>EXP(-LN(2)/2)*AB190+(1-EXP(-LN(2)/2))/(LN(2)/2)*V191*Y191*VLOOKUP('Données projet'!$B$9,Paramètres!$A$1:$I$89,3,0)*0.475*44/12</f>
        <v>2.847756304055714E-19</v>
      </c>
      <c r="AC191" s="22">
        <f t="shared" si="163"/>
        <v>21.562159371726345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-7.9808160080574461E-14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331.17634116262298</v>
      </c>
      <c r="AO191" s="59">
        <f t="shared" si="144"/>
        <v>286.28916368940605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28.759786076127593</v>
      </c>
      <c r="AV191" s="21">
        <f>EXP(-LN(2)/25)*AV190+(1-EXP(-LN(2)/25))/(LN(2)/25)*Calculateur!AQ191*Calculateur!AS191*VLOOKUP('Données projet'!$B$10,Paramètres!$A$1:$I$89,3,0)*0.475*44/12</f>
        <v>5.1256196125982969</v>
      </c>
      <c r="AW191" s="21">
        <f>EXP(-LN(2)/2)*AW190+(1-EXP(-LN(2)/2))/(LN(2)/2)*AQ191*AT191*VLOOKUP('Données projet'!$B$10,Paramètres!$A$1:$I$89,3,0)*0.475*44/12</f>
        <v>1.4108513651932994E-12</v>
      </c>
      <c r="AX191" s="21">
        <f t="shared" si="166"/>
        <v>33.885405688727303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1.4210854715202004E-13</v>
      </c>
      <c r="BE191" s="13">
        <f>BD191*VLOOKUP('Données projet'!$B$11,Paramètres!$A$1:$I$89,3,0)*VLOOKUP('Données projet'!$B$11,Paramètres!$A$1:$I$89,5,0)</f>
        <v>7.7591266745002952E-14</v>
      </c>
      <c r="BF191" s="13">
        <f t="shared" si="167"/>
        <v>1.2005788606873384E-12</v>
      </c>
      <c r="BG191" s="20">
        <f t="shared" si="168"/>
        <v>2.226146305277994E-12</v>
      </c>
      <c r="BH191" s="59">
        <f t="shared" si="116"/>
        <v>293.33333333333553</v>
      </c>
      <c r="BI191" s="59">
        <f ca="1">AVERAGE(OFFSET($BH$3,0,0,'Données projet'!$E$11+1,1))-AVERAGE(OFFSET($H$3,0,0,'Données projet'!$E$11+1,1))</f>
        <v>165.87377022031535</v>
      </c>
      <c r="BJ191" s="59">
        <f t="shared" si="146"/>
        <v>272.91122662088929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5.9972484838667279</v>
      </c>
      <c r="BQ191" s="21">
        <f>EXP(-LN(2)/25)*BQ190+(1-EXP(-LN(2)/25))/(LN(2)/25)*Calculateur!BL191*Calculateur!BN191*VLOOKUP('Données projet'!$B$11,Paramètres!$A$1:$I$89,3,0)*0.475*44/12</f>
        <v>0.63731545102422593</v>
      </c>
      <c r="BR191" s="21">
        <f>EXP(-LN(2)/2)*BR190+(1-EXP(-LN(2)/2))/(LN(2)/2)*BL191*BO191*VLOOKUP('Données projet'!$B$11,Paramètres!$A$1:$I$89,3,0)*0.475*44/12</f>
        <v>1.3639999657966636E-21</v>
      </c>
      <c r="BS191" s="22">
        <f t="shared" si="169"/>
        <v>6.634563934890954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4.5474735088646412E-13</v>
      </c>
      <c r="BZ191" s="13">
        <f>BY191*VLOOKUP('Données projet'!$B$12,Paramètres!$A$1:$I$89,3,0)*VLOOKUP('Données projet'!$B$12,Paramètres!$A$1:$I$89,5,0)</f>
        <v>4.1145540308207271E-13</v>
      </c>
      <c r="CA191" s="13">
        <f t="shared" si="170"/>
        <v>5.2428527960910789E-12</v>
      </c>
      <c r="CB191" s="20">
        <f t="shared" si="171"/>
        <v>9.8479201135599071E-12</v>
      </c>
      <c r="CC191" s="59">
        <f t="shared" si="119"/>
        <v>293.33333333334315</v>
      </c>
      <c r="CD191" s="59">
        <f ca="1">AVERAGE(OFFSET($CC$3,0,0,'Données projet'!$E$12+1,1))-AVERAGE(OFFSET($H$3,0,0,'Données projet'!$E$12+1,1))</f>
        <v>639.86968831634636</v>
      </c>
      <c r="CE191" s="59">
        <f t="shared" si="148"/>
        <v>218.1556771431184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121.80532798123812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121.80532798123812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9.9316821433603781E-14</v>
      </c>
      <c r="CV191" s="13">
        <f t="shared" si="173"/>
        <v>1.4932118279712753E-12</v>
      </c>
      <c r="CW191" s="20">
        <f t="shared" si="174"/>
        <v>2.7736540643801645E-12</v>
      </c>
      <c r="CX191" s="59">
        <f t="shared" si="122"/>
        <v>293.3333333333361</v>
      </c>
      <c r="CY191" s="59">
        <f ca="1">AVERAGE(OFFSET($CX$3,0,0,'Données projet'!$E$13+1,1))-AVERAGE(OFFSET($H$3,0,0,'Données projet'!$E$13+1,1))</f>
        <v>218.76600554860482</v>
      </c>
      <c r="CZ191" s="59">
        <f t="shared" si="150"/>
        <v>264.34840059907702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4.470948469835645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4.470948469835645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-1.7053025658242404E-13</v>
      </c>
      <c r="DP191" s="17">
        <f>DO191*VLOOKUP('Données projet'!$B$14,Paramètres!$A$1:$I$89,3,0)*VLOOKUP('Données projet'!$B$14,Paramètres!$A$1:$I$89,5,0)</f>
        <v>-1.4631496014771985E-13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442.97490100035287</v>
      </c>
      <c r="DU191" s="59">
        <f t="shared" si="152"/>
        <v>334.36243356457049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30.92754444388304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30.92754444388304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5.6843418860808015E-14</v>
      </c>
      <c r="EK191" s="17">
        <f>EJ191*VLOOKUP('Données projet'!$B$15,Paramètres!$A$1:$I$89,3,0)*VLOOKUP('Données projet'!$B$15,Paramètres!$A$1:$I$89,5,0)</f>
        <v>4.4337866711430253E-14</v>
      </c>
      <c r="EL191" s="13">
        <f t="shared" si="179"/>
        <v>7.3222115536967035E-13</v>
      </c>
      <c r="EM191" s="20">
        <f t="shared" si="180"/>
        <v>1.3525069634579169E-12</v>
      </c>
      <c r="EN191" s="59">
        <f t="shared" si="128"/>
        <v>293.33333333333468</v>
      </c>
      <c r="EO191" s="59">
        <f ca="1">AVERAGE(OFFSET($EN$3,0,0,'Données projet'!$E$15+1,1))-AVERAGE(OFFSET($H$3,0,0,'Données projet'!$E$15+1,1))</f>
        <v>288.82868507674738</v>
      </c>
      <c r="EP191" s="59">
        <f t="shared" si="154"/>
        <v>283.48738729114024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7.8268081624082626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7.8268081624082626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328.55201074501201</v>
      </c>
      <c r="FK191" s="59">
        <f t="shared" si="156"/>
        <v>321.81422611044985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11.305315268508323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11.305315268508323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353.37024194969638</v>
      </c>
      <c r="GF191" s="59">
        <f t="shared" si="158"/>
        <v>345.4750813433123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15.120369703502204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15.120369703502204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1.2710188457276673E-13</v>
      </c>
      <c r="P192" s="13">
        <f t="shared" si="141"/>
        <v>1.856866851063998E-12</v>
      </c>
      <c r="Q192" s="20">
        <f t="shared" si="162"/>
        <v>3.4554122145673649E-12</v>
      </c>
      <c r="R192" s="59">
        <f t="shared" si="109"/>
        <v>293.33333333333678</v>
      </c>
      <c r="S192" s="59">
        <f ca="1">AVERAGE(OFFSET($R$3,0,0,'Données projet'!$E$9+1,1))-AVERAGE(OFFSET($H$3,0,0,'Données projet'!$E$9+1,1))</f>
        <v>404.65492118472037</v>
      </c>
      <c r="T192" s="59">
        <f t="shared" si="142"/>
        <v>534.22295841722166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19.384634719831119</v>
      </c>
      <c r="AA192" s="21">
        <f>EXP(-LN(2)/25)*AA191+(1-EXP(-LN(2)/25))/(LN(2)/25)*Calculateur!V192*Calculateur!X192*VLOOKUP('Données projet'!$B$9,Paramètres!$A$1:$I$89,3,0)*0.475*44/12</f>
        <v>1.740858563567677</v>
      </c>
      <c r="AB192" s="21">
        <f>EXP(-LN(2)/2)*AB191+(1-EXP(-LN(2)/2))/(LN(2)/2)*V192*Y192*VLOOKUP('Données projet'!$B$9,Paramètres!$A$1:$I$89,3,0)*0.475*44/12</f>
        <v>2.013667793764535E-19</v>
      </c>
      <c r="AC192" s="22">
        <f t="shared" si="163"/>
        <v>21.125493283398797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-7.9808160080574461E-14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331.17634116262298</v>
      </c>
      <c r="AO192" s="59">
        <f t="shared" si="144"/>
        <v>286.28916368940605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28.195824212912136</v>
      </c>
      <c r="AV192" s="21">
        <f>EXP(-LN(2)/25)*AV191+(1-EXP(-LN(2)/25))/(LN(2)/25)*Calculateur!AQ192*Calculateur!AS192*VLOOKUP('Données projet'!$B$10,Paramètres!$A$1:$I$89,3,0)*0.475*44/12</f>
        <v>4.9854592747471758</v>
      </c>
      <c r="AW192" s="21">
        <f>EXP(-LN(2)/2)*AW191+(1-EXP(-LN(2)/2))/(LN(2)/2)*AQ192*AT192*VLOOKUP('Données projet'!$B$10,Paramètres!$A$1:$I$89,3,0)*0.475*44/12</f>
        <v>9.9762256757448023E-13</v>
      </c>
      <c r="AX192" s="21">
        <f t="shared" si="166"/>
        <v>33.181283487660309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1.4210854715202004E-13</v>
      </c>
      <c r="BE192" s="13">
        <f>BD192*VLOOKUP('Données projet'!$B$11,Paramètres!$A$1:$I$89,3,0)*VLOOKUP('Données projet'!$B$11,Paramètres!$A$1:$I$89,5,0)</f>
        <v>7.7591266745002952E-14</v>
      </c>
      <c r="BF192" s="13">
        <f t="shared" si="167"/>
        <v>1.2005788606873384E-12</v>
      </c>
      <c r="BG192" s="20">
        <f t="shared" si="168"/>
        <v>2.226146305277994E-12</v>
      </c>
      <c r="BH192" s="59">
        <f t="shared" si="116"/>
        <v>293.33333333333553</v>
      </c>
      <c r="BI192" s="59">
        <f ca="1">AVERAGE(OFFSET($BH$3,0,0,'Données projet'!$E$11+1,1))-AVERAGE(OFFSET($H$3,0,0,'Données projet'!$E$11+1,1))</f>
        <v>165.87377022031535</v>
      </c>
      <c r="BJ192" s="59">
        <f t="shared" si="146"/>
        <v>272.91122662088929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5.8796460990584833</v>
      </c>
      <c r="BQ192" s="21">
        <f>EXP(-LN(2)/25)*BQ191+(1-EXP(-LN(2)/25))/(LN(2)/25)*Calculateur!BL192*Calculateur!BN192*VLOOKUP('Données projet'!$B$11,Paramètres!$A$1:$I$89,3,0)*0.475*44/12</f>
        <v>0.6198880265010055</v>
      </c>
      <c r="BR192" s="21">
        <f>EXP(-LN(2)/2)*BR191+(1-EXP(-LN(2)/2))/(LN(2)/2)*BL192*BO192*VLOOKUP('Données projet'!$B$11,Paramètres!$A$1:$I$89,3,0)*0.475*44/12</f>
        <v>9.6449362535303971E-22</v>
      </c>
      <c r="BS192" s="22">
        <f t="shared" si="169"/>
        <v>6.4995341255594887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4.5474735088646412E-13</v>
      </c>
      <c r="BZ192" s="13">
        <f>BY192*VLOOKUP('Données projet'!$B$12,Paramètres!$A$1:$I$89,3,0)*VLOOKUP('Données projet'!$B$12,Paramètres!$A$1:$I$89,5,0)</f>
        <v>4.1145540308207271E-13</v>
      </c>
      <c r="CA192" s="13">
        <f t="shared" si="170"/>
        <v>5.2428527960910789E-12</v>
      </c>
      <c r="CB192" s="20">
        <f t="shared" si="171"/>
        <v>9.8479201135599071E-12</v>
      </c>
      <c r="CC192" s="59">
        <f t="shared" si="119"/>
        <v>293.33333333334315</v>
      </c>
      <c r="CD192" s="59">
        <f ca="1">AVERAGE(OFFSET($CC$3,0,0,'Données projet'!$E$12+1,1))-AVERAGE(OFFSET($H$3,0,0,'Données projet'!$E$12+1,1))</f>
        <v>639.86968831634636</v>
      </c>
      <c r="CE192" s="59">
        <f t="shared" si="148"/>
        <v>218.1556771431184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119.41679979344019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119.41679979344019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9.9316821433603781E-14</v>
      </c>
      <c r="CV192" s="13">
        <f t="shared" si="173"/>
        <v>1.4932118279712753E-12</v>
      </c>
      <c r="CW192" s="20">
        <f t="shared" si="174"/>
        <v>2.7736540643801645E-12</v>
      </c>
      <c r="CX192" s="59">
        <f t="shared" si="122"/>
        <v>293.3333333333361</v>
      </c>
      <c r="CY192" s="59">
        <f ca="1">AVERAGE(OFFSET($CX$3,0,0,'Données projet'!$E$13+1,1))-AVERAGE(OFFSET($H$3,0,0,'Données projet'!$E$13+1,1))</f>
        <v>218.76600554860482</v>
      </c>
      <c r="CZ192" s="59">
        <f t="shared" si="150"/>
        <v>264.34840059907702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4.3832758973514645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4.3832758973514645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-1.7053025658242404E-13</v>
      </c>
      <c r="DP192" s="17">
        <f>DO192*VLOOKUP('Données projet'!$B$14,Paramètres!$A$1:$I$89,3,0)*VLOOKUP('Données projet'!$B$14,Paramètres!$A$1:$I$89,5,0)</f>
        <v>-1.4631496014771985E-13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442.97490100035287</v>
      </c>
      <c r="DU192" s="59">
        <f t="shared" si="152"/>
        <v>334.36243356457049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30.321074161277945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30.321074161277945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5.6843418860808015E-14</v>
      </c>
      <c r="EK192" s="17">
        <f>EJ192*VLOOKUP('Données projet'!$B$15,Paramètres!$A$1:$I$89,3,0)*VLOOKUP('Données projet'!$B$15,Paramètres!$A$1:$I$89,5,0)</f>
        <v>4.4337866711430253E-14</v>
      </c>
      <c r="EL192" s="13">
        <f t="shared" si="179"/>
        <v>7.3222115536967035E-13</v>
      </c>
      <c r="EM192" s="20">
        <f t="shared" si="180"/>
        <v>1.3525069634579169E-12</v>
      </c>
      <c r="EN192" s="59">
        <f t="shared" si="128"/>
        <v>293.33333333333468</v>
      </c>
      <c r="EO192" s="59">
        <f ca="1">AVERAGE(OFFSET($EN$3,0,0,'Données projet'!$E$15+1,1))-AVERAGE(OFFSET($H$3,0,0,'Données projet'!$E$15+1,1))</f>
        <v>288.82868507674738</v>
      </c>
      <c r="EP192" s="59">
        <f t="shared" si="154"/>
        <v>283.48738729114024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7.6733292282250343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7.6733292282250343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328.55201074501201</v>
      </c>
      <c r="FK192" s="59">
        <f t="shared" si="156"/>
        <v>321.81422611044985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11.08362493165431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11.08362493165431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353.37024194969638</v>
      </c>
      <c r="GF192" s="59">
        <f t="shared" si="158"/>
        <v>345.4750813433123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14.823868476131397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14.823868476131397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1.2710188457276673E-13</v>
      </c>
      <c r="P193" s="13">
        <f t="shared" si="141"/>
        <v>1.856866851063998E-12</v>
      </c>
      <c r="Q193" s="20">
        <f t="shared" si="162"/>
        <v>3.4554122145673649E-12</v>
      </c>
      <c r="R193" s="59">
        <f t="shared" si="109"/>
        <v>293.33333333333678</v>
      </c>
      <c r="S193" s="59">
        <f ca="1">AVERAGE(OFFSET($R$3,0,0,'Données projet'!$E$9+1,1))-AVERAGE(OFFSET($H$3,0,0,'Données projet'!$E$9+1,1))</f>
        <v>404.65492118472037</v>
      </c>
      <c r="T193" s="59">
        <f t="shared" si="142"/>
        <v>534.22295841722166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19.00451385643494</v>
      </c>
      <c r="AA193" s="21">
        <f>EXP(-LN(2)/25)*AA192+(1-EXP(-LN(2)/25))/(LN(2)/25)*Calculateur!V193*Calculateur!X193*VLOOKUP('Données projet'!$B$9,Paramètres!$A$1:$I$89,3,0)*0.475*44/12</f>
        <v>1.6932546945991458</v>
      </c>
      <c r="AB193" s="21">
        <f>EXP(-LN(2)/2)*AB192+(1-EXP(-LN(2)/2))/(LN(2)/2)*V193*Y193*VLOOKUP('Données projet'!$B$9,Paramètres!$A$1:$I$89,3,0)*0.475*44/12</f>
        <v>1.423878152027857E-19</v>
      </c>
      <c r="AC193" s="22">
        <f t="shared" si="163"/>
        <v>20.697768551034088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-7.9808160080574461E-14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331.17634116262298</v>
      </c>
      <c r="AO193" s="59">
        <f t="shared" si="144"/>
        <v>286.28916368940605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27.642921297851561</v>
      </c>
      <c r="AV193" s="21">
        <f>EXP(-LN(2)/25)*AV192+(1-EXP(-LN(2)/25))/(LN(2)/25)*Calculateur!AQ193*Calculateur!AS193*VLOOKUP('Données projet'!$B$10,Paramètres!$A$1:$I$89,3,0)*0.475*44/12</f>
        <v>4.8491316287053055</v>
      </c>
      <c r="AW193" s="21">
        <f>EXP(-LN(2)/2)*AW192+(1-EXP(-LN(2)/2))/(LN(2)/2)*AQ193*AT193*VLOOKUP('Données projet'!$B$10,Paramètres!$A$1:$I$89,3,0)*0.475*44/12</f>
        <v>7.0542568259664972E-13</v>
      </c>
      <c r="AX193" s="21">
        <f t="shared" si="166"/>
        <v>32.492052926557569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1.4210854715202004E-13</v>
      </c>
      <c r="BE193" s="13">
        <f>BD193*VLOOKUP('Données projet'!$B$11,Paramètres!$A$1:$I$89,3,0)*VLOOKUP('Données projet'!$B$11,Paramètres!$A$1:$I$89,5,0)</f>
        <v>7.7591266745002952E-14</v>
      </c>
      <c r="BF193" s="13">
        <f t="shared" si="167"/>
        <v>1.2005788606873384E-12</v>
      </c>
      <c r="BG193" s="20">
        <f t="shared" si="168"/>
        <v>2.226146305277994E-12</v>
      </c>
      <c r="BH193" s="59">
        <f t="shared" si="116"/>
        <v>293.33333333333553</v>
      </c>
      <c r="BI193" s="59">
        <f ca="1">AVERAGE(OFFSET($BH$3,0,0,'Données projet'!$E$11+1,1))-AVERAGE(OFFSET($H$3,0,0,'Données projet'!$E$11+1,1))</f>
        <v>165.87377022031535</v>
      </c>
      <c r="BJ193" s="59">
        <f t="shared" si="146"/>
        <v>272.91122662088929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5.7643498252859562</v>
      </c>
      <c r="BQ193" s="21">
        <f>EXP(-LN(2)/25)*BQ192+(1-EXP(-LN(2)/25))/(LN(2)/25)*Calculateur!BL193*Calculateur!BN193*VLOOKUP('Données projet'!$B$11,Paramètres!$A$1:$I$89,3,0)*0.475*44/12</f>
        <v>0.60293715581784091</v>
      </c>
      <c r="BR193" s="21">
        <f>EXP(-LN(2)/2)*BR192+(1-EXP(-LN(2)/2))/(LN(2)/2)*BL193*BO193*VLOOKUP('Données projet'!$B$11,Paramètres!$A$1:$I$89,3,0)*0.475*44/12</f>
        <v>6.8199998289833182E-22</v>
      </c>
      <c r="BS193" s="22">
        <f t="shared" si="169"/>
        <v>6.3672869811037973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4.5474735088646412E-13</v>
      </c>
      <c r="BZ193" s="13">
        <f>BY193*VLOOKUP('Données projet'!$B$12,Paramètres!$A$1:$I$89,3,0)*VLOOKUP('Données projet'!$B$12,Paramètres!$A$1:$I$89,5,0)</f>
        <v>4.1145540308207271E-13</v>
      </c>
      <c r="CA193" s="13">
        <f t="shared" si="170"/>
        <v>5.2428527960910789E-12</v>
      </c>
      <c r="CB193" s="20">
        <f t="shared" si="171"/>
        <v>9.8479201135599071E-12</v>
      </c>
      <c r="CC193" s="59">
        <f t="shared" si="119"/>
        <v>293.33333333334315</v>
      </c>
      <c r="CD193" s="59">
        <f ca="1">AVERAGE(OFFSET($CC$3,0,0,'Données projet'!$E$12+1,1))-AVERAGE(OFFSET($H$3,0,0,'Données projet'!$E$12+1,1))</f>
        <v>639.86968831634636</v>
      </c>
      <c r="CE193" s="59">
        <f t="shared" si="148"/>
        <v>218.1556771431184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117.07510918654664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117.07510918654664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9.9316821433603781E-14</v>
      </c>
      <c r="CV193" s="13">
        <f t="shared" si="173"/>
        <v>1.4932118279712753E-12</v>
      </c>
      <c r="CW193" s="20">
        <f t="shared" si="174"/>
        <v>2.7736540643801645E-12</v>
      </c>
      <c r="CX193" s="59">
        <f t="shared" si="122"/>
        <v>293.3333333333361</v>
      </c>
      <c r="CY193" s="59">
        <f ca="1">AVERAGE(OFFSET($CX$3,0,0,'Données projet'!$E$13+1,1))-AVERAGE(OFFSET($H$3,0,0,'Données projet'!$E$13+1,1))</f>
        <v>218.76600554860482</v>
      </c>
      <c r="CZ193" s="59">
        <f t="shared" si="150"/>
        <v>264.34840059907702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4.2973225305387102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4.2973225305387102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-1.7053025658242404E-13</v>
      </c>
      <c r="DP193" s="17">
        <f>DO193*VLOOKUP('Données projet'!$B$14,Paramètres!$A$1:$I$89,3,0)*VLOOKUP('Données projet'!$B$14,Paramètres!$A$1:$I$89,5,0)</f>
        <v>-1.4631496014771985E-13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442.97490100035287</v>
      </c>
      <c r="DU193" s="59">
        <f t="shared" si="152"/>
        <v>334.36243356457049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29.726496391004389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29.726496391004389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5.6843418860808015E-14</v>
      </c>
      <c r="EK193" s="17">
        <f>EJ193*VLOOKUP('Données projet'!$B$15,Paramètres!$A$1:$I$89,3,0)*VLOOKUP('Données projet'!$B$15,Paramètres!$A$1:$I$89,5,0)</f>
        <v>4.4337866711430253E-14</v>
      </c>
      <c r="EL193" s="13">
        <f t="shared" si="179"/>
        <v>7.3222115536967035E-13</v>
      </c>
      <c r="EM193" s="20">
        <f t="shared" si="180"/>
        <v>1.3525069634579169E-12</v>
      </c>
      <c r="EN193" s="59">
        <f t="shared" si="128"/>
        <v>293.33333333333468</v>
      </c>
      <c r="EO193" s="59">
        <f ca="1">AVERAGE(OFFSET($EN$3,0,0,'Données projet'!$E$15+1,1))-AVERAGE(OFFSET($H$3,0,0,'Données projet'!$E$15+1,1))</f>
        <v>288.82868507674738</v>
      </c>
      <c r="EP193" s="59">
        <f t="shared" si="154"/>
        <v>283.48738729114024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7.522859922328232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7.522859922328232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328.55201074501201</v>
      </c>
      <c r="FK193" s="59">
        <f t="shared" si="156"/>
        <v>321.81422611044985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10.866281807088248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10.866281807088248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353.37024194969638</v>
      </c>
      <c r="GF193" s="59">
        <f t="shared" si="158"/>
        <v>345.4750813433123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14.53318145698144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14.53318145698144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1.2710188457276673E-13</v>
      </c>
      <c r="P194" s="13">
        <f t="shared" si="141"/>
        <v>1.856866851063998E-12</v>
      </c>
      <c r="Q194" s="20">
        <f t="shared" si="162"/>
        <v>3.4554122145673649E-12</v>
      </c>
      <c r="R194" s="59">
        <f t="shared" si="109"/>
        <v>293.33333333333678</v>
      </c>
      <c r="S194" s="59">
        <f ca="1">AVERAGE(OFFSET($R$3,0,0,'Données projet'!$E$9+1,1))-AVERAGE(OFFSET($H$3,0,0,'Données projet'!$E$9+1,1))</f>
        <v>404.65492118472037</v>
      </c>
      <c r="T194" s="59">
        <f t="shared" si="142"/>
        <v>534.22295841722166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18.631846931319128</v>
      </c>
      <c r="AA194" s="21">
        <f>EXP(-LN(2)/25)*AA193+(1-EXP(-LN(2)/25))/(LN(2)/25)*Calculateur!V194*Calculateur!X194*VLOOKUP('Données projet'!$B$9,Paramètres!$A$1:$I$89,3,0)*0.475*44/12</f>
        <v>1.6469525559309377</v>
      </c>
      <c r="AB194" s="21">
        <f>EXP(-LN(2)/2)*AB193+(1-EXP(-LN(2)/2))/(LN(2)/2)*V194*Y194*VLOOKUP('Données projet'!$B$9,Paramètres!$A$1:$I$89,3,0)*0.475*44/12</f>
        <v>1.0068338968822675E-19</v>
      </c>
      <c r="AC194" s="22">
        <f t="shared" si="163"/>
        <v>20.278799487250065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-7.9808160080574461E-14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331.17634116262298</v>
      </c>
      <c r="AO194" s="59">
        <f t="shared" si="144"/>
        <v>286.28916368940605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27.100860471717848</v>
      </c>
      <c r="AV194" s="21">
        <f>EXP(-LN(2)/25)*AV193+(1-EXP(-LN(2)/25))/(LN(2)/25)*Calculateur!AQ194*Calculateur!AS194*VLOOKUP('Données projet'!$B$10,Paramètres!$A$1:$I$89,3,0)*0.475*44/12</f>
        <v>4.7165318693136093</v>
      </c>
      <c r="AW194" s="21">
        <f>EXP(-LN(2)/2)*AW193+(1-EXP(-LN(2)/2))/(LN(2)/2)*AQ194*AT194*VLOOKUP('Données projet'!$B$10,Paramètres!$A$1:$I$89,3,0)*0.475*44/12</f>
        <v>4.9881128378724012E-13</v>
      </c>
      <c r="AX194" s="21">
        <f t="shared" si="166"/>
        <v>31.817392341031955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1.4210854715202004E-13</v>
      </c>
      <c r="BE194" s="13">
        <f>BD194*VLOOKUP('Données projet'!$B$11,Paramètres!$A$1:$I$89,3,0)*VLOOKUP('Données projet'!$B$11,Paramètres!$A$1:$I$89,5,0)</f>
        <v>7.7591266745002952E-14</v>
      </c>
      <c r="BF194" s="13">
        <f t="shared" si="167"/>
        <v>1.2005788606873384E-12</v>
      </c>
      <c r="BG194" s="20">
        <f t="shared" si="168"/>
        <v>2.226146305277994E-12</v>
      </c>
      <c r="BH194" s="59">
        <f t="shared" si="116"/>
        <v>293.33333333333553</v>
      </c>
      <c r="BI194" s="59">
        <f ca="1">AVERAGE(OFFSET($BH$3,0,0,'Données projet'!$E$11+1,1))-AVERAGE(OFFSET($H$3,0,0,'Données projet'!$E$11+1,1))</f>
        <v>165.87377022031535</v>
      </c>
      <c r="BJ194" s="59">
        <f t="shared" si="146"/>
        <v>272.91122662088929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5.6513144411183251</v>
      </c>
      <c r="BQ194" s="21">
        <f>EXP(-LN(2)/25)*BQ193+(1-EXP(-LN(2)/25))/(LN(2)/25)*Calculateur!BL194*Calculateur!BN194*VLOOKUP('Données projet'!$B$11,Paramètres!$A$1:$I$89,3,0)*0.475*44/12</f>
        <v>0.58644980758491505</v>
      </c>
      <c r="BR194" s="21">
        <f>EXP(-LN(2)/2)*BR193+(1-EXP(-LN(2)/2))/(LN(2)/2)*BL194*BO194*VLOOKUP('Données projet'!$B$11,Paramètres!$A$1:$I$89,3,0)*0.475*44/12</f>
        <v>4.8224681267651986E-22</v>
      </c>
      <c r="BS194" s="22">
        <f t="shared" si="169"/>
        <v>6.2377642487032405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4.5474735088646412E-13</v>
      </c>
      <c r="BZ194" s="13">
        <f>BY194*VLOOKUP('Données projet'!$B$12,Paramètres!$A$1:$I$89,3,0)*VLOOKUP('Données projet'!$B$12,Paramètres!$A$1:$I$89,5,0)</f>
        <v>4.1145540308207271E-13</v>
      </c>
      <c r="CA194" s="13">
        <f t="shared" si="170"/>
        <v>5.2428527960910789E-12</v>
      </c>
      <c r="CB194" s="20">
        <f t="shared" si="171"/>
        <v>9.8479201135599071E-12</v>
      </c>
      <c r="CC194" s="59">
        <f t="shared" si="119"/>
        <v>293.33333333334315</v>
      </c>
      <c r="CD194" s="59">
        <f ca="1">AVERAGE(OFFSET($CC$3,0,0,'Données projet'!$E$12+1,1))-AVERAGE(OFFSET($H$3,0,0,'Données projet'!$E$12+1,1))</f>
        <v>639.86968831634636</v>
      </c>
      <c r="CE194" s="59">
        <f t="shared" si="148"/>
        <v>218.1556771431184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114.77933770416404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114.77933770416404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9.9316821433603781E-14</v>
      </c>
      <c r="CV194" s="13">
        <f t="shared" si="173"/>
        <v>1.4932118279712753E-12</v>
      </c>
      <c r="CW194" s="20">
        <f t="shared" si="174"/>
        <v>2.7736540643801645E-12</v>
      </c>
      <c r="CX194" s="59">
        <f t="shared" si="122"/>
        <v>293.3333333333361</v>
      </c>
      <c r="CY194" s="59">
        <f ca="1">AVERAGE(OFFSET($CX$3,0,0,'Données projet'!$E$13+1,1))-AVERAGE(OFFSET($H$3,0,0,'Données projet'!$E$13+1,1))</f>
        <v>218.76600554860482</v>
      </c>
      <c r="CZ194" s="59">
        <f t="shared" si="150"/>
        <v>264.34840059907702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4.2130546568227771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4.2130546568227771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-1.7053025658242404E-13</v>
      </c>
      <c r="DP194" s="17">
        <f>DO194*VLOOKUP('Données projet'!$B$14,Paramètres!$A$1:$I$89,3,0)*VLOOKUP('Données projet'!$B$14,Paramètres!$A$1:$I$89,5,0)</f>
        <v>-1.4631496014771985E-13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442.97490100035287</v>
      </c>
      <c r="DU194" s="59">
        <f t="shared" si="152"/>
        <v>334.36243356457049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29.143577928149266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29.143577928149266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5.6843418860808015E-14</v>
      </c>
      <c r="EK194" s="17">
        <f>EJ194*VLOOKUP('Données projet'!$B$15,Paramètres!$A$1:$I$89,3,0)*VLOOKUP('Données projet'!$B$15,Paramètres!$A$1:$I$89,5,0)</f>
        <v>4.4337866711430253E-14</v>
      </c>
      <c r="EL194" s="13">
        <f t="shared" si="179"/>
        <v>7.3222115536967035E-13</v>
      </c>
      <c r="EM194" s="20">
        <f t="shared" si="180"/>
        <v>1.3525069634579169E-12</v>
      </c>
      <c r="EN194" s="59">
        <f t="shared" si="128"/>
        <v>293.33333333333468</v>
      </c>
      <c r="EO194" s="59">
        <f ca="1">AVERAGE(OFFSET($EN$3,0,0,'Données projet'!$E$15+1,1))-AVERAGE(OFFSET($H$3,0,0,'Données projet'!$E$15+1,1))</f>
        <v>288.82868507674738</v>
      </c>
      <c r="EP194" s="59">
        <f t="shared" si="154"/>
        <v>283.48738729114024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7.3753412277428518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7.3753412277428518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328.55201074501201</v>
      </c>
      <c r="FK194" s="59">
        <f t="shared" si="156"/>
        <v>321.81422611044985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10.653200648628712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10.653200648628712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353.37024194969638</v>
      </c>
      <c r="GF194" s="59">
        <f t="shared" si="158"/>
        <v>345.4750813433123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14.248194632975439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14.248194632975439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1.2710188457276673E-13</v>
      </c>
      <c r="P195" s="13">
        <f t="shared" si="141"/>
        <v>1.856866851063998E-12</v>
      </c>
      <c r="Q195" s="20">
        <f t="shared" si="162"/>
        <v>3.4554122145673649E-12</v>
      </c>
      <c r="R195" s="59">
        <f t="shared" ref="R195:R203" si="191">Q195+(I195+J195)*44/12</f>
        <v>293.33333333333678</v>
      </c>
      <c r="S195" s="59">
        <f ca="1">AVERAGE(OFFSET($R$3,0,0,'Données projet'!$E$9+1,1))-AVERAGE(OFFSET($H$3,0,0,'Données projet'!$E$9+1,1))</f>
        <v>404.65492118472037</v>
      </c>
      <c r="T195" s="59">
        <f t="shared" si="142"/>
        <v>534.22295841722166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18.266487777300455</v>
      </c>
      <c r="AA195" s="21">
        <f>EXP(-LN(2)/25)*AA194+(1-EXP(-LN(2)/25))/(LN(2)/25)*Calculateur!V195*Calculateur!X195*VLOOKUP('Données projet'!$B$9,Paramètres!$A$1:$I$89,3,0)*0.475*44/12</f>
        <v>1.6019165516795355</v>
      </c>
      <c r="AB195" s="21">
        <f>EXP(-LN(2)/2)*AB194+(1-EXP(-LN(2)/2))/(LN(2)/2)*V195*Y195*VLOOKUP('Données projet'!$B$9,Paramètres!$A$1:$I$89,3,0)*0.475*44/12</f>
        <v>7.1193907601392849E-20</v>
      </c>
      <c r="AC195" s="22">
        <f t="shared" si="163"/>
        <v>19.868404328979992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-7.9808160080574461E-14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331.17634116262298</v>
      </c>
      <c r="AO195" s="59">
        <f t="shared" si="144"/>
        <v>286.28916368940605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26.569429127760156</v>
      </c>
      <c r="AV195" s="21">
        <f>EXP(-LN(2)/25)*AV194+(1-EXP(-LN(2)/25))/(LN(2)/25)*Calculateur!AQ195*Calculateur!AS195*VLOOKUP('Données projet'!$B$10,Paramètres!$A$1:$I$89,3,0)*0.475*44/12</f>
        <v>4.5875580573155972</v>
      </c>
      <c r="AW195" s="21">
        <f>EXP(-LN(2)/2)*AW194+(1-EXP(-LN(2)/2))/(LN(2)/2)*AQ195*AT195*VLOOKUP('Données projet'!$B$10,Paramètres!$A$1:$I$89,3,0)*0.475*44/12</f>
        <v>3.5271284129832486E-13</v>
      </c>
      <c r="AX195" s="21">
        <f t="shared" si="166"/>
        <v>31.156987185076105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1.4210854715202004E-13</v>
      </c>
      <c r="BE195" s="13">
        <f>BD195*VLOOKUP('Données projet'!$B$11,Paramètres!$A$1:$I$89,3,0)*VLOOKUP('Données projet'!$B$11,Paramètres!$A$1:$I$89,5,0)</f>
        <v>7.7591266745002952E-14</v>
      </c>
      <c r="BF195" s="13">
        <f t="shared" si="167"/>
        <v>1.2005788606873384E-12</v>
      </c>
      <c r="BG195" s="20">
        <f t="shared" si="168"/>
        <v>2.226146305277994E-12</v>
      </c>
      <c r="BH195" s="59">
        <f t="shared" si="116"/>
        <v>293.33333333333553</v>
      </c>
      <c r="BI195" s="59">
        <f ca="1">AVERAGE(OFFSET($BH$3,0,0,'Données projet'!$E$11+1,1))-AVERAGE(OFFSET($H$3,0,0,'Données projet'!$E$11+1,1))</f>
        <v>165.87377022031535</v>
      </c>
      <c r="BJ195" s="59">
        <f t="shared" si="146"/>
        <v>272.91122662088929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5.5404956118894448</v>
      </c>
      <c r="BQ195" s="21">
        <f>EXP(-LN(2)/25)*BQ194+(1-EXP(-LN(2)/25))/(LN(2)/25)*Calculateur!BL195*Calculateur!BN195*VLOOKUP('Données projet'!$B$11,Paramètres!$A$1:$I$89,3,0)*0.475*44/12</f>
        <v>0.57041330675645052</v>
      </c>
      <c r="BR195" s="21">
        <f>EXP(-LN(2)/2)*BR194+(1-EXP(-LN(2)/2))/(LN(2)/2)*BL195*BO195*VLOOKUP('Données projet'!$B$11,Paramètres!$A$1:$I$89,3,0)*0.475*44/12</f>
        <v>3.4099999144916591E-22</v>
      </c>
      <c r="BS195" s="22">
        <f t="shared" si="169"/>
        <v>6.1109089186458956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4.5474735088646412E-13</v>
      </c>
      <c r="BZ195" s="13">
        <f>BY195*VLOOKUP('Données projet'!$B$12,Paramètres!$A$1:$I$89,3,0)*VLOOKUP('Données projet'!$B$12,Paramètres!$A$1:$I$89,5,0)</f>
        <v>4.1145540308207271E-13</v>
      </c>
      <c r="CA195" s="13">
        <f t="shared" si="170"/>
        <v>5.2428527960910789E-12</v>
      </c>
      <c r="CB195" s="20">
        <f t="shared" si="171"/>
        <v>9.8479201135599071E-12</v>
      </c>
      <c r="CC195" s="59">
        <f t="shared" si="119"/>
        <v>293.33333333334315</v>
      </c>
      <c r="CD195" s="59">
        <f ca="1">AVERAGE(OFFSET($CC$3,0,0,'Données projet'!$E$12+1,1))-AVERAGE(OFFSET($H$3,0,0,'Données projet'!$E$12+1,1))</f>
        <v>639.86968831634636</v>
      </c>
      <c r="CE195" s="59">
        <f t="shared" si="148"/>
        <v>218.1556771431184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112.52858490026861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112.52858490026861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9.9316821433603781E-14</v>
      </c>
      <c r="CV195" s="13">
        <f t="shared" si="173"/>
        <v>1.4932118279712753E-12</v>
      </c>
      <c r="CW195" s="20">
        <f t="shared" si="174"/>
        <v>2.7736540643801645E-12</v>
      </c>
      <c r="CX195" s="59">
        <f t="shared" si="122"/>
        <v>293.3333333333361</v>
      </c>
      <c r="CY195" s="59">
        <f ca="1">AVERAGE(OFFSET($CX$3,0,0,'Données projet'!$E$13+1,1))-AVERAGE(OFFSET($H$3,0,0,'Données projet'!$E$13+1,1))</f>
        <v>218.76600554860482</v>
      </c>
      <c r="CZ195" s="59">
        <f t="shared" si="150"/>
        <v>264.34840059907702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4.1304392247120854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4.1304392247120854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-1.7053025658242404E-13</v>
      </c>
      <c r="DP195" s="17">
        <f>DO195*VLOOKUP('Données projet'!$B$14,Paramètres!$A$1:$I$89,3,0)*VLOOKUP('Données projet'!$B$14,Paramètres!$A$1:$I$89,5,0)</f>
        <v>-1.4631496014771985E-13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442.97490100035287</v>
      </c>
      <c r="DU195" s="59">
        <f t="shared" si="152"/>
        <v>334.36243356457049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28.572090140805578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28.572090140805578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5.6843418860808015E-14</v>
      </c>
      <c r="EK195" s="17">
        <f>EJ195*VLOOKUP('Données projet'!$B$15,Paramètres!$A$1:$I$89,3,0)*VLOOKUP('Données projet'!$B$15,Paramètres!$A$1:$I$89,5,0)</f>
        <v>4.4337866711430253E-14</v>
      </c>
      <c r="EL195" s="13">
        <f t="shared" si="179"/>
        <v>7.3222115536967035E-13</v>
      </c>
      <c r="EM195" s="20">
        <f t="shared" si="180"/>
        <v>1.3525069634579169E-12</v>
      </c>
      <c r="EN195" s="59">
        <f t="shared" si="128"/>
        <v>293.33333333333468</v>
      </c>
      <c r="EO195" s="59">
        <f ca="1">AVERAGE(OFFSET($EN$3,0,0,'Données projet'!$E$15+1,1))-AVERAGE(OFFSET($H$3,0,0,'Données projet'!$E$15+1,1))</f>
        <v>288.82868507674738</v>
      </c>
      <c r="EP195" s="59">
        <f t="shared" si="154"/>
        <v>283.48738729114024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7.2307152847807723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7.2307152847807723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328.55201074501201</v>
      </c>
      <c r="FK195" s="59">
        <f t="shared" si="156"/>
        <v>321.81422611044985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10.444297881719892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10.444297881719892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353.37024194969638</v>
      </c>
      <c r="GF195" s="59">
        <f t="shared" si="158"/>
        <v>345.4750813433123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13.968796226763397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13.968796226763397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1.2710188457276673E-13</v>
      </c>
      <c r="P196" s="13">
        <f t="shared" si="141"/>
        <v>1.856866851063998E-12</v>
      </c>
      <c r="Q196" s="20">
        <f t="shared" si="162"/>
        <v>3.4554122145673649E-12</v>
      </c>
      <c r="R196" s="59">
        <f t="shared" si="191"/>
        <v>293.33333333333678</v>
      </c>
      <c r="S196" s="59">
        <f ca="1">AVERAGE(OFFSET($R$3,0,0,'Données projet'!$E$9+1,1))-AVERAGE(OFFSET($H$3,0,0,'Données projet'!$E$9+1,1))</f>
        <v>404.65492118472037</v>
      </c>
      <c r="T196" s="59">
        <f t="shared" si="142"/>
        <v>534.22295841722166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17.90829309344501</v>
      </c>
      <c r="AA196" s="21">
        <f>EXP(-LN(2)/25)*AA195+(1-EXP(-LN(2)/25))/(LN(2)/25)*Calculateur!V196*Calculateur!X196*VLOOKUP('Données projet'!$B$9,Paramètres!$A$1:$I$89,3,0)*0.475*44/12</f>
        <v>1.5581120593327284</v>
      </c>
      <c r="AB196" s="21">
        <f>EXP(-LN(2)/2)*AB195+(1-EXP(-LN(2)/2))/(LN(2)/2)*V196*Y196*VLOOKUP('Données projet'!$B$9,Paramètres!$A$1:$I$89,3,0)*0.475*44/12</f>
        <v>5.0341694844113376E-20</v>
      </c>
      <c r="AC196" s="22">
        <f t="shared" si="163"/>
        <v>19.466405152777739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-7.9808160080574461E-14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331.17634116262298</v>
      </c>
      <c r="AO196" s="59">
        <f t="shared" si="144"/>
        <v>286.28916368940605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26.048418828316361</v>
      </c>
      <c r="AV196" s="21">
        <f>EXP(-LN(2)/25)*AV195+(1-EXP(-LN(2)/25))/(LN(2)/25)*Calculateur!AQ196*Calculateur!AS196*VLOOKUP('Données projet'!$B$10,Paramètres!$A$1:$I$89,3,0)*0.475*44/12</f>
        <v>4.4621110409891092</v>
      </c>
      <c r="AW196" s="21">
        <f>EXP(-LN(2)/2)*AW195+(1-EXP(-LN(2)/2))/(LN(2)/2)*AQ196*AT196*VLOOKUP('Données projet'!$B$10,Paramètres!$A$1:$I$89,3,0)*0.475*44/12</f>
        <v>2.4940564189362006E-13</v>
      </c>
      <c r="AX196" s="21">
        <f t="shared" si="166"/>
        <v>30.510529869305721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1.4210854715202004E-13</v>
      </c>
      <c r="BE196" s="13">
        <f>BD196*VLOOKUP('Données projet'!$B$11,Paramètres!$A$1:$I$89,3,0)*VLOOKUP('Données projet'!$B$11,Paramètres!$A$1:$I$89,5,0)</f>
        <v>7.7591266745002952E-14</v>
      </c>
      <c r="BF196" s="13">
        <f t="shared" si="167"/>
        <v>1.2005788606873384E-12</v>
      </c>
      <c r="BG196" s="20">
        <f t="shared" si="168"/>
        <v>2.226146305277994E-12</v>
      </c>
      <c r="BH196" s="59">
        <f t="shared" ref="BH196:BH203" si="194">BG196+(AY196+AZ196)*44/12</f>
        <v>293.33333333333553</v>
      </c>
      <c r="BI196" s="59">
        <f ca="1">AVERAGE(OFFSET($BH$3,0,0,'Données projet'!$E$11+1,1))-AVERAGE(OFFSET($H$3,0,0,'Données projet'!$E$11+1,1))</f>
        <v>165.87377022031535</v>
      </c>
      <c r="BJ196" s="59">
        <f t="shared" si="146"/>
        <v>272.91122662088929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5.4318498723089315</v>
      </c>
      <c r="BQ196" s="21">
        <f>EXP(-LN(2)/25)*BQ195+(1-EXP(-LN(2)/25))/(LN(2)/25)*Calculateur!BL196*Calculateur!BN196*VLOOKUP('Données projet'!$B$11,Paramètres!$A$1:$I$89,3,0)*0.475*44/12</f>
        <v>0.55481532488646323</v>
      </c>
      <c r="BR196" s="21">
        <f>EXP(-LN(2)/2)*BR195+(1-EXP(-LN(2)/2))/(LN(2)/2)*BL196*BO196*VLOOKUP('Données projet'!$B$11,Paramètres!$A$1:$I$89,3,0)*0.475*44/12</f>
        <v>2.4112340633825993E-22</v>
      </c>
      <c r="BS196" s="22">
        <f t="shared" si="169"/>
        <v>5.9866651971953946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4.5474735088646412E-13</v>
      </c>
      <c r="BZ196" s="13">
        <f>BY196*VLOOKUP('Données projet'!$B$12,Paramètres!$A$1:$I$89,3,0)*VLOOKUP('Données projet'!$B$12,Paramètres!$A$1:$I$89,5,0)</f>
        <v>4.1145540308207271E-13</v>
      </c>
      <c r="CA196" s="13">
        <f t="shared" si="170"/>
        <v>5.2428527960910789E-12</v>
      </c>
      <c r="CB196" s="20">
        <f t="shared" si="171"/>
        <v>9.8479201135599071E-12</v>
      </c>
      <c r="CC196" s="59">
        <f t="shared" ref="CC196:CC203" si="195">CB196+(BT196+BU196)*44/12</f>
        <v>293.33333333334315</v>
      </c>
      <c r="CD196" s="59">
        <f ca="1">AVERAGE(OFFSET($CC$3,0,0,'Données projet'!$E$12+1,1))-AVERAGE(OFFSET($H$3,0,0,'Données projet'!$E$12+1,1))</f>
        <v>639.86968831634636</v>
      </c>
      <c r="CE196" s="59">
        <f t="shared" si="148"/>
        <v>218.1556771431184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110.32196798603393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110.32196798603393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9.9316821433603781E-14</v>
      </c>
      <c r="CV196" s="13">
        <f t="shared" si="173"/>
        <v>1.4932118279712753E-12</v>
      </c>
      <c r="CW196" s="20">
        <f t="shared" si="174"/>
        <v>2.7736540643801645E-12</v>
      </c>
      <c r="CX196" s="59">
        <f t="shared" ref="CX196:CX203" si="196">CW196+(CO196+CP196)*44/12</f>
        <v>293.3333333333361</v>
      </c>
      <c r="CY196" s="59">
        <f ca="1">AVERAGE(OFFSET($CX$3,0,0,'Données projet'!$E$13+1,1))-AVERAGE(OFFSET($H$3,0,0,'Données projet'!$E$13+1,1))</f>
        <v>218.76600554860482</v>
      </c>
      <c r="CZ196" s="59">
        <f t="shared" si="150"/>
        <v>264.34840059907702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4.0494438308346465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4.0494438308346465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-1.7053025658242404E-13</v>
      </c>
      <c r="DP196" s="17">
        <f>DO196*VLOOKUP('Données projet'!$B$14,Paramètres!$A$1:$I$89,3,0)*VLOOKUP('Données projet'!$B$14,Paramètres!$A$1:$I$89,5,0)</f>
        <v>-1.4631496014771985E-13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442.97490100035287</v>
      </c>
      <c r="DU196" s="59">
        <f t="shared" si="152"/>
        <v>334.36243356457049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28.011808880398569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28.011808880398569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5.6843418860808015E-14</v>
      </c>
      <c r="EK196" s="17">
        <f>EJ196*VLOOKUP('Données projet'!$B$15,Paramètres!$A$1:$I$89,3,0)*VLOOKUP('Données projet'!$B$15,Paramètres!$A$1:$I$89,5,0)</f>
        <v>4.4337866711430253E-14</v>
      </c>
      <c r="EL196" s="13">
        <f t="shared" si="179"/>
        <v>7.3222115536967035E-13</v>
      </c>
      <c r="EM196" s="20">
        <f t="shared" si="180"/>
        <v>1.3525069634579169E-12</v>
      </c>
      <c r="EN196" s="59">
        <f t="shared" ref="EN196:EN203" si="198">EM196+(EE196+EF196)*44/12</f>
        <v>293.33333333333468</v>
      </c>
      <c r="EO196" s="59">
        <f ca="1">AVERAGE(OFFSET($EN$3,0,0,'Données projet'!$E$15+1,1))-AVERAGE(OFFSET($H$3,0,0,'Données projet'!$E$15+1,1))</f>
        <v>288.82868507674738</v>
      </c>
      <c r="EP196" s="59">
        <f t="shared" si="154"/>
        <v>283.48738729114024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7.0889253683470637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7.0889253683470637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328.55201074501201</v>
      </c>
      <c r="FK196" s="59">
        <f t="shared" si="156"/>
        <v>321.81422611044985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10.239491570652049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10.239491570652049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353.37024194969638</v>
      </c>
      <c r="GF196" s="59">
        <f t="shared" si="158"/>
        <v>345.4750813433123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13.694876652880973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13.694876652880973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1.2710188457276673E-13</v>
      </c>
      <c r="P197" s="13">
        <f t="shared" ref="P197:P203" si="203">EXP(-1.0587+0.8836*LN(O197)+0.284)</f>
        <v>1.856866851063998E-12</v>
      </c>
      <c r="Q197" s="20">
        <f t="shared" si="162"/>
        <v>3.4554122145673649E-12</v>
      </c>
      <c r="R197" s="59">
        <f t="shared" si="191"/>
        <v>293.33333333333678</v>
      </c>
      <c r="S197" s="59">
        <f ca="1">AVERAGE(OFFSET($R$3,0,0,'Données projet'!$E$9+1,1))-AVERAGE(OFFSET($H$3,0,0,'Données projet'!$E$9+1,1))</f>
        <v>404.65492118472037</v>
      </c>
      <c r="T197" s="59">
        <f t="shared" ref="T197:T203" si="204">$T$3</f>
        <v>534.22295841722166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17.557122388862787</v>
      </c>
      <c r="AA197" s="21">
        <f>EXP(-LN(2)/25)*AA196+(1-EXP(-LN(2)/25))/(LN(2)/25)*Calculateur!V197*Calculateur!X197*VLOOKUP('Données projet'!$B$9,Paramètres!$A$1:$I$89,3,0)*0.475*44/12</f>
        <v>1.5155054031327229</v>
      </c>
      <c r="AB197" s="21">
        <f>EXP(-LN(2)/2)*AB196+(1-EXP(-LN(2)/2))/(LN(2)/2)*V197*Y197*VLOOKUP('Données projet'!$B$9,Paramètres!$A$1:$I$89,3,0)*0.475*44/12</f>
        <v>3.5596953800696424E-20</v>
      </c>
      <c r="AC197" s="22">
        <f t="shared" si="163"/>
        <v>19.072627791995508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-7.9808160080574461E-14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331.17634116262298</v>
      </c>
      <c r="AO197" s="59">
        <f t="shared" ref="AO197:AO203" si="205">$AO$3</f>
        <v>286.28916368940605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25.537625223059756</v>
      </c>
      <c r="AV197" s="21">
        <f>EXP(-LN(2)/25)*AV196+(1-EXP(-LN(2)/25))/(LN(2)/25)*Calculateur!AQ197*Calculateur!AS197*VLOOKUP('Données projet'!$B$10,Paramètres!$A$1:$I$89,3,0)*0.475*44/12</f>
        <v>4.340094379921041</v>
      </c>
      <c r="AW197" s="21">
        <f>EXP(-LN(2)/2)*AW196+(1-EXP(-LN(2)/2))/(LN(2)/2)*AQ197*AT197*VLOOKUP('Données projet'!$B$10,Paramètres!$A$1:$I$89,3,0)*0.475*44/12</f>
        <v>1.7635642064916243E-13</v>
      </c>
      <c r="AX197" s="21">
        <f t="shared" si="166"/>
        <v>29.877719602980974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1.4210854715202004E-13</v>
      </c>
      <c r="BE197" s="13">
        <f>BD197*VLOOKUP('Données projet'!$B$11,Paramètres!$A$1:$I$89,3,0)*VLOOKUP('Données projet'!$B$11,Paramètres!$A$1:$I$89,5,0)</f>
        <v>7.7591266745002952E-14</v>
      </c>
      <c r="BF197" s="13">
        <f t="shared" si="167"/>
        <v>1.2005788606873384E-12</v>
      </c>
      <c r="BG197" s="20">
        <f t="shared" si="168"/>
        <v>2.226146305277994E-12</v>
      </c>
      <c r="BH197" s="59">
        <f t="shared" si="194"/>
        <v>293.33333333333553</v>
      </c>
      <c r="BI197" s="59">
        <f ca="1">AVERAGE(OFFSET($BH$3,0,0,'Données projet'!$E$11+1,1))-AVERAGE(OFFSET($H$3,0,0,'Données projet'!$E$11+1,1))</f>
        <v>165.87377022031535</v>
      </c>
      <c r="BJ197" s="59">
        <f t="shared" ref="BJ197:BJ203" si="206">$BJ$3</f>
        <v>272.91122662088929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5.3253346094142335</v>
      </c>
      <c r="BQ197" s="21">
        <f>EXP(-LN(2)/25)*BQ196+(1-EXP(-LN(2)/25))/(LN(2)/25)*Calculateur!BL197*Calculateur!BN197*VLOOKUP('Données projet'!$B$11,Paramètres!$A$1:$I$89,3,0)*0.475*44/12</f>
        <v>0.53964387065097297</v>
      </c>
      <c r="BR197" s="21">
        <f>EXP(-LN(2)/2)*BR196+(1-EXP(-LN(2)/2))/(LN(2)/2)*BL197*BO197*VLOOKUP('Données projet'!$B$11,Paramètres!$A$1:$I$89,3,0)*0.475*44/12</f>
        <v>1.7049999572458295E-22</v>
      </c>
      <c r="BS197" s="22">
        <f t="shared" si="169"/>
        <v>5.8649784800652061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4.5474735088646412E-13</v>
      </c>
      <c r="BZ197" s="13">
        <f>BY197*VLOOKUP('Données projet'!$B$12,Paramètres!$A$1:$I$89,3,0)*VLOOKUP('Données projet'!$B$12,Paramètres!$A$1:$I$89,5,0)</f>
        <v>4.1145540308207271E-13</v>
      </c>
      <c r="CA197" s="13">
        <f t="shared" si="170"/>
        <v>5.2428527960910789E-12</v>
      </c>
      <c r="CB197" s="20">
        <f t="shared" si="171"/>
        <v>9.8479201135599071E-12</v>
      </c>
      <c r="CC197" s="59">
        <f t="shared" si="195"/>
        <v>293.33333333334315</v>
      </c>
      <c r="CD197" s="59">
        <f ca="1">AVERAGE(OFFSET($CC$3,0,0,'Données projet'!$E$12+1,1))-AVERAGE(OFFSET($H$3,0,0,'Données projet'!$E$12+1,1))</f>
        <v>639.86968831634636</v>
      </c>
      <c r="CE197" s="59">
        <f t="shared" ref="CE197:CE203" si="207">$CE$3</f>
        <v>218.1556771431184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108.15862148358396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108.15862148358396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9.9316821433603781E-14</v>
      </c>
      <c r="CV197" s="13">
        <f t="shared" si="173"/>
        <v>1.4932118279712753E-12</v>
      </c>
      <c r="CW197" s="20">
        <f t="shared" si="174"/>
        <v>2.7736540643801645E-12</v>
      </c>
      <c r="CX197" s="59">
        <f t="shared" si="196"/>
        <v>293.3333333333361</v>
      </c>
      <c r="CY197" s="59">
        <f ca="1">AVERAGE(OFFSET($CX$3,0,0,'Données projet'!$E$13+1,1))-AVERAGE(OFFSET($H$3,0,0,'Données projet'!$E$13+1,1))</f>
        <v>218.76600554860482</v>
      </c>
      <c r="CZ197" s="59">
        <f t="shared" ref="CZ197:CZ203" si="208">$CZ$3</f>
        <v>264.34840059907702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3.9700367072288318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3.9700367072288318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-1.7053025658242404E-13</v>
      </c>
      <c r="DP197" s="17">
        <f>DO197*VLOOKUP('Données projet'!$B$14,Paramètres!$A$1:$I$89,3,0)*VLOOKUP('Données projet'!$B$14,Paramètres!$A$1:$I$89,5,0)</f>
        <v>-1.4631496014771985E-13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442.97490100035287</v>
      </c>
      <c r="DU197" s="59">
        <f t="shared" ref="DU197:DU203" si="209">$DU$3</f>
        <v>334.36243356457049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27.462514393770316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27.462514393770316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5.6843418860808015E-14</v>
      </c>
      <c r="EK197" s="17">
        <f>EJ197*VLOOKUP('Données projet'!$B$15,Paramètres!$A$1:$I$89,3,0)*VLOOKUP('Données projet'!$B$15,Paramètres!$A$1:$I$89,5,0)</f>
        <v>4.4337866711430253E-14</v>
      </c>
      <c r="EL197" s="13">
        <f t="shared" si="179"/>
        <v>7.3222115536967035E-13</v>
      </c>
      <c r="EM197" s="20">
        <f t="shared" si="180"/>
        <v>1.3525069634579169E-12</v>
      </c>
      <c r="EN197" s="59">
        <f t="shared" si="198"/>
        <v>293.33333333333468</v>
      </c>
      <c r="EO197" s="59">
        <f ca="1">AVERAGE(OFFSET($EN$3,0,0,'Données projet'!$E$15+1,1))-AVERAGE(OFFSET($H$3,0,0,'Données projet'!$E$15+1,1))</f>
        <v>288.82868507674738</v>
      </c>
      <c r="EP197" s="59">
        <f t="shared" ref="EP197:EP203" si="210">$EP$3</f>
        <v>283.48738729114024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6.9499158656913105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6.9499158656913105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328.55201074501201</v>
      </c>
      <c r="FK197" s="59">
        <f t="shared" ref="FK197:FK203" si="211">$FK$3</f>
        <v>321.81422611044985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10.038701386424732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10.038701386424732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353.37024194969638</v>
      </c>
      <c r="GF197" s="59">
        <f t="shared" ref="GF197:GF203" si="212">$GF$3</f>
        <v>345.4750813433123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13.42632847476794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13.42632847476794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1.2710188457276673E-13</v>
      </c>
      <c r="P198" s="13">
        <f t="shared" si="203"/>
        <v>1.856866851063998E-12</v>
      </c>
      <c r="Q198" s="20">
        <f t="shared" si="162"/>
        <v>3.4554122145673649E-12</v>
      </c>
      <c r="R198" s="59">
        <f t="shared" si="191"/>
        <v>293.33333333333678</v>
      </c>
      <c r="S198" s="59">
        <f ca="1">AVERAGE(OFFSET($R$3,0,0,'Données projet'!$E$9+1,1))-AVERAGE(OFFSET($H$3,0,0,'Données projet'!$E$9+1,1))</f>
        <v>404.65492118472037</v>
      </c>
      <c r="T198" s="59">
        <f t="shared" si="204"/>
        <v>534.22295841722166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17.21283792760444</v>
      </c>
      <c r="AA198" s="21">
        <f>EXP(-LN(2)/25)*AA197+(1-EXP(-LN(2)/25))/(LN(2)/25)*Calculateur!V198*Calculateur!X198*VLOOKUP('Données projet'!$B$9,Paramètres!$A$1:$I$89,3,0)*0.475*44/12</f>
        <v>1.474063828187093</v>
      </c>
      <c r="AB198" s="21">
        <f>EXP(-LN(2)/2)*AB197+(1-EXP(-LN(2)/2))/(LN(2)/2)*V198*Y198*VLOOKUP('Données projet'!$B$9,Paramètres!$A$1:$I$89,3,0)*0.475*44/12</f>
        <v>2.5170847422056688E-20</v>
      </c>
      <c r="AC198" s="22">
        <f t="shared" si="163"/>
        <v>18.686901755791531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-7.9808160080574461E-14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331.17634116262298</v>
      </c>
      <c r="AO198" s="59">
        <f t="shared" si="205"/>
        <v>286.28916368940605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25.036847968848896</v>
      </c>
      <c r="AV198" s="21">
        <f>EXP(-LN(2)/25)*AV197+(1-EXP(-LN(2)/25))/(LN(2)/25)*Calculateur!AQ198*Calculateur!AS198*VLOOKUP('Données projet'!$B$10,Paramètres!$A$1:$I$89,3,0)*0.475*44/12</f>
        <v>4.2214142708664557</v>
      </c>
      <c r="AW198" s="21">
        <f>EXP(-LN(2)/2)*AW197+(1-EXP(-LN(2)/2))/(LN(2)/2)*AQ198*AT198*VLOOKUP('Données projet'!$B$10,Paramètres!$A$1:$I$89,3,0)*0.475*44/12</f>
        <v>1.2470282094681003E-13</v>
      </c>
      <c r="AX198" s="21">
        <f t="shared" si="166"/>
        <v>29.258262239715474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1.4210854715202004E-13</v>
      </c>
      <c r="BE198" s="13">
        <f>BD198*VLOOKUP('Données projet'!$B$11,Paramètres!$A$1:$I$89,3,0)*VLOOKUP('Données projet'!$B$11,Paramètres!$A$1:$I$89,5,0)</f>
        <v>7.7591266745002952E-14</v>
      </c>
      <c r="BF198" s="13">
        <f t="shared" si="167"/>
        <v>1.2005788606873384E-12</v>
      </c>
      <c r="BG198" s="20">
        <f t="shared" si="168"/>
        <v>2.226146305277994E-12</v>
      </c>
      <c r="BH198" s="59">
        <f t="shared" si="194"/>
        <v>293.33333333333553</v>
      </c>
      <c r="BI198" s="59">
        <f ca="1">AVERAGE(OFFSET($BH$3,0,0,'Données projet'!$E$11+1,1))-AVERAGE(OFFSET($H$3,0,0,'Données projet'!$E$11+1,1))</f>
        <v>165.87377022031535</v>
      </c>
      <c r="BJ198" s="59">
        <f t="shared" si="206"/>
        <v>272.91122662088929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5.2209080458570059</v>
      </c>
      <c r="BQ198" s="21">
        <f>EXP(-LN(2)/25)*BQ197+(1-EXP(-LN(2)/25))/(LN(2)/25)*Calculateur!BL198*Calculateur!BN198*VLOOKUP('Données projet'!$B$11,Paramètres!$A$1:$I$89,3,0)*0.475*44/12</f>
        <v>0.52488728062938428</v>
      </c>
      <c r="BR198" s="21">
        <f>EXP(-LN(2)/2)*BR197+(1-EXP(-LN(2)/2))/(LN(2)/2)*BL198*BO198*VLOOKUP('Données projet'!$B$11,Paramètres!$A$1:$I$89,3,0)*0.475*44/12</f>
        <v>1.2056170316912996E-22</v>
      </c>
      <c r="BS198" s="22">
        <f t="shared" si="169"/>
        <v>5.7457953264863901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4.5474735088646412E-13</v>
      </c>
      <c r="BZ198" s="13">
        <f>BY198*VLOOKUP('Données projet'!$B$12,Paramètres!$A$1:$I$89,3,0)*VLOOKUP('Données projet'!$B$12,Paramètres!$A$1:$I$89,5,0)</f>
        <v>4.1145540308207271E-13</v>
      </c>
      <c r="CA198" s="13">
        <f t="shared" si="170"/>
        <v>5.2428527960910789E-12</v>
      </c>
      <c r="CB198" s="20">
        <f t="shared" si="171"/>
        <v>9.8479201135599071E-12</v>
      </c>
      <c r="CC198" s="59">
        <f t="shared" si="195"/>
        <v>293.33333333334315</v>
      </c>
      <c r="CD198" s="59">
        <f ca="1">AVERAGE(OFFSET($CC$3,0,0,'Données projet'!$E$12+1,1))-AVERAGE(OFFSET($H$3,0,0,'Données projet'!$E$12+1,1))</f>
        <v>639.86968831634636</v>
      </c>
      <c r="CE198" s="59">
        <f t="shared" si="207"/>
        <v>218.1556771431184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106.03769688653595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106.03769688653595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9.9316821433603781E-14</v>
      </c>
      <c r="CV198" s="13">
        <f t="shared" si="173"/>
        <v>1.4932118279712753E-12</v>
      </c>
      <c r="CW198" s="20">
        <f t="shared" si="174"/>
        <v>2.7736540643801645E-12</v>
      </c>
      <c r="CX198" s="59">
        <f t="shared" si="196"/>
        <v>293.3333333333361</v>
      </c>
      <c r="CY198" s="59">
        <f ca="1">AVERAGE(OFFSET($CX$3,0,0,'Données projet'!$E$13+1,1))-AVERAGE(OFFSET($H$3,0,0,'Données projet'!$E$13+1,1))</f>
        <v>218.76600554860482</v>
      </c>
      <c r="CZ198" s="59">
        <f t="shared" si="208"/>
        <v>264.34840059907702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3.8921867088833642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3.8921867088833642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-1.7053025658242404E-13</v>
      </c>
      <c r="DP198" s="17">
        <f>DO198*VLOOKUP('Données projet'!$B$14,Paramètres!$A$1:$I$89,3,0)*VLOOKUP('Données projet'!$B$14,Paramètres!$A$1:$I$89,5,0)</f>
        <v>-1.4631496014771985E-13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442.97490100035287</v>
      </c>
      <c r="DU198" s="59">
        <f t="shared" si="209"/>
        <v>334.36243356457049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26.923991236988289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26.923991236988289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5.6843418860808015E-14</v>
      </c>
      <c r="EK198" s="17">
        <f>EJ198*VLOOKUP('Données projet'!$B$15,Paramètres!$A$1:$I$89,3,0)*VLOOKUP('Données projet'!$B$15,Paramètres!$A$1:$I$89,5,0)</f>
        <v>4.4337866711430253E-14</v>
      </c>
      <c r="EL198" s="13">
        <f t="shared" si="179"/>
        <v>7.3222115536967035E-13</v>
      </c>
      <c r="EM198" s="20">
        <f t="shared" si="180"/>
        <v>1.3525069634579169E-12</v>
      </c>
      <c r="EN198" s="59">
        <f t="shared" si="198"/>
        <v>293.33333333333468</v>
      </c>
      <c r="EO198" s="59">
        <f ca="1">AVERAGE(OFFSET($EN$3,0,0,'Données projet'!$E$15+1,1))-AVERAGE(OFFSET($H$3,0,0,'Données projet'!$E$15+1,1))</f>
        <v>288.82868507674738</v>
      </c>
      <c r="EP198" s="59">
        <f t="shared" si="210"/>
        <v>283.48738729114024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6.8136322545952126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6.8136322545952126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328.55201074501201</v>
      </c>
      <c r="FK198" s="59">
        <f t="shared" si="211"/>
        <v>321.81422611044985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9.8418485752401921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9.8418485752401921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353.37024194969638</v>
      </c>
      <c r="GF198" s="59">
        <f t="shared" si="212"/>
        <v>345.4750813433123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13.163046362629489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13.163046362629489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1.2710188457276673E-13</v>
      </c>
      <c r="P199" s="13">
        <f t="shared" si="203"/>
        <v>1.856866851063998E-12</v>
      </c>
      <c r="Q199" s="20">
        <f t="shared" si="162"/>
        <v>3.4554122145673649E-12</v>
      </c>
      <c r="R199" s="59">
        <f t="shared" si="191"/>
        <v>293.33333333333678</v>
      </c>
      <c r="S199" s="59">
        <f ca="1">AVERAGE(OFFSET($R$3,0,0,'Données projet'!$E$9+1,1))-AVERAGE(OFFSET($H$3,0,0,'Données projet'!$E$9+1,1))</f>
        <v>404.65492118472037</v>
      </c>
      <c r="T199" s="59">
        <f t="shared" si="204"/>
        <v>534.22295841722166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16.875304674638581</v>
      </c>
      <c r="AA199" s="21">
        <f>EXP(-LN(2)/25)*AA198+(1-EXP(-LN(2)/25))/(LN(2)/25)*Calculateur!V199*Calculateur!X199*VLOOKUP('Données projet'!$B$9,Paramètres!$A$1:$I$89,3,0)*0.475*44/12</f>
        <v>1.4337554752876693</v>
      </c>
      <c r="AB199" s="21">
        <f>EXP(-LN(2)/2)*AB198+(1-EXP(-LN(2)/2))/(LN(2)/2)*V199*Y199*VLOOKUP('Données projet'!$B$9,Paramètres!$A$1:$I$89,3,0)*0.475*44/12</f>
        <v>1.7798476900348212E-20</v>
      </c>
      <c r="AC199" s="22">
        <f t="shared" si="163"/>
        <v>18.30906014992625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-7.9808160080574461E-14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331.17634116262298</v>
      </c>
      <c r="AO199" s="59">
        <f t="shared" si="205"/>
        <v>286.28916368940605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24.545890651149147</v>
      </c>
      <c r="AV199" s="21">
        <f>EXP(-LN(2)/25)*AV198+(1-EXP(-LN(2)/25))/(LN(2)/25)*Calculateur!AQ199*Calculateur!AS199*VLOOKUP('Données projet'!$B$10,Paramètres!$A$1:$I$89,3,0)*0.475*44/12</f>
        <v>4.1059794756350838</v>
      </c>
      <c r="AW199" s="21">
        <f>EXP(-LN(2)/2)*AW198+(1-EXP(-LN(2)/2))/(LN(2)/2)*AQ199*AT199*VLOOKUP('Données projet'!$B$10,Paramètres!$A$1:$I$89,3,0)*0.475*44/12</f>
        <v>8.8178210324581215E-14</v>
      </c>
      <c r="AX199" s="21">
        <f t="shared" si="166"/>
        <v>28.651870126784321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1.4210854715202004E-13</v>
      </c>
      <c r="BE199" s="13">
        <f>BD199*VLOOKUP('Données projet'!$B$11,Paramètres!$A$1:$I$89,3,0)*VLOOKUP('Données projet'!$B$11,Paramètres!$A$1:$I$89,5,0)</f>
        <v>7.7591266745002952E-14</v>
      </c>
      <c r="BF199" s="13">
        <f t="shared" si="167"/>
        <v>1.2005788606873384E-12</v>
      </c>
      <c r="BG199" s="20">
        <f t="shared" si="168"/>
        <v>2.226146305277994E-12</v>
      </c>
      <c r="BH199" s="59">
        <f t="shared" si="194"/>
        <v>293.33333333333553</v>
      </c>
      <c r="BI199" s="59">
        <f ca="1">AVERAGE(OFFSET($BH$3,0,0,'Données projet'!$E$11+1,1))-AVERAGE(OFFSET($H$3,0,0,'Données projet'!$E$11+1,1))</f>
        <v>165.87377022031535</v>
      </c>
      <c r="BJ199" s="59">
        <f t="shared" si="206"/>
        <v>272.91122662088929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5.1185292235172204</v>
      </c>
      <c r="BQ199" s="21">
        <f>EXP(-LN(2)/25)*BQ198+(1-EXP(-LN(2)/25))/(LN(2)/25)*Calculateur!BL199*Calculateur!BN199*VLOOKUP('Données projet'!$B$11,Paramètres!$A$1:$I$89,3,0)*0.475*44/12</f>
        <v>0.51053421033795132</v>
      </c>
      <c r="BR199" s="21">
        <f>EXP(-LN(2)/2)*BR198+(1-EXP(-LN(2)/2))/(LN(2)/2)*BL199*BO199*VLOOKUP('Données projet'!$B$11,Paramètres!$A$1:$I$89,3,0)*0.475*44/12</f>
        <v>8.5249997862291477E-23</v>
      </c>
      <c r="BS199" s="22">
        <f t="shared" si="169"/>
        <v>5.6290634338551717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4.5474735088646412E-13</v>
      </c>
      <c r="BZ199" s="13">
        <f>BY199*VLOOKUP('Données projet'!$B$12,Paramètres!$A$1:$I$89,3,0)*VLOOKUP('Données projet'!$B$12,Paramètres!$A$1:$I$89,5,0)</f>
        <v>4.1145540308207271E-13</v>
      </c>
      <c r="CA199" s="13">
        <f t="shared" si="170"/>
        <v>5.2428527960910789E-12</v>
      </c>
      <c r="CB199" s="20">
        <f t="shared" si="171"/>
        <v>9.8479201135599071E-12</v>
      </c>
      <c r="CC199" s="59">
        <f t="shared" si="195"/>
        <v>293.33333333334315</v>
      </c>
      <c r="CD199" s="59">
        <f ca="1">AVERAGE(OFFSET($CC$3,0,0,'Données projet'!$E$12+1,1))-AVERAGE(OFFSET($H$3,0,0,'Données projet'!$E$12+1,1))</f>
        <v>639.86968831634636</v>
      </c>
      <c r="CE199" s="59">
        <f t="shared" si="207"/>
        <v>218.1556771431184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103.95836232719979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103.95836232719979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9.9316821433603781E-14</v>
      </c>
      <c r="CV199" s="13">
        <f t="shared" si="173"/>
        <v>1.4932118279712753E-12</v>
      </c>
      <c r="CW199" s="20">
        <f t="shared" si="174"/>
        <v>2.7736540643801645E-12</v>
      </c>
      <c r="CX199" s="59">
        <f t="shared" si="196"/>
        <v>293.3333333333361</v>
      </c>
      <c r="CY199" s="59">
        <f ca="1">AVERAGE(OFFSET($CX$3,0,0,'Données projet'!$E$13+1,1))-AVERAGE(OFFSET($H$3,0,0,'Données projet'!$E$13+1,1))</f>
        <v>218.76600554860482</v>
      </c>
      <c r="CZ199" s="59">
        <f t="shared" si="208"/>
        <v>264.34840059907702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3.8158633015216408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3.8158633015216408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-1.7053025658242404E-13</v>
      </c>
      <c r="DP199" s="17">
        <f>DO199*VLOOKUP('Données projet'!$B$14,Paramètres!$A$1:$I$89,3,0)*VLOOKUP('Données projet'!$B$14,Paramètres!$A$1:$I$89,5,0)</f>
        <v>-1.4631496014771985E-13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442.97490100035287</v>
      </c>
      <c r="DU199" s="59">
        <f t="shared" si="209"/>
        <v>334.36243356457049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26.396028190844063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26.396028190844063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5.6843418860808015E-14</v>
      </c>
      <c r="EK199" s="17">
        <f>EJ199*VLOOKUP('Données projet'!$B$15,Paramètres!$A$1:$I$89,3,0)*VLOOKUP('Données projet'!$B$15,Paramètres!$A$1:$I$89,5,0)</f>
        <v>4.4337866711430253E-14</v>
      </c>
      <c r="EL199" s="13">
        <f t="shared" si="179"/>
        <v>7.3222115536967035E-13</v>
      </c>
      <c r="EM199" s="20">
        <f t="shared" si="180"/>
        <v>1.3525069634579169E-12</v>
      </c>
      <c r="EN199" s="59">
        <f t="shared" si="198"/>
        <v>293.33333333333468</v>
      </c>
      <c r="EO199" s="59">
        <f ca="1">AVERAGE(OFFSET($EN$3,0,0,'Données projet'!$E$15+1,1))-AVERAGE(OFFSET($H$3,0,0,'Données projet'!$E$15+1,1))</f>
        <v>288.82868507674738</v>
      </c>
      <c r="EP199" s="59">
        <f t="shared" si="210"/>
        <v>283.48738729114024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6.6800210819879142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6.6800210819879142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328.55201074501201</v>
      </c>
      <c r="FK199" s="59">
        <f t="shared" si="211"/>
        <v>321.81422611044985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9.6488559276146226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9.6488559276146226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353.37024194969638</v>
      </c>
      <c r="GF199" s="59">
        <f t="shared" si="212"/>
        <v>345.4750813433123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12.90492705212384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12.90492705212384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1.2710188457276673E-13</v>
      </c>
      <c r="P200" s="13">
        <f t="shared" si="203"/>
        <v>1.856866851063998E-12</v>
      </c>
      <c r="Q200" s="20">
        <f t="shared" si="162"/>
        <v>3.4554122145673649E-12</v>
      </c>
      <c r="R200" s="59">
        <f t="shared" si="191"/>
        <v>293.33333333333678</v>
      </c>
      <c r="S200" s="59">
        <f ca="1">AVERAGE(OFFSET($R$3,0,0,'Données projet'!$E$9+1,1))-AVERAGE(OFFSET($H$3,0,0,'Données projet'!$E$9+1,1))</f>
        <v>404.65492118472037</v>
      </c>
      <c r="T200" s="59">
        <f t="shared" si="204"/>
        <v>534.22295841722166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16.544390242888429</v>
      </c>
      <c r="AA200" s="21">
        <f>EXP(-LN(2)/25)*AA199+(1-EXP(-LN(2)/25))/(LN(2)/25)*Calculateur!V200*Calculateur!X200*VLOOKUP('Données projet'!$B$9,Paramètres!$A$1:$I$89,3,0)*0.475*44/12</f>
        <v>1.3945493564180045</v>
      </c>
      <c r="AB200" s="21">
        <f>EXP(-LN(2)/2)*AB199+(1-EXP(-LN(2)/2))/(LN(2)/2)*V200*Y200*VLOOKUP('Données projet'!$B$9,Paramètres!$A$1:$I$89,3,0)*0.475*44/12</f>
        <v>1.2585423711028344E-20</v>
      </c>
      <c r="AC200" s="22">
        <f t="shared" si="163"/>
        <v>17.938939599306433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-7.9808160080574461E-14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331.17634116262298</v>
      </c>
      <c r="AO200" s="59">
        <f t="shared" si="205"/>
        <v>286.28916368940605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24.064560706995096</v>
      </c>
      <c r="AV200" s="21">
        <f>EXP(-LN(2)/25)*AV199+(1-EXP(-LN(2)/25))/(LN(2)/25)*Calculateur!AQ200*Calculateur!AS200*VLOOKUP('Données projet'!$B$10,Paramètres!$A$1:$I$89,3,0)*0.475*44/12</f>
        <v>3.993701250949766</v>
      </c>
      <c r="AW200" s="21">
        <f>EXP(-LN(2)/2)*AW199+(1-EXP(-LN(2)/2))/(LN(2)/2)*AQ200*AT200*VLOOKUP('Données projet'!$B$10,Paramètres!$A$1:$I$89,3,0)*0.475*44/12</f>
        <v>6.2351410473405015E-14</v>
      </c>
      <c r="AX200" s="21">
        <f t="shared" si="166"/>
        <v>28.058261957944925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1.4210854715202004E-13</v>
      </c>
      <c r="BE200" s="13">
        <f>BD200*VLOOKUP('Données projet'!$B$11,Paramètres!$A$1:$I$89,3,0)*VLOOKUP('Données projet'!$B$11,Paramètres!$A$1:$I$89,5,0)</f>
        <v>7.7591266745002952E-14</v>
      </c>
      <c r="BF200" s="13">
        <f t="shared" si="167"/>
        <v>1.2005788606873384E-12</v>
      </c>
      <c r="BG200" s="20">
        <f t="shared" si="168"/>
        <v>2.226146305277994E-12</v>
      </c>
      <c r="BH200" s="59">
        <f t="shared" si="194"/>
        <v>293.33333333333553</v>
      </c>
      <c r="BI200" s="59">
        <f ca="1">AVERAGE(OFFSET($BH$3,0,0,'Données projet'!$E$11+1,1))-AVERAGE(OFFSET($H$3,0,0,'Données projet'!$E$11+1,1))</f>
        <v>165.87377022031535</v>
      </c>
      <c r="BJ200" s="59">
        <f t="shared" si="206"/>
        <v>272.91122662088929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5.0181579874386024</v>
      </c>
      <c r="BQ200" s="21">
        <f>EXP(-LN(2)/25)*BQ199+(1-EXP(-LN(2)/25))/(LN(2)/25)*Calculateur!BL200*Calculateur!BN200*VLOOKUP('Données projet'!$B$11,Paramètres!$A$1:$I$89,3,0)*0.475*44/12</f>
        <v>0.49657362550843276</v>
      </c>
      <c r="BR200" s="21">
        <f>EXP(-LN(2)/2)*BR199+(1-EXP(-LN(2)/2))/(LN(2)/2)*BL200*BO200*VLOOKUP('Données projet'!$B$11,Paramètres!$A$1:$I$89,3,0)*0.475*44/12</f>
        <v>6.0280851584564982E-23</v>
      </c>
      <c r="BS200" s="22">
        <f t="shared" si="169"/>
        <v>5.5147316129470347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4.5474735088646412E-13</v>
      </c>
      <c r="BZ200" s="13">
        <f>BY200*VLOOKUP('Données projet'!$B$12,Paramètres!$A$1:$I$89,3,0)*VLOOKUP('Données projet'!$B$12,Paramètres!$A$1:$I$89,5,0)</f>
        <v>4.1145540308207271E-13</v>
      </c>
      <c r="CA200" s="13">
        <f t="shared" si="170"/>
        <v>5.2428527960910789E-12</v>
      </c>
      <c r="CB200" s="20">
        <f t="shared" si="171"/>
        <v>9.8479201135599071E-12</v>
      </c>
      <c r="CC200" s="59">
        <f t="shared" si="195"/>
        <v>293.33333333334315</v>
      </c>
      <c r="CD200" s="59">
        <f ca="1">AVERAGE(OFFSET($CC$3,0,0,'Données projet'!$E$12+1,1))-AVERAGE(OFFSET($H$3,0,0,'Données projet'!$E$12+1,1))</f>
        <v>639.86968831634636</v>
      </c>
      <c r="CE200" s="59">
        <f t="shared" si="207"/>
        <v>218.1556771431184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101.91980225030338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101.91980225030338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9.9316821433603781E-14</v>
      </c>
      <c r="CV200" s="13">
        <f t="shared" si="173"/>
        <v>1.4932118279712753E-12</v>
      </c>
      <c r="CW200" s="20">
        <f t="shared" si="174"/>
        <v>2.7736540643801645E-12</v>
      </c>
      <c r="CX200" s="59">
        <f t="shared" si="196"/>
        <v>293.3333333333361</v>
      </c>
      <c r="CY200" s="59">
        <f ca="1">AVERAGE(OFFSET($CX$3,0,0,'Données projet'!$E$13+1,1))-AVERAGE(OFFSET($H$3,0,0,'Données projet'!$E$13+1,1))</f>
        <v>218.76600554860482</v>
      </c>
      <c r="CZ200" s="59">
        <f t="shared" si="208"/>
        <v>264.34840059907702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3.7410365496255991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3.7410365496255991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-1.7053025658242404E-13</v>
      </c>
      <c r="DP200" s="17">
        <f>DO200*VLOOKUP('Données projet'!$B$14,Paramètres!$A$1:$I$89,3,0)*VLOOKUP('Données projet'!$B$14,Paramètres!$A$1:$I$89,5,0)</f>
        <v>-1.4631496014771985E-13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442.97490100035287</v>
      </c>
      <c r="DU200" s="59">
        <f t="shared" si="209"/>
        <v>334.36243356457049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25.878418178009067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25.878418178009067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5.6843418860808015E-14</v>
      </c>
      <c r="EK200" s="17">
        <f>EJ200*VLOOKUP('Données projet'!$B$15,Paramètres!$A$1:$I$89,3,0)*VLOOKUP('Données projet'!$B$15,Paramètres!$A$1:$I$89,5,0)</f>
        <v>4.4337866711430253E-14</v>
      </c>
      <c r="EL200" s="13">
        <f t="shared" si="179"/>
        <v>7.3222115536967035E-13</v>
      </c>
      <c r="EM200" s="20">
        <f t="shared" si="180"/>
        <v>1.3525069634579169E-12</v>
      </c>
      <c r="EN200" s="59">
        <f t="shared" si="198"/>
        <v>293.33333333333468</v>
      </c>
      <c r="EO200" s="59">
        <f ca="1">AVERAGE(OFFSET($EN$3,0,0,'Données projet'!$E$15+1,1))-AVERAGE(OFFSET($H$3,0,0,'Données projet'!$E$15+1,1))</f>
        <v>288.82868507674738</v>
      </c>
      <c r="EP200" s="59">
        <f t="shared" si="210"/>
        <v>283.48738729114024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6.5490299429806766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6.5490299429806766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328.55201074501201</v>
      </c>
      <c r="FK200" s="59">
        <f t="shared" si="211"/>
        <v>321.81422611044985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9.4596477480950991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9.4596477480950991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353.37024194969638</v>
      </c>
      <c r="GF200" s="59">
        <f t="shared" si="212"/>
        <v>345.4750813433123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12.651869303859975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12.651869303859975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1.2710188457276673E-13</v>
      </c>
      <c r="P201" s="13">
        <f t="shared" si="203"/>
        <v>1.856866851063998E-12</v>
      </c>
      <c r="Q201" s="20">
        <f t="shared" si="162"/>
        <v>3.4554122145673649E-12</v>
      </c>
      <c r="R201" s="59">
        <f t="shared" si="191"/>
        <v>293.33333333333678</v>
      </c>
      <c r="S201" s="59">
        <f ca="1">AVERAGE(OFFSET($R$3,0,0,'Données projet'!$E$9+1,1))-AVERAGE(OFFSET($H$3,0,0,'Données projet'!$E$9+1,1))</f>
        <v>404.65492118472037</v>
      </c>
      <c r="T201" s="59">
        <f t="shared" si="204"/>
        <v>534.22295841722166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16.219964841307025</v>
      </c>
      <c r="AA201" s="21">
        <f>EXP(-LN(2)/25)*AA200+(1-EXP(-LN(2)/25))/(LN(2)/25)*Calculateur!V201*Calculateur!X201*VLOOKUP('Données projet'!$B$9,Paramètres!$A$1:$I$89,3,0)*0.475*44/12</f>
        <v>1.3564153309305909</v>
      </c>
      <c r="AB201" s="21">
        <f>EXP(-LN(2)/2)*AB200+(1-EXP(-LN(2)/2))/(LN(2)/2)*V201*Y201*VLOOKUP('Données projet'!$B$9,Paramètres!$A$1:$I$89,3,0)*0.475*44/12</f>
        <v>8.8992384501741061E-21</v>
      </c>
      <c r="AC201" s="22">
        <f t="shared" si="163"/>
        <v>17.576380172237617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-7.9808160080574461E-14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331.17634116262298</v>
      </c>
      <c r="AO201" s="59">
        <f t="shared" si="205"/>
        <v>286.28916368940605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23.592669349463627</v>
      </c>
      <c r="AV201" s="21">
        <f>EXP(-LN(2)/25)*AV200+(1-EXP(-LN(2)/25))/(LN(2)/25)*Calculateur!AQ201*Calculateur!AS201*VLOOKUP('Données projet'!$B$10,Paramètres!$A$1:$I$89,3,0)*0.475*44/12</f>
        <v>3.8844932802229235</v>
      </c>
      <c r="AW201" s="21">
        <f>EXP(-LN(2)/2)*AW200+(1-EXP(-LN(2)/2))/(LN(2)/2)*AQ201*AT201*VLOOKUP('Données projet'!$B$10,Paramètres!$A$1:$I$89,3,0)*0.475*44/12</f>
        <v>4.4089105162290607E-14</v>
      </c>
      <c r="AX201" s="21">
        <f t="shared" si="166"/>
        <v>27.477162629686593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1.4210854715202004E-13</v>
      </c>
      <c r="BE201" s="13">
        <f>BD201*VLOOKUP('Données projet'!$B$11,Paramètres!$A$1:$I$89,3,0)*VLOOKUP('Données projet'!$B$11,Paramètres!$A$1:$I$89,5,0)</f>
        <v>7.7591266745002952E-14</v>
      </c>
      <c r="BF201" s="13">
        <f t="shared" si="167"/>
        <v>1.2005788606873384E-12</v>
      </c>
      <c r="BG201" s="20">
        <f t="shared" si="168"/>
        <v>2.226146305277994E-12</v>
      </c>
      <c r="BH201" s="59">
        <f t="shared" si="194"/>
        <v>293.33333333333553</v>
      </c>
      <c r="BI201" s="59">
        <f ca="1">AVERAGE(OFFSET($BH$3,0,0,'Données projet'!$E$11+1,1))-AVERAGE(OFFSET($H$3,0,0,'Données projet'!$E$11+1,1))</f>
        <v>165.87377022031535</v>
      </c>
      <c r="BJ201" s="59">
        <f t="shared" si="206"/>
        <v>272.91122662088929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4.9197549700790777</v>
      </c>
      <c r="BQ201" s="21">
        <f>EXP(-LN(2)/25)*BQ200+(1-EXP(-LN(2)/25))/(LN(2)/25)*Calculateur!BL201*Calculateur!BN201*VLOOKUP('Données projet'!$B$11,Paramètres!$A$1:$I$89,3,0)*0.475*44/12</f>
        <v>0.48299479360523262</v>
      </c>
      <c r="BR201" s="21">
        <f>EXP(-LN(2)/2)*BR200+(1-EXP(-LN(2)/2))/(LN(2)/2)*BL201*BO201*VLOOKUP('Données projet'!$B$11,Paramètres!$A$1:$I$89,3,0)*0.475*44/12</f>
        <v>4.2624998931145738E-23</v>
      </c>
      <c r="BS201" s="22">
        <f t="shared" si="169"/>
        <v>5.4027497636843105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4.5474735088646412E-13</v>
      </c>
      <c r="BZ201" s="13">
        <f>BY201*VLOOKUP('Données projet'!$B$12,Paramètres!$A$1:$I$89,3,0)*VLOOKUP('Données projet'!$B$12,Paramètres!$A$1:$I$89,5,0)</f>
        <v>4.1145540308207271E-13</v>
      </c>
      <c r="CA201" s="13">
        <f t="shared" si="170"/>
        <v>5.2428527960910789E-12</v>
      </c>
      <c r="CB201" s="20">
        <f t="shared" si="171"/>
        <v>9.8479201135599071E-12</v>
      </c>
      <c r="CC201" s="59">
        <f t="shared" si="195"/>
        <v>293.33333333334315</v>
      </c>
      <c r="CD201" s="59">
        <f ca="1">AVERAGE(OFFSET($CC$3,0,0,'Données projet'!$E$12+1,1))-AVERAGE(OFFSET($H$3,0,0,'Données projet'!$E$12+1,1))</f>
        <v>639.86968831634636</v>
      </c>
      <c r="CE201" s="59">
        <f t="shared" si="207"/>
        <v>218.1556771431184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99.921217093116027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99.921217093116027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9.9316821433603781E-14</v>
      </c>
      <c r="CV201" s="13">
        <f t="shared" si="173"/>
        <v>1.4932118279712753E-12</v>
      </c>
      <c r="CW201" s="20">
        <f t="shared" si="174"/>
        <v>2.7736540643801645E-12</v>
      </c>
      <c r="CX201" s="59">
        <f t="shared" si="196"/>
        <v>293.3333333333361</v>
      </c>
      <c r="CY201" s="59">
        <f ca="1">AVERAGE(OFFSET($CX$3,0,0,'Données projet'!$E$13+1,1))-AVERAGE(OFFSET($H$3,0,0,'Données projet'!$E$13+1,1))</f>
        <v>218.76600554860482</v>
      </c>
      <c r="CZ201" s="59">
        <f t="shared" si="208"/>
        <v>264.34840059907702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3.6676771046944268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3.6676771046944268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-1.7053025658242404E-13</v>
      </c>
      <c r="DP201" s="17">
        <f>DO201*VLOOKUP('Données projet'!$B$14,Paramètres!$A$1:$I$89,3,0)*VLOOKUP('Données projet'!$B$14,Paramètres!$A$1:$I$89,5,0)</f>
        <v>-1.4631496014771985E-13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442.97490100035287</v>
      </c>
      <c r="DU201" s="59">
        <f t="shared" si="209"/>
        <v>334.36243356457049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25.370958181814832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25.370958181814832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5.6843418860808015E-14</v>
      </c>
      <c r="EK201" s="17">
        <f>EJ201*VLOOKUP('Données projet'!$B$15,Paramètres!$A$1:$I$89,3,0)*VLOOKUP('Données projet'!$B$15,Paramètres!$A$1:$I$89,5,0)</f>
        <v>4.4337866711430253E-14</v>
      </c>
      <c r="EL201" s="13">
        <f t="shared" si="179"/>
        <v>7.3222115536967035E-13</v>
      </c>
      <c r="EM201" s="20">
        <f t="shared" si="180"/>
        <v>1.3525069634579169E-12</v>
      </c>
      <c r="EN201" s="59">
        <f t="shared" si="198"/>
        <v>293.33333333333468</v>
      </c>
      <c r="EO201" s="59">
        <f ca="1">AVERAGE(OFFSET($EN$3,0,0,'Données projet'!$E$15+1,1))-AVERAGE(OFFSET($H$3,0,0,'Données projet'!$E$15+1,1))</f>
        <v>288.82868507674738</v>
      </c>
      <c r="EP201" s="59">
        <f t="shared" si="210"/>
        <v>283.48738729114024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6.4206074603126657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6.4206074603126657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328.55201074501201</v>
      </c>
      <c r="FK201" s="59">
        <f t="shared" si="211"/>
        <v>321.81422611044985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9.2741498255703583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9.2741498255703583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353.37024194969638</v>
      </c>
      <c r="GF201" s="59">
        <f t="shared" si="212"/>
        <v>345.4750813433123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12.403773863689578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12.403773863689578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1.2710188457276673E-13</v>
      </c>
      <c r="P202" s="13">
        <f t="shared" si="203"/>
        <v>1.856866851063998E-12</v>
      </c>
      <c r="Q202" s="20">
        <f t="shared" si="162"/>
        <v>3.4554122145673649E-12</v>
      </c>
      <c r="R202" s="59">
        <f t="shared" si="191"/>
        <v>293.33333333333678</v>
      </c>
      <c r="S202" s="59">
        <f ca="1">AVERAGE(OFFSET($R$3,0,0,'Données projet'!$E$9+1,1))-AVERAGE(OFFSET($H$3,0,0,'Données projet'!$E$9+1,1))</f>
        <v>404.65492118472037</v>
      </c>
      <c r="T202" s="59">
        <f t="shared" si="204"/>
        <v>534.22295841722166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15.901901223970675</v>
      </c>
      <c r="AA202" s="21">
        <f>EXP(-LN(2)/25)*AA201+(1-EXP(-LN(2)/25))/(LN(2)/25)*Calculateur!V202*Calculateur!X202*VLOOKUP('Données projet'!$B$9,Paramètres!$A$1:$I$89,3,0)*0.475*44/12</f>
        <v>1.3193240823755117</v>
      </c>
      <c r="AB202" s="21">
        <f>EXP(-LN(2)/2)*AB201+(1-EXP(-LN(2)/2))/(LN(2)/2)*V202*Y202*VLOOKUP('Données projet'!$B$9,Paramètres!$A$1:$I$89,3,0)*0.475*44/12</f>
        <v>6.292711855514172E-21</v>
      </c>
      <c r="AC202" s="22">
        <f t="shared" si="163"/>
        <v>17.221225306346188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-7.9808160080574461E-14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331.17634116262298</v>
      </c>
      <c r="AO202" s="59">
        <f t="shared" si="205"/>
        <v>286.28916368940605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23.130031493628042</v>
      </c>
      <c r="AV202" s="21">
        <f>EXP(-LN(2)/25)*AV201+(1-EXP(-LN(2)/25))/(LN(2)/25)*Calculateur!AQ202*Calculateur!AS202*VLOOKUP('Données projet'!$B$10,Paramètres!$A$1:$I$89,3,0)*0.475*44/12</f>
        <v>3.778271607198604</v>
      </c>
      <c r="AW202" s="21">
        <f>EXP(-LN(2)/2)*AW201+(1-EXP(-LN(2)/2))/(LN(2)/2)*AQ202*AT202*VLOOKUP('Données projet'!$B$10,Paramètres!$A$1:$I$89,3,0)*0.475*44/12</f>
        <v>3.1175705236702507E-14</v>
      </c>
      <c r="AX202" s="21">
        <f t="shared" si="166"/>
        <v>26.908303100826679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1.4210854715202004E-13</v>
      </c>
      <c r="BE202" s="13">
        <f>BD202*VLOOKUP('Données projet'!$B$11,Paramètres!$A$1:$I$89,3,0)*VLOOKUP('Données projet'!$B$11,Paramètres!$A$1:$I$89,5,0)</f>
        <v>7.7591266745002952E-14</v>
      </c>
      <c r="BF202" s="13">
        <f t="shared" si="167"/>
        <v>1.2005788606873384E-12</v>
      </c>
      <c r="BG202" s="20">
        <f t="shared" si="168"/>
        <v>2.226146305277994E-12</v>
      </c>
      <c r="BH202" s="59">
        <f t="shared" si="194"/>
        <v>293.33333333333553</v>
      </c>
      <c r="BI202" s="59">
        <f ca="1">AVERAGE(OFFSET($BH$3,0,0,'Données projet'!$E$11+1,1))-AVERAGE(OFFSET($H$3,0,0,'Données projet'!$E$11+1,1))</f>
        <v>165.87377022031535</v>
      </c>
      <c r="BJ202" s="59">
        <f t="shared" si="206"/>
        <v>272.91122662088929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4.8232815758700589</v>
      </c>
      <c r="BQ202" s="21">
        <f>EXP(-LN(2)/25)*BQ201+(1-EXP(-LN(2)/25))/(LN(2)/25)*Calculateur!BL202*Calculateur!BN202*VLOOKUP('Données projet'!$B$11,Paramètres!$A$1:$I$89,3,0)*0.475*44/12</f>
        <v>0.46978727557450523</v>
      </c>
      <c r="BR202" s="21">
        <f>EXP(-LN(2)/2)*BR201+(1-EXP(-LN(2)/2))/(LN(2)/2)*BL202*BO202*VLOOKUP('Données projet'!$B$11,Paramètres!$A$1:$I$89,3,0)*0.475*44/12</f>
        <v>3.0140425792282491E-23</v>
      </c>
      <c r="BS202" s="22">
        <f t="shared" si="169"/>
        <v>5.2930688514445645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4.5474735088646412E-13</v>
      </c>
      <c r="BZ202" s="13">
        <f>BY202*VLOOKUP('Données projet'!$B$12,Paramètres!$A$1:$I$89,3,0)*VLOOKUP('Données projet'!$B$12,Paramètres!$A$1:$I$89,5,0)</f>
        <v>4.1145540308207271E-13</v>
      </c>
      <c r="CA202" s="13">
        <f t="shared" si="170"/>
        <v>5.2428527960910789E-12</v>
      </c>
      <c r="CB202" s="20">
        <f t="shared" si="171"/>
        <v>9.8479201135599071E-12</v>
      </c>
      <c r="CC202" s="59">
        <f t="shared" si="195"/>
        <v>293.33333333334315</v>
      </c>
      <c r="CD202" s="59">
        <f ca="1">AVERAGE(OFFSET($CC$3,0,0,'Données projet'!$E$12+1,1))-AVERAGE(OFFSET($H$3,0,0,'Données projet'!$E$12+1,1))</f>
        <v>639.86968831634636</v>
      </c>
      <c r="CE202" s="59">
        <f t="shared" si="207"/>
        <v>218.1556771431184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97.961822971844541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97.961822971844541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9.9316821433603781E-14</v>
      </c>
      <c r="CV202" s="13">
        <f t="shared" si="173"/>
        <v>1.4932118279712753E-12</v>
      </c>
      <c r="CW202" s="20">
        <f t="shared" si="174"/>
        <v>2.7736540643801645E-12</v>
      </c>
      <c r="CX202" s="59">
        <f t="shared" si="196"/>
        <v>293.3333333333361</v>
      </c>
      <c r="CY202" s="59">
        <f ca="1">AVERAGE(OFFSET($CX$3,0,0,'Données projet'!$E$13+1,1))-AVERAGE(OFFSET($H$3,0,0,'Données projet'!$E$13+1,1))</f>
        <v>218.76600554860482</v>
      </c>
      <c r="CZ202" s="59">
        <f t="shared" si="208"/>
        <v>264.34840059907702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3.5957561937335112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3.5957561937335112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-1.7053025658242404E-13</v>
      </c>
      <c r="DP202" s="17">
        <f>DO202*VLOOKUP('Données projet'!$B$14,Paramètres!$A$1:$I$89,3,0)*VLOOKUP('Données projet'!$B$14,Paramètres!$A$1:$I$89,5,0)</f>
        <v>-1.4631496014771985E-13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442.97490100035287</v>
      </c>
      <c r="DU202" s="59">
        <f t="shared" si="209"/>
        <v>334.36243356457049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24.873449166625928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24.873449166625928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5.6843418860808015E-14</v>
      </c>
      <c r="EK202" s="17">
        <f>EJ202*VLOOKUP('Données projet'!$B$15,Paramètres!$A$1:$I$89,3,0)*VLOOKUP('Données projet'!$B$15,Paramètres!$A$1:$I$89,5,0)</f>
        <v>4.4337866711430253E-14</v>
      </c>
      <c r="EL202" s="13">
        <f t="shared" si="179"/>
        <v>7.3222115536967035E-13</v>
      </c>
      <c r="EM202" s="20">
        <f t="shared" si="180"/>
        <v>1.3525069634579169E-12</v>
      </c>
      <c r="EN202" s="59">
        <f t="shared" si="198"/>
        <v>293.33333333333468</v>
      </c>
      <c r="EO202" s="59">
        <f ca="1">AVERAGE(OFFSET($EN$3,0,0,'Données projet'!$E$15+1,1))-AVERAGE(OFFSET($H$3,0,0,'Données projet'!$E$15+1,1))</f>
        <v>288.82868507674738</v>
      </c>
      <c r="EP202" s="59">
        <f t="shared" si="210"/>
        <v>283.48738729114024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6.2947032641997938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6.2947032641997938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328.55201074501201</v>
      </c>
      <c r="FK202" s="59">
        <f t="shared" si="211"/>
        <v>321.81422611044985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9.0922894041637665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9.0922894041637665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353.37024194969638</v>
      </c>
      <c r="GF202" s="59">
        <f t="shared" si="212"/>
        <v>345.4750813433123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12.160543423777645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12.160543423777645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1.2710188457276673E-13</v>
      </c>
      <c r="P203" s="13">
        <f t="shared" si="203"/>
        <v>1.856866851063998E-12</v>
      </c>
      <c r="Q203" s="20">
        <f t="shared" si="162"/>
        <v>3.4554122145673649E-12</v>
      </c>
      <c r="R203" s="59">
        <f t="shared" si="191"/>
        <v>293.33333333333678</v>
      </c>
      <c r="S203" s="59">
        <f ca="1">AVERAGE(OFFSET($R$3,0,0,'Données projet'!$E$9+1,1))-AVERAGE(OFFSET($H$3,0,0,'Données projet'!$E$9+1,1))</f>
        <v>404.65492118472037</v>
      </c>
      <c r="T203" s="59">
        <f t="shared" si="204"/>
        <v>534.22295841722166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15.59007464017064</v>
      </c>
      <c r="AA203" s="21">
        <f>EXP(-LN(2)/25)*AA202+(1-EXP(-LN(2)/25))/(LN(2)/25)*Calculateur!V203*Calculateur!X203*VLOOKUP('Données projet'!$B$9,Paramètres!$A$1:$I$89,3,0)*0.475*44/12</f>
        <v>1.2832470959627151</v>
      </c>
      <c r="AB203" s="21">
        <f>EXP(-LN(2)/2)*AB202+(1-EXP(-LN(2)/2))/(LN(2)/2)*V203*Y203*VLOOKUP('Données projet'!$B$9,Paramètres!$A$1:$I$89,3,0)*0.475*44/12</f>
        <v>4.4496192250870531E-21</v>
      </c>
      <c r="AC203" s="22">
        <f t="shared" si="163"/>
        <v>16.873321736133356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-7.9808160080574461E-14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331.17634116262298</v>
      </c>
      <c r="AO203" s="59">
        <f t="shared" si="205"/>
        <v>286.28916368940605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22.676465683964164</v>
      </c>
      <c r="AV203" s="21">
        <f>EXP(-LN(2)/25)*AV202+(1-EXP(-LN(2)/25))/(LN(2)/25)*Calculateur!AQ203*Calculateur!AS203*VLOOKUP('Données projet'!$B$10,Paramètres!$A$1:$I$89,3,0)*0.475*44/12</f>
        <v>3.6749545714090899</v>
      </c>
      <c r="AW203" s="21">
        <f>EXP(-LN(2)/2)*AW202+(1-EXP(-LN(2)/2))/(LN(2)/2)*AQ203*AT203*VLOOKUP('Données projet'!$B$10,Paramètres!$A$1:$I$89,3,0)*0.475*44/12</f>
        <v>2.2044552581145304E-14</v>
      </c>
      <c r="AX203" s="21">
        <f t="shared" si="166"/>
        <v>26.351420255373274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1.4210854715202004E-13</v>
      </c>
      <c r="BE203" s="13">
        <f>BD203*VLOOKUP('Données projet'!$B$11,Paramètres!$A$1:$I$89,3,0)*VLOOKUP('Données projet'!$B$11,Paramètres!$A$1:$I$89,5,0)</f>
        <v>7.7591266745002952E-14</v>
      </c>
      <c r="BF203" s="13">
        <f t="shared" si="167"/>
        <v>1.2005788606873384E-12</v>
      </c>
      <c r="BG203" s="20">
        <f t="shared" si="168"/>
        <v>2.226146305277994E-12</v>
      </c>
      <c r="BH203" s="59">
        <f t="shared" si="194"/>
        <v>293.33333333333553</v>
      </c>
      <c r="BI203" s="59">
        <f ca="1">AVERAGE(OFFSET($BH$3,0,0,'Données projet'!$E$11+1,1))-AVERAGE(OFFSET($H$3,0,0,'Données projet'!$E$11+1,1))</f>
        <v>165.87377022031535</v>
      </c>
      <c r="BJ203" s="59">
        <f t="shared" si="206"/>
        <v>272.91122662088929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4.7286999660785183</v>
      </c>
      <c r="BQ203" s="21">
        <f>EXP(-LN(2)/25)*BQ202+(1-EXP(-LN(2)/25))/(LN(2)/25)*Calculateur!BL203*Calculateur!BN203*VLOOKUP('Données projet'!$B$11,Paramètres!$A$1:$I$89,3,0)*0.475*44/12</f>
        <v>0.4569409178188813</v>
      </c>
      <c r="BR203" s="21">
        <f>EXP(-LN(2)/2)*BR202+(1-EXP(-LN(2)/2))/(LN(2)/2)*BL203*BO203*VLOOKUP('Données projet'!$B$11,Paramètres!$A$1:$I$89,3,0)*0.475*44/12</f>
        <v>2.1312499465572869E-23</v>
      </c>
      <c r="BS203" s="22">
        <f t="shared" si="169"/>
        <v>5.1856408838974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4.5474735088646412E-13</v>
      </c>
      <c r="BZ203" s="13">
        <f>BY203*VLOOKUP('Données projet'!$B$12,Paramètres!$A$1:$I$89,3,0)*VLOOKUP('Données projet'!$B$12,Paramètres!$A$1:$I$89,5,0)</f>
        <v>4.1145540308207271E-13</v>
      </c>
      <c r="CA203" s="13">
        <f t="shared" si="170"/>
        <v>5.2428527960910789E-12</v>
      </c>
      <c r="CB203" s="20">
        <f t="shared" si="171"/>
        <v>9.8479201135599071E-12</v>
      </c>
      <c r="CC203" s="59">
        <f t="shared" si="195"/>
        <v>293.33333333334315</v>
      </c>
      <c r="CD203" s="59">
        <f ca="1">AVERAGE(OFFSET($CC$3,0,0,'Données projet'!$E$12+1,1))-AVERAGE(OFFSET($H$3,0,0,'Données projet'!$E$12+1,1))</f>
        <v>639.86968831634636</v>
      </c>
      <c r="CE203" s="59">
        <f t="shared" si="207"/>
        <v>218.1556771431184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96.040851374178786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96.040851374178786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9.9316821433603781E-14</v>
      </c>
      <c r="CV203" s="13">
        <f t="shared" si="173"/>
        <v>1.4932118279712753E-12</v>
      </c>
      <c r="CW203" s="20">
        <f t="shared" si="174"/>
        <v>2.7736540643801645E-12</v>
      </c>
      <c r="CX203" s="59">
        <f t="shared" si="196"/>
        <v>293.3333333333361</v>
      </c>
      <c r="CY203" s="59">
        <f ca="1">AVERAGE(OFFSET($CX$3,0,0,'Données projet'!$E$13+1,1))-AVERAGE(OFFSET($H$3,0,0,'Données projet'!$E$13+1,1))</f>
        <v>218.76600554860482</v>
      </c>
      <c r="CZ203" s="59">
        <f t="shared" si="208"/>
        <v>264.34840059907702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3.525245607969115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3.525245607969115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-1.7053025658242404E-13</v>
      </c>
      <c r="DP203" s="17">
        <f>DO203*VLOOKUP('Données projet'!$B$14,Paramètres!$A$1:$I$89,3,0)*VLOOKUP('Données projet'!$B$14,Paramètres!$A$1:$I$89,5,0)</f>
        <v>-1.4631496014771985E-13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442.97490100035287</v>
      </c>
      <c r="DU203" s="59">
        <f t="shared" si="209"/>
        <v>334.36243356457049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24.385695999774342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24.385695999774342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5.6843418860808015E-14</v>
      </c>
      <c r="EK203" s="17">
        <f>EJ203*VLOOKUP('Données projet'!$B$15,Paramètres!$A$1:$I$89,3,0)*VLOOKUP('Données projet'!$B$15,Paramètres!$A$1:$I$89,5,0)</f>
        <v>4.4337866711430253E-14</v>
      </c>
      <c r="EL203" s="13">
        <f t="shared" si="179"/>
        <v>7.3222115536967035E-13</v>
      </c>
      <c r="EM203" s="20">
        <f t="shared" si="180"/>
        <v>1.3525069634579169E-12</v>
      </c>
      <c r="EN203" s="59">
        <f t="shared" si="198"/>
        <v>293.33333333333468</v>
      </c>
      <c r="EO203" s="59">
        <f ca="1">AVERAGE(OFFSET($EN$3,0,0,'Données projet'!$E$15+1,1))-AVERAGE(OFFSET($H$3,0,0,'Données projet'!$E$15+1,1))</f>
        <v>288.82868507674738</v>
      </c>
      <c r="EP203" s="59">
        <f t="shared" si="210"/>
        <v>283.48738729114024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6.1712679725787183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6.1712679725787183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328.55201074501201</v>
      </c>
      <c r="FK203" s="59">
        <f t="shared" si="211"/>
        <v>321.81422611044985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8.9139951546970551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8.9139951546970551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353.37024194969638</v>
      </c>
      <c r="GF203" s="59">
        <f t="shared" si="212"/>
        <v>345.4750813433123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11.922082584436465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11.922082584436465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1.3431115227802051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1.1487740351914302</v>
      </c>
      <c r="BA205" s="82">
        <f>EXP(LN('Données projet'!B88)/'Données projet'!A88)</f>
        <v>1.4536142347546801</v>
      </c>
      <c r="BV205" s="82">
        <f>EXP(LN('Données projet'!B114)/'Données projet'!A114)</f>
        <v>1.1619357832300399</v>
      </c>
      <c r="CQ205" s="82">
        <f>EXP(LN('Données projet'!B140)/'Données projet'!A140)</f>
        <v>1.307454877737404</v>
      </c>
      <c r="DL205" s="82">
        <f>EXP(LN('Données projet'!B166)/'Données projet'!A166)</f>
        <v>1.1371908537046906</v>
      </c>
      <c r="EG205" s="82">
        <f>EXP(LN('Données projet'!B192)/'Données projet'!A192)</f>
        <v>1.2788040393997409</v>
      </c>
      <c r="FB205" s="82">
        <f>EXP(LN('Données projet'!B218)/'Données projet'!A218)</f>
        <v>1.2709816152101407</v>
      </c>
      <c r="FW205" s="82">
        <f>EXP(LN('Données projet'!B244)/'Données projet'!A244)</f>
        <v>1.2709816152101407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L19" sqref="L19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1.4998799999999997</v>
      </c>
      <c r="C6" s="147">
        <f ca="1">IF(OR('Données projet'!B9="",'Données projet'!C9="",'Données projet'!C9=0%),0,Calculateur!S3)</f>
        <v>404.65492118472037</v>
      </c>
      <c r="D6" s="147">
        <f>IF(OR('Données projet'!B9="",'Données projet'!C9="",'Données projet'!C9=0%),0,Calculateur!T3)</f>
        <v>534.22295841722166</v>
      </c>
      <c r="E6" s="147">
        <f ca="1">MIN(C6,D6)</f>
        <v>404.65492118472037</v>
      </c>
      <c r="F6" s="147">
        <f ca="1">E6*B6</f>
        <v>606.93382318653823</v>
      </c>
      <c r="G6" s="147">
        <f ca="1">F6*(100%-'Données projet'!$C$24)*(100%-'Données projet'!$C$25)*(100%-'Données projet'!$C$26)*(100%-'Données projet'!$C$27)</f>
        <v>546.24044086788444</v>
      </c>
      <c r="H6" s="148">
        <f>IF(OR('Données projet'!B9="",'Données projet'!C9="",'Données projet'!C9=0%),0,AVERAGE(Calculateur!$AC$3:$AC$33)*B6)</f>
        <v>20.407274493614381</v>
      </c>
      <c r="I6" s="149">
        <f>H6*(100%-'Données projet'!$C$24)*(100%-'Données projet'!$C$25)*(100%-'Données projet'!$C$26)*(100%-'Données projet'!$C$27)</f>
        <v>18.366547044252943</v>
      </c>
      <c r="J6" s="150">
        <f>IF(OR('Données projet'!B9="",'Données projet'!C9="",'Données projet'!C9=0%),0,SUM(Calculateur!$V$3:$V$33)*VLOOKUP('Données projet'!$B$9,Paramètres!$A$1:$I$89,9,0)*B6)</f>
        <v>133.62040951199998</v>
      </c>
      <c r="K6" s="151">
        <f>J6*(100%-'Données projet'!$C$24)*(100%-'Données projet'!$C$25)*(100%-'Données projet'!$C$26)*(100%-'Données projet'!$C$27)</f>
        <v>120.25836856079998</v>
      </c>
      <c r="L6" s="152">
        <f ca="1">G6+I6+K6</f>
        <v>684.86535647293738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Cèdre de l'Atlas</v>
      </c>
      <c r="B7" s="154">
        <f>'Données projet'!D10</f>
        <v>0.24997999999999998</v>
      </c>
      <c r="C7" s="147">
        <f ca="1">IF(OR('Données projet'!B10="",'Données projet'!C10="",'Données projet'!C10=0%),0,Calculateur!AN3)</f>
        <v>331.17634116262298</v>
      </c>
      <c r="D7" s="147">
        <f>IF(OR('Données projet'!B10="",'Données projet'!C10="",'Données projet'!C10=0%),0,Calculateur!AO3)</f>
        <v>286.28916368940605</v>
      </c>
      <c r="E7" s="147">
        <f t="shared" ref="E7:E15" ca="1" si="0">MIN(C7,D7)</f>
        <v>286.28916368940605</v>
      </c>
      <c r="F7" s="147">
        <f t="shared" ref="F7:F15" ca="1" si="1">E7*B7</f>
        <v>71.566565139077724</v>
      </c>
      <c r="G7" s="147">
        <f ca="1">F7*(100%-'Données projet'!$C$24)*(100%-'Données projet'!$C$25)*(100%-'Données projet'!$C$26)*(100%-'Données projet'!$C$27)</f>
        <v>64.409908625169948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64.409908625169948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Mélèze hybride</v>
      </c>
      <c r="B8" s="154">
        <f>'Données projet'!D11</f>
        <v>0.24997999999999998</v>
      </c>
      <c r="C8" s="147">
        <f ca="1">IF(OR('Données projet'!B11="",'Données projet'!C11="",'Données projet'!C11=0%),0,Calculateur!BI3)</f>
        <v>165.87377022031535</v>
      </c>
      <c r="D8" s="147">
        <f>IF(OR('Données projet'!B11="",'Données projet'!C11="",'Données projet'!C11=0%),0,Calculateur!BJ3)</f>
        <v>272.91122662088929</v>
      </c>
      <c r="E8" s="147">
        <f t="shared" ca="1" si="0"/>
        <v>165.87377022031535</v>
      </c>
      <c r="F8" s="147">
        <f t="shared" ca="1" si="1"/>
        <v>41.465125079674429</v>
      </c>
      <c r="G8" s="147">
        <f ca="1">F8*(100%-'Données projet'!$C$24)*(100%-'Données projet'!$C$25)*(100%-'Données projet'!$C$26)*(100%-'Données projet'!$C$27)</f>
        <v>37.318612571706986</v>
      </c>
      <c r="H8" s="155">
        <f>IF(OR('Données projet'!B11="",'Données projet'!C11="",'Données projet'!C11=0%),0,AVERAGE(Calculateur!$BS$3:$BS$33)*B8)</f>
        <v>4.9539097895729967</v>
      </c>
      <c r="I8" s="149">
        <f>H8*(100%-'Données projet'!$C$24)*(100%-'Données projet'!$C$25)*(100%-'Données projet'!$C$26)*(100%-'Données projet'!$C$27)</f>
        <v>4.458518810615697</v>
      </c>
      <c r="J8" s="150">
        <f>IF(OR('Données projet'!B11="",'Données projet'!C11="",'Données projet'!C11=0%),0,SUM(Calculateur!$BL$3:$BL$33)*VLOOKUP('Données projet'!$B$11,Paramètres!$A$1:$I$89,9,0)*B8)</f>
        <v>23.863090799999995</v>
      </c>
      <c r="K8" s="151">
        <f>J8*(100%-'Données projet'!$C$24)*(100%-'Données projet'!$C$25)*(100%-'Données projet'!$C$26)*(100%-'Données projet'!$C$27)</f>
        <v>21.476781719999995</v>
      </c>
      <c r="L8" s="152">
        <f t="shared" ca="1" si="2"/>
        <v>63.25391310232267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sessile</v>
      </c>
      <c r="B9" s="154">
        <f>'Données projet'!D12</f>
        <v>3.3678339999999998</v>
      </c>
      <c r="C9" s="147">
        <f ca="1">IF(OR('Données projet'!B12="",'Données projet'!C12="",'Données projet'!C12=0%),0,Calculateur!CD3)</f>
        <v>639.86968831634636</v>
      </c>
      <c r="D9" s="147">
        <f>IF(OR('Données projet'!B12="",'Données projet'!C12="",'Données projet'!C12=0%),0,Calculateur!CE3)</f>
        <v>218.1556771431184</v>
      </c>
      <c r="E9" s="147">
        <f t="shared" ca="1" si="0"/>
        <v>218.1556771431184</v>
      </c>
      <c r="F9" s="147">
        <f t="shared" ca="1" si="1"/>
        <v>734.71210677561692</v>
      </c>
      <c r="G9" s="147">
        <f ca="1">F9*(100%-'Données projet'!$C$24)*(100%-'Données projet'!$C$25)*(100%-'Données projet'!$C$26)*(100%-'Données projet'!$C$27)</f>
        <v>661.24089609805526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661.24089609805526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rouge d'Amérique</v>
      </c>
      <c r="B10" s="154">
        <f>'Données projet'!D13</f>
        <v>1.9713939999999996</v>
      </c>
      <c r="C10" s="147">
        <f ca="1">IF(OR('Données projet'!B13="",'Données projet'!C13="",'Données projet'!C13=0%),0,Calculateur!CY3)</f>
        <v>218.76600554860482</v>
      </c>
      <c r="D10" s="147">
        <f>IF(OR('Données projet'!B13="",'Données projet'!C13="",'Données projet'!C13=0%),0,Calculateur!CZ3)</f>
        <v>264.34840059907702</v>
      </c>
      <c r="E10" s="147">
        <f t="shared" ca="1" si="0"/>
        <v>218.76600554860482</v>
      </c>
      <c r="F10" s="147">
        <f t="shared" ca="1" si="1"/>
        <v>431.27399074248621</v>
      </c>
      <c r="G10" s="147">
        <f ca="1">F10*(100%-'Données projet'!$C$24)*(100%-'Données projet'!$C$25)*(100%-'Données projet'!$C$26)*(100%-'Données projet'!$C$27)</f>
        <v>388.14659166823759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48.023157839999989</v>
      </c>
      <c r="K10" s="151">
        <f>J10*(100%-'Données projet'!$C$24)*(100%-'Données projet'!$C$25)*(100%-'Données projet'!$C$26)*(100%-'Données projet'!$C$27)</f>
        <v>43.220842055999988</v>
      </c>
      <c r="L10" s="152">
        <f t="shared" ca="1" si="2"/>
        <v>431.36743372423757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Hêtre</v>
      </c>
      <c r="B11" s="154">
        <f>'Données projet'!D14</f>
        <v>0.374108</v>
      </c>
      <c r="C11" s="147">
        <f ca="1">IF(OR('Données projet'!B14="",'Données projet'!C14="",'Données projet'!C14=0%),0,Calculateur!DT3)</f>
        <v>442.97490100035287</v>
      </c>
      <c r="D11" s="147">
        <f>IF(OR('Données projet'!B14="",'Données projet'!C14="",'Données projet'!C14=0%),0,Calculateur!DU3)</f>
        <v>334.36243356457049</v>
      </c>
      <c r="E11" s="147">
        <f t="shared" ca="1" si="0"/>
        <v>334.36243356457049</v>
      </c>
      <c r="F11" s="147">
        <f t="shared" ca="1" si="1"/>
        <v>125.08766129597434</v>
      </c>
      <c r="G11" s="147">
        <f ca="1">F11*(100%-'Données projet'!$C$24)*(100%-'Données projet'!$C$25)*(100%-'Données projet'!$C$26)*(100%-'Données projet'!$C$27)</f>
        <v>112.57889516637691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112.57889516637691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Merisier</v>
      </c>
      <c r="B12" s="154">
        <f>'Données projet'!D15</f>
        <v>0.374108</v>
      </c>
      <c r="C12" s="147">
        <f ca="1">IF(OR('Données projet'!B15="",'Données projet'!C15="",'Données projet'!C15=0%),0,Calculateur!EO3)</f>
        <v>288.82868507674738</v>
      </c>
      <c r="D12" s="147">
        <f>IF(OR('Données projet'!B15="",'Données projet'!C15="",'Données projet'!C15=0%),0,Calculateur!EP3)</f>
        <v>283.48738729114024</v>
      </c>
      <c r="E12" s="147">
        <f t="shared" ca="1" si="0"/>
        <v>283.48738729114024</v>
      </c>
      <c r="F12" s="147">
        <f t="shared" ca="1" si="1"/>
        <v>106.05489948471389</v>
      </c>
      <c r="G12" s="147">
        <f ca="1">F12*(100%-'Données projet'!$C$24)*(100%-'Données projet'!$C$25)*(100%-'Données projet'!$C$26)*(100%-'Données projet'!$C$27)</f>
        <v>95.449409536242499</v>
      </c>
      <c r="H12" s="155">
        <f>IF(OR('Données projet'!B15="",'Données projet'!C15="",'Données projet'!C15=0%),0,AVERAGE(Calculateur!$EY$3:$EY$33)*B12)</f>
        <v>0.3613842784831629</v>
      </c>
      <c r="I12" s="149">
        <f>H12*(100%-'Données projet'!$C$24)*(100%-'Données projet'!$C$25)*(100%-'Données projet'!$C$26)*(100%-'Données projet'!$C$27)</f>
        <v>0.32524585063484662</v>
      </c>
      <c r="J12" s="150">
        <f>IF(OR('Données projet'!B15="",'Données projet'!C15="",'Données projet'!C15=0%),0,SUM(Calculateur!$ER$3:$ER$33)*VLOOKUP('Données projet'!$B$15,Paramètres!$A$1:$I$89,9,0)*B12)</f>
        <v>5.1439849999999998</v>
      </c>
      <c r="K12" s="151">
        <f>J12*(100%-'Données projet'!$C$24)*(100%-'Données projet'!$C$25)*(100%-'Données projet'!$C$26)*(100%-'Données projet'!$C$27)</f>
        <v>4.6295865000000003</v>
      </c>
      <c r="L12" s="152">
        <f t="shared" ca="1" si="2"/>
        <v>100.40424188687734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Châtaignier</v>
      </c>
      <c r="B13" s="154">
        <f>'Données projet'!D16</f>
        <v>0.26635799999999998</v>
      </c>
      <c r="C13" s="147">
        <f ca="1">IF(OR('Données projet'!B16="",'Données projet'!C16="",'Données projet'!C16=0%),0,Calculateur!FJ3)</f>
        <v>328.55201074501201</v>
      </c>
      <c r="D13" s="147">
        <f>IF(OR('Données projet'!B16="",'Données projet'!C16="",'Données projet'!C16=0%),0,Calculateur!FK3)</f>
        <v>321.81422611044985</v>
      </c>
      <c r="E13" s="147">
        <f t="shared" ca="1" si="0"/>
        <v>321.81422611044985</v>
      </c>
      <c r="F13" s="147">
        <f t="shared" ca="1" si="1"/>
        <v>85.717793638327194</v>
      </c>
      <c r="G13" s="147">
        <f ca="1">F13*(100%-'Données projet'!$C$24)*(100%-'Données projet'!$C$25)*(100%-'Données projet'!$C$26)*(100%-'Données projet'!$C$27)</f>
        <v>77.146014274494476</v>
      </c>
      <c r="H13" s="155">
        <f>IF(OR('Données projet'!B16="",'Données projet'!C16="",'Données projet'!C16=0%),0,AVERAGE(Calculateur!$FT$3:$FT$33)*B13)</f>
        <v>2.0962357034492524E-2</v>
      </c>
      <c r="I13" s="149">
        <f>H13*(100%-'Données projet'!$C$24)*(100%-'Données projet'!$C$25)*(100%-'Données projet'!$C$26)*(100%-'Données projet'!$C$27)</f>
        <v>1.8866121331043272E-2</v>
      </c>
      <c r="J13" s="150">
        <f>IF(OR('Données projet'!C16="",'Données projet'!C16=0%),0,SUM(Calculateur!$FM$3:$FM$33)*VLOOKUP('Données projet'!$B$16,Paramètres!$A$1:$I$89,9,0)*B13)</f>
        <v>9.1227614999999993</v>
      </c>
      <c r="K13" s="151">
        <f>J13*(100%-'Données projet'!$C$24)*(100%-'Données projet'!$C$25)*(100%-'Données projet'!$C$26)*(100%-'Données projet'!$C$27)</f>
        <v>8.210485349999999</v>
      </c>
      <c r="L13" s="152">
        <f t="shared" ca="1" si="2"/>
        <v>85.375365745825519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Erable sycomore</v>
      </c>
      <c r="B14" s="154">
        <f>'Données projet'!D17</f>
        <v>0.26635799999999998</v>
      </c>
      <c r="C14" s="147">
        <f ca="1">IF(OR('Données projet'!B17="",'Données projet'!C17="",'Données projet'!C17=0%),0,Calculateur!GE3)</f>
        <v>353.37024194969638</v>
      </c>
      <c r="D14" s="147">
        <f>IF(OR('Données projet'!B17="",'Données projet'!C17="",'Données projet'!C17=0%),0,Calculateur!GF3)</f>
        <v>345.4750813433123</v>
      </c>
      <c r="E14" s="147">
        <f t="shared" ca="1" si="0"/>
        <v>345.4750813433123</v>
      </c>
      <c r="F14" s="147">
        <f t="shared" ca="1" si="1"/>
        <v>92.020051716441969</v>
      </c>
      <c r="G14" s="147">
        <f ca="1">F14*(100%-'Données projet'!$C$24)*(100%-'Données projet'!$C$25)*(100%-'Données projet'!$C$26)*(100%-'Données projet'!$C$27)</f>
        <v>82.818046544797781</v>
      </c>
      <c r="H14" s="155">
        <f>IF(OR('Données projet'!B17="",'Données projet'!C17="",'Données projet'!C17=0%),0,AVERAGE(Calculateur!$GO$3:$GO$33)*B14)</f>
        <v>2.8036244960036264E-2</v>
      </c>
      <c r="I14" s="149">
        <f>H14*(100%-'Données projet'!$C$24)*(100%-'Données projet'!$C$25)*(100%-'Données projet'!$C$26)*(100%-'Données projet'!$C$27)</f>
        <v>2.5232620464032639E-2</v>
      </c>
      <c r="J14" s="150">
        <f>IF(OR('Données projet'!B17="",'Données projet'!C17="",'Données projet'!C17=0%),0,SUM(Calculateur!$GH$3:$GH$33)*VLOOKUP('Données projet'!$B$17,Paramètres!$A$1:$I$89,9,0)*B14)</f>
        <v>9.1227614999999993</v>
      </c>
      <c r="K14" s="151">
        <f>J14*(100%-'Données projet'!$C$24)*(100%-'Données projet'!$C$25)*(100%-'Données projet'!$C$26)*(100%-'Données projet'!$C$27)</f>
        <v>8.210485349999999</v>
      </c>
      <c r="L14" s="152">
        <f t="shared" ca="1" si="2"/>
        <v>91.053764515261818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8"/>
      <c r="B16" s="212"/>
      <c r="C16" s="213"/>
      <c r="D16" s="23"/>
      <c r="E16" s="23"/>
      <c r="F16" s="165">
        <f t="shared" ref="F16:L16" ca="1" si="3">SUM(F6:F15)</f>
        <v>2294.8320170588513</v>
      </c>
      <c r="G16" s="166">
        <f t="shared" ca="1" si="3"/>
        <v>2065.3488153529656</v>
      </c>
      <c r="H16" s="167">
        <f t="shared" si="3"/>
        <v>25.771567163665068</v>
      </c>
      <c r="I16" s="167">
        <f t="shared" si="3"/>
        <v>23.194410447298562</v>
      </c>
      <c r="J16" s="168">
        <f t="shared" si="3"/>
        <v>228.89616615199995</v>
      </c>
      <c r="K16" s="168">
        <f t="shared" si="3"/>
        <v>206.00654953679995</v>
      </c>
      <c r="L16" s="169">
        <f t="shared" ca="1" si="3"/>
        <v>2294.5497753370646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Hêtre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Châtaignier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>Erable sycomore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1" zoomScale="76" zoomScaleNormal="80" workbookViewId="0">
      <selection activeCell="F271" sqref="F27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4884.0325556158987</v>
      </c>
      <c r="U10" s="178">
        <f>'Données projet'!D9</f>
        <v>1.4998799999999997</v>
      </c>
      <c r="V10" s="177">
        <f>U10*T10</f>
        <v>7325.4627495171726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Cèdre de l'Atlas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-1750.0163485746566</v>
      </c>
      <c r="U11" s="178">
        <f>'Données projet'!D10</f>
        <v>0.24997999999999998</v>
      </c>
      <c r="V11" s="177">
        <f t="shared" ref="V11" si="0">U11*T11</f>
        <v>-437.4690868166926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Mélèze hybride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2127.8688276882544</v>
      </c>
      <c r="U12" s="178">
        <f>'Données projet'!D11</f>
        <v>0.24997999999999998</v>
      </c>
      <c r="V12" s="177">
        <f t="shared" ref="V12:V19" si="1">U12*T12</f>
        <v>531.92464954550985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sessile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-3813.0546846899638</v>
      </c>
      <c r="U13" s="178">
        <f>'Données projet'!D12</f>
        <v>3.3678339999999998</v>
      </c>
      <c r="V13" s="177">
        <f t="shared" si="1"/>
        <v>-12841.735210958139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Chêne rouge d'Amérique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-2135.0669717505966</v>
      </c>
      <c r="U14" s="178">
        <f>'Données projet'!D13</f>
        <v>1.9713939999999996</v>
      </c>
      <c r="V14" s="177">
        <f t="shared" si="1"/>
        <v>-4209.0582177072947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9"/>
      <c r="G15" s="288" t="s">
        <v>318</v>
      </c>
      <c r="H15" s="190"/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Hêtre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-4284.8835350257696</v>
      </c>
      <c r="U15" s="178">
        <f>'Données projet'!D14</f>
        <v>0.374108</v>
      </c>
      <c r="V15" s="177">
        <f t="shared" si="1"/>
        <v>-1603.0092095214206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>Merisier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-2736.6849393308148</v>
      </c>
      <c r="U16" s="178">
        <f>'Données projet'!D15</f>
        <v>0.374108</v>
      </c>
      <c r="V16" s="177">
        <f t="shared" si="1"/>
        <v>-1023.8157292831725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8" t="s">
        <v>132</v>
      </c>
      <c r="C17" s="197" t="s">
        <v>132</v>
      </c>
      <c r="D17" s="196" t="s">
        <v>132</v>
      </c>
      <c r="E17" s="193">
        <f>1466+1333</f>
        <v>2799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Châtaignier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-2354.7564742331906</v>
      </c>
      <c r="U17" s="178">
        <f>'Données projet'!D16</f>
        <v>0.26635799999999998</v>
      </c>
      <c r="V17" s="177">
        <f t="shared" si="1"/>
        <v>-627.20822496380413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>Erable sycomore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-923.78149398514097</v>
      </c>
      <c r="U18" s="178">
        <f>'Données projet'!D17</f>
        <v>0.26635799999999998</v>
      </c>
      <c r="V18" s="177">
        <f t="shared" si="1"/>
        <v>-246.05659117489415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400+650</f>
        <v>1050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300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300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74.819999999999993</v>
      </c>
      <c r="C23" s="193">
        <f>65*'Données projet'!E36+19.4*('Données projet'!F36+'Données projet'!G36)+10*'Données projet'!G36</f>
        <v>23.799999999999997</v>
      </c>
      <c r="D23" s="182">
        <f>B23*C23</f>
        <v>1780.7159999999997</v>
      </c>
      <c r="E23" s="193"/>
      <c r="F23" s="229"/>
      <c r="H23" s="190">
        <v>3</v>
      </c>
      <c r="I23" s="191">
        <v>300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-29290.786691673951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51.39</v>
      </c>
      <c r="C24" s="193">
        <f>65*'Données projet'!E37+19.4*('Données projet'!F37+'Données projet'!G37)+10*'Données projet'!G37</f>
        <v>32.019999999999996</v>
      </c>
      <c r="D24" s="182">
        <f t="shared" ref="D24:D42" si="2">B24*C24</f>
        <v>1645.5077999999999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80.97</v>
      </c>
      <c r="C25" s="193">
        <f>65*'Données projet'!E38+19.4*('Données projet'!F38+'Données projet'!G38)+10*'Données projet'!G38</f>
        <v>32.019999999999996</v>
      </c>
      <c r="D25" s="182">
        <f t="shared" si="2"/>
        <v>2592.6593999999996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/>
      <c r="Q25" s="233"/>
      <c r="R25" s="23"/>
      <c r="S25" s="186" t="s">
        <v>266</v>
      </c>
      <c r="T25" s="302">
        <f ca="1">T23-T24</f>
        <v>-29290.786691673951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85.88</v>
      </c>
      <c r="C26" s="193">
        <f>65*'Données projet'!E39+19.4*('Données projet'!F39+'Données projet'!G39)+10*'Données projet'!G39</f>
        <v>40.24</v>
      </c>
      <c r="D26" s="182">
        <f t="shared" si="2"/>
        <v>3455.8112000000001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91.25</v>
      </c>
      <c r="C27" s="193">
        <f>65*'Données projet'!E40+19.4*('Données projet'!F40+'Données projet'!G40)+10*'Données projet'!G40</f>
        <v>40.24</v>
      </c>
      <c r="D27" s="182">
        <f t="shared" si="2"/>
        <v>3671.9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101.34</v>
      </c>
      <c r="C28" s="193">
        <f>65*'Données projet'!E41+19.4*('Données projet'!F41+'Données projet'!G41)+10*'Données projet'!G41</f>
        <v>48.559999999999995</v>
      </c>
      <c r="D28" s="182">
        <f t="shared" si="2"/>
        <v>4921.0703999999996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707.75</v>
      </c>
      <c r="C29" s="193">
        <f>65*'Données projet'!E42+19.4*('Données projet'!F42+'Données projet'!G42)+10*'Données projet'!G42</f>
        <v>56.78</v>
      </c>
      <c r="D29" s="182">
        <f t="shared" si="2"/>
        <v>40186.044999999998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>
        <f>225*'Données projet'!E43+13.8*('Données projet'!F43+'Données projet'!G43)+10*'Données projet'!G43</f>
        <v>0</v>
      </c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>
        <f>225*'Données projet'!E44+13.8*('Données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>
        <f>225*'Données projet'!E45+13.8*('Données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>
        <f>225*'Données projet'!E46+13.8*('Données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>
        <f>225*'Données projet'!E47+13.8*('Données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>
        <f>225*'Données projet'!E48+13.8*('Données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>
        <f>225*'Données projet'!E49+13.8*('Données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>
        <f>225*'Données projet'!E50+13.8*('Données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>
        <f>225*'Données projet'!E51+13.8*('Données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>
        <f>225*'Données projet'!E52+13.8*('Données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>
        <f>225*'Données projet'!E54+13.8*('Données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>
        <f>225*'Données projet'!E55+13.8*('Données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8" t="s">
        <v>132</v>
      </c>
      <c r="C48" s="197" t="s">
        <v>132</v>
      </c>
      <c r="D48" s="196" t="s">
        <v>132</v>
      </c>
      <c r="E48" s="193">
        <f>1732+1333</f>
        <v>3065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42</v>
      </c>
      <c r="B54" s="181">
        <f>'Données projet'!D62</f>
        <v>105.41</v>
      </c>
      <c r="C54" s="191">
        <f>65*'Données projet'!E62+19.4*('Données projet'!F62+'Données projet'!G62)+10*'Données projet'!H62</f>
        <v>19.399999999999999</v>
      </c>
      <c r="D54" s="179">
        <f>B54*C54</f>
        <v>2044.9539999999997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50</v>
      </c>
      <c r="B55" s="181">
        <f>'Données projet'!D63</f>
        <v>106.51</v>
      </c>
      <c r="C55" s="191">
        <f>65*'Données projet'!E63+19.4*('Données projet'!F63+'Données projet'!G63)+10*'Données projet'!H63</f>
        <v>19.399999999999999</v>
      </c>
      <c r="D55" s="179">
        <f t="shared" ref="D55:D73" si="4">B55*C55</f>
        <v>2066.2939999999999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58</v>
      </c>
      <c r="B56" s="181">
        <f>'Données projet'!D64</f>
        <v>87.34</v>
      </c>
      <c r="C56" s="191">
        <f>65*'Données projet'!E64+19.4*('Données projet'!F64+'Données projet'!G64)+10*'Données projet'!H64</f>
        <v>28.52</v>
      </c>
      <c r="D56" s="179">
        <f t="shared" si="4"/>
        <v>2490.9367999999999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66</v>
      </c>
      <c r="B57" s="181">
        <f>'Données projet'!D65</f>
        <v>87.73</v>
      </c>
      <c r="C57" s="191">
        <f>65*'Données projet'!E65+19.4*('Données projet'!F65+'Données projet'!G65)+10*'Données projet'!H65</f>
        <v>28.52</v>
      </c>
      <c r="D57" s="179">
        <f t="shared" si="4"/>
        <v>2502.0596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75</v>
      </c>
      <c r="B58" s="181">
        <f>'Données projet'!D66</f>
        <v>87.99</v>
      </c>
      <c r="C58" s="191">
        <f>65*'Données projet'!E66+19.4*('Données projet'!F66+'Données projet'!G66)+10*'Données projet'!H66</f>
        <v>37.64</v>
      </c>
      <c r="D58" s="179">
        <f t="shared" si="4"/>
        <v>3311.9436000000001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83</v>
      </c>
      <c r="B59" s="181">
        <f>'Données projet'!D67</f>
        <v>90.24</v>
      </c>
      <c r="C59" s="191">
        <f>65*'Données projet'!E67+19.4*('Données projet'!F67+'Données projet'!G67)+10*'Données projet'!H67</f>
        <v>37.64</v>
      </c>
      <c r="D59" s="179">
        <f t="shared" si="4"/>
        <v>3396.6335999999997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91</v>
      </c>
      <c r="B60" s="181">
        <f>'Données projet'!D68</f>
        <v>260.64</v>
      </c>
      <c r="C60" s="191">
        <f>65*'Données projet'!E68+19.4*('Données projet'!F68+'Données projet'!G68)+10*'Données projet'!H68</f>
        <v>46.76</v>
      </c>
      <c r="D60" s="179">
        <f t="shared" si="4"/>
        <v>12187.526399999999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101</v>
      </c>
      <c r="B61" s="181">
        <f>'Données projet'!D69</f>
        <v>351.18</v>
      </c>
      <c r="C61" s="191">
        <f>65*'Données projet'!E69+19.4*('Données projet'!F69+'Données projet'!G69)+10*'Données projet'!H69</f>
        <v>55.88</v>
      </c>
      <c r="D61" s="179">
        <f t="shared" si="4"/>
        <v>19623.938400000003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>
        <f>225*'Données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>
        <f>225*'Données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>
        <f>225*'Données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>
        <f>225*'Données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>
        <f>225*'Données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>
        <f>225*'Données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>
        <f>225*'Données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>
        <f>225*'Données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>
        <f>225*'Données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>
        <f>225*'Données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>
        <f>225*'Données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>
        <f>225*'Données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8" t="s">
        <v>132</v>
      </c>
      <c r="C79" s="197" t="s">
        <v>132</v>
      </c>
      <c r="D79" s="196" t="s">
        <v>132</v>
      </c>
      <c r="E79" s="193">
        <f>1732+1333</f>
        <v>3065</v>
      </c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12</v>
      </c>
      <c r="B85" s="181">
        <f>'Données projet'!D88</f>
        <v>16</v>
      </c>
      <c r="C85" s="191">
        <f>65*'Données projet'!E88+19.4*('Données projet'!F88+'Données projet'!G88)+10*'Données projet'!H88</f>
        <v>19.399999999999999</v>
      </c>
      <c r="D85" s="179">
        <f>B85*C85</f>
        <v>310.39999999999998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36</v>
      </c>
      <c r="C86" s="191">
        <f>65*'Données projet'!E89+19.4*('Données projet'!F89+'Données projet'!G89)+10*'Données projet'!H89</f>
        <v>28.52</v>
      </c>
      <c r="D86" s="179">
        <f t="shared" ref="D86:D104" si="6">B86*C86</f>
        <v>1026.72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18</v>
      </c>
      <c r="B87" s="181">
        <f>'Données projet'!D90</f>
        <v>47</v>
      </c>
      <c r="C87" s="191">
        <f>65*'Données projet'!E90+19.4*('Données projet'!F90+'Données projet'!G90)+10*'Données projet'!H90</f>
        <v>28.52</v>
      </c>
      <c r="D87" s="179">
        <f t="shared" si="6"/>
        <v>1340.44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24</v>
      </c>
      <c r="B88" s="181">
        <f>'Données projet'!D91</f>
        <v>65</v>
      </c>
      <c r="C88" s="191">
        <f>65*'Données projet'!E91+19.4*('Données projet'!F91+'Données projet'!G91)+10*'Données projet'!H91</f>
        <v>37.64</v>
      </c>
      <c r="D88" s="179">
        <f t="shared" si="6"/>
        <v>2446.6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>
        <f>'Données projet'!D92</f>
        <v>58</v>
      </c>
      <c r="C89" s="191">
        <f>65*'Données projet'!E92+19.4*('Données projet'!F92+'Données projet'!G92)+10*'Données projet'!H92</f>
        <v>37.64</v>
      </c>
      <c r="D89" s="179">
        <f t="shared" si="6"/>
        <v>2183.12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36</v>
      </c>
      <c r="B90" s="181">
        <f>'Données projet'!D93</f>
        <v>58</v>
      </c>
      <c r="C90" s="191">
        <f>65*'Données projet'!E93+19.4*('Données projet'!F93+'Données projet'!G93)+10*'Données projet'!H93</f>
        <v>46.76</v>
      </c>
      <c r="D90" s="179">
        <f t="shared" si="6"/>
        <v>2712.08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42</v>
      </c>
      <c r="B91" s="181">
        <f>'Données projet'!D94</f>
        <v>214</v>
      </c>
      <c r="C91" s="191">
        <f>65*'Données projet'!E94+19.4*('Données projet'!F94+'Données projet'!G94)+10*'Données projet'!H94</f>
        <v>55.88</v>
      </c>
      <c r="D91" s="179">
        <f t="shared" si="6"/>
        <v>11958.32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>
        <f>225*'Données projet'!E95+13.8*('Données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>
        <f>225*'Données projet'!E96+13.8*('Données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>
        <f>225*'Données projet'!E97+13.8*('Données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>
        <f>225*'Données projet'!E98+13.8*('Données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>
        <f>225*'Données projet'!E99+13.8*('Données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>
        <f>225*'Données projet'!E100+13.8*('Données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>
        <f>225*'Données projet'!E101+13.8*('Données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>
        <f>225*'Données projet'!E102+13.8*('Données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>
        <f>225*'Données projet'!E103+13.8*('Données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>
        <f>225*'Données projet'!E104+13.8*('Données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>
        <f>225*'Données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>
        <f>225*'Données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>
        <f>225*'Données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5000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34</v>
      </c>
      <c r="B116" s="181">
        <f>'Données projet'!D114</f>
        <v>35.450000000000003</v>
      </c>
      <c r="C116" s="191">
        <f>225*'Données projet'!E114+13.8*('Données projet'!F114+'Données projet'!G114)+10*'Données projet'!H114</f>
        <v>10</v>
      </c>
      <c r="D116" s="179">
        <f>B116*C116</f>
        <v>354.5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42</v>
      </c>
      <c r="B117" s="181">
        <f>'Données projet'!D115</f>
        <v>55.41</v>
      </c>
      <c r="C117" s="191">
        <f>225*'Données projet'!E115+13.8*('Données projet'!F115+'Données projet'!G115)+10*'Données projet'!H115</f>
        <v>10</v>
      </c>
      <c r="D117" s="179">
        <f t="shared" ref="D117:D135" si="8">B117*C117</f>
        <v>554.09999999999991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50</v>
      </c>
      <c r="B118" s="181">
        <f>'Données projet'!D116</f>
        <v>66.62</v>
      </c>
      <c r="C118" s="191">
        <f>225*'Données projet'!E116+13.8*('Données projet'!F116+'Données projet'!G116)+10*'Données projet'!H116</f>
        <v>10</v>
      </c>
      <c r="D118" s="179">
        <f t="shared" si="8"/>
        <v>666.2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58</v>
      </c>
      <c r="B119" s="181">
        <f>'Données projet'!D117</f>
        <v>62.16</v>
      </c>
      <c r="C119" s="191">
        <f>225*'Données projet'!E117+13.8*('Données projet'!F117+'Données projet'!G117)+10*'Données projet'!H117</f>
        <v>10</v>
      </c>
      <c r="D119" s="179">
        <f t="shared" si="8"/>
        <v>621.59999999999991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66</v>
      </c>
      <c r="B120" s="181">
        <f>'Données projet'!D118</f>
        <v>71.34</v>
      </c>
      <c r="C120" s="191">
        <f>225*'Données projet'!E118+13.8*('Données projet'!F118+'Données projet'!G118)+10*'Données projet'!H118</f>
        <v>53</v>
      </c>
      <c r="D120" s="179">
        <f t="shared" si="8"/>
        <v>3781.02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74</v>
      </c>
      <c r="B121" s="181">
        <f>'Données projet'!D119</f>
        <v>70.209999999999994</v>
      </c>
      <c r="C121" s="191">
        <f>225*'Données projet'!E119+13.8*('Données projet'!F119+'Données projet'!G119)+10*'Données projet'!H119</f>
        <v>53</v>
      </c>
      <c r="D121" s="179">
        <f t="shared" si="8"/>
        <v>3721.1299999999997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82</v>
      </c>
      <c r="B122" s="181">
        <f>'Données projet'!D120</f>
        <v>53.92</v>
      </c>
      <c r="C122" s="191">
        <f>225*'Données projet'!E120+13.8*('Données projet'!F120+'Données projet'!G120)+10*'Données projet'!H120</f>
        <v>74.5</v>
      </c>
      <c r="D122" s="179">
        <f t="shared" si="8"/>
        <v>4017.04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90</v>
      </c>
      <c r="B123" s="181">
        <f>'Données projet'!D121</f>
        <v>63.25</v>
      </c>
      <c r="C123" s="191">
        <f>225*'Données projet'!E121+13.8*('Données projet'!F121+'Données projet'!G121)+10*'Données projet'!H121</f>
        <v>74.5</v>
      </c>
      <c r="D123" s="179">
        <f t="shared" si="8"/>
        <v>4712.125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100</v>
      </c>
      <c r="B124" s="181">
        <f>'Données projet'!D122</f>
        <v>85.23</v>
      </c>
      <c r="C124" s="191">
        <f>225*'Données projet'!E122+13.8*('Données projet'!F122+'Données projet'!G122)+10*'Données projet'!H122</f>
        <v>96</v>
      </c>
      <c r="D124" s="179">
        <f t="shared" si="8"/>
        <v>8182.08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110</v>
      </c>
      <c r="B125" s="181">
        <f>'Données projet'!D123</f>
        <v>67.22</v>
      </c>
      <c r="C125" s="191">
        <f>225*'Données projet'!E123+13.8*('Données projet'!F123+'Données projet'!G123)+10*'Données projet'!H123</f>
        <v>96</v>
      </c>
      <c r="D125" s="179">
        <f t="shared" si="8"/>
        <v>6453.12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120</v>
      </c>
      <c r="B126" s="181">
        <f>'Données projet'!D124</f>
        <v>60.46</v>
      </c>
      <c r="C126" s="191">
        <f>225*'Données projet'!E124+13.8*('Données projet'!F124+'Données projet'!G124)+10*'Données projet'!H124</f>
        <v>117.5</v>
      </c>
      <c r="D126" s="179">
        <f t="shared" si="8"/>
        <v>7104.05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130</v>
      </c>
      <c r="B127" s="181">
        <f>'Données projet'!D125</f>
        <v>69</v>
      </c>
      <c r="C127" s="191">
        <f>225*'Données projet'!E125+13.8*('Données projet'!F125+'Données projet'!G125)+10*'Données projet'!H125</f>
        <v>117.5</v>
      </c>
      <c r="D127" s="179">
        <f t="shared" si="8"/>
        <v>8107.5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140</v>
      </c>
      <c r="B128" s="181">
        <f>'Données projet'!D126</f>
        <v>67.930000000000007</v>
      </c>
      <c r="C128" s="191">
        <f>225*'Données projet'!E126+13.8*('Données projet'!F126+'Données projet'!G126)+10*'Données projet'!H126</f>
        <v>139</v>
      </c>
      <c r="D128" s="179">
        <f t="shared" si="8"/>
        <v>9442.27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150</v>
      </c>
      <c r="B129" s="181">
        <f>'Données projet'!D127</f>
        <v>234.51</v>
      </c>
      <c r="C129" s="191">
        <f>225*'Données projet'!E127+13.8*('Données projet'!F127+'Données projet'!G127)+10*'Données projet'!H127</f>
        <v>139</v>
      </c>
      <c r="D129" s="179">
        <f t="shared" si="8"/>
        <v>32596.89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153</v>
      </c>
      <c r="B130" s="181">
        <f>'Données projet'!D128</f>
        <v>141.22</v>
      </c>
      <c r="C130" s="191">
        <f>225*'Données projet'!E128+13.8*('Données projet'!F128+'Données projet'!G128)+10*'Données projet'!H128</f>
        <v>160.5</v>
      </c>
      <c r="D130" s="179">
        <f t="shared" si="8"/>
        <v>22665.81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156</v>
      </c>
      <c r="B131" s="181">
        <f>'Données projet'!D129</f>
        <v>87.28</v>
      </c>
      <c r="C131" s="191">
        <f>225*'Données projet'!E129+13.8*('Données projet'!F129+'Données projet'!G129)+10*'Données projet'!H129</f>
        <v>160.5</v>
      </c>
      <c r="D131" s="179">
        <f t="shared" si="8"/>
        <v>14008.44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159</v>
      </c>
      <c r="B132" s="181">
        <f>'Données projet'!D130</f>
        <v>180.6</v>
      </c>
      <c r="C132" s="191">
        <f>225*'Données projet'!E130+13.8*('Données projet'!F130+'Données projet'!G130)+10*'Données projet'!H130</f>
        <v>182</v>
      </c>
      <c r="D132" s="179">
        <f t="shared" si="8"/>
        <v>32869.199999999997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>
        <f>225*'Données projet'!E131+13.8*('Données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>
        <f>225*'Données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>
        <f>225*'Données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f>2666+1333</f>
        <v>3999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13.46</v>
      </c>
      <c r="C147" s="191">
        <f>150*'Données projet'!E140+13.8*('Données projet'!F140+'Données projet'!G140)+10*'Données projet'!H140</f>
        <v>10</v>
      </c>
      <c r="D147" s="182">
        <f>B147*C147</f>
        <v>134.60000000000002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27.56</v>
      </c>
      <c r="C148" s="191">
        <f>150*'Données projet'!E141+13.8*('Données projet'!F141+'Données projet'!G141)+10*'Données projet'!H141</f>
        <v>10</v>
      </c>
      <c r="D148" s="182">
        <f t="shared" ref="D148:D166" si="10">B148*C148</f>
        <v>275.59999999999997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28.21</v>
      </c>
      <c r="C149" s="191">
        <f>150*'Données projet'!E142+13.8*('Données projet'!F142+'Données projet'!G142)+10*'Données projet'!H142</f>
        <v>10</v>
      </c>
      <c r="D149" s="182">
        <f t="shared" si="10"/>
        <v>282.10000000000002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28.21</v>
      </c>
      <c r="C150" s="191">
        <f>150*'Données projet'!E143+13.8*('Données projet'!F143+'Données projet'!G143)+10*'Données projet'!H143</f>
        <v>10</v>
      </c>
      <c r="D150" s="182">
        <f t="shared" si="10"/>
        <v>282.10000000000002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35</v>
      </c>
      <c r="B151" s="175">
        <f>'Données projet'!D144</f>
        <v>26.92</v>
      </c>
      <c r="C151" s="191">
        <f>150*'Données projet'!E144+13.8*('Données projet'!F144+'Données projet'!G144)+10*'Données projet'!H144</f>
        <v>38</v>
      </c>
      <c r="D151" s="182">
        <f t="shared" si="10"/>
        <v>1022.96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40</v>
      </c>
      <c r="B152" s="175">
        <f>'Données projet'!D145</f>
        <v>25</v>
      </c>
      <c r="C152" s="191">
        <f>150*'Données projet'!E145+13.8*('Données projet'!F145+'Données projet'!G145)+10*'Données projet'!H145</f>
        <v>38</v>
      </c>
      <c r="D152" s="182">
        <f t="shared" si="10"/>
        <v>950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45</v>
      </c>
      <c r="B153" s="175">
        <f>'Données projet'!D146</f>
        <v>23.08</v>
      </c>
      <c r="C153" s="191">
        <f>150*'Données projet'!E146+13.8*('Données projet'!F146+'Données projet'!G146)+10*'Données projet'!H146</f>
        <v>52</v>
      </c>
      <c r="D153" s="182">
        <f t="shared" si="10"/>
        <v>1200.1599999999999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50</v>
      </c>
      <c r="B154" s="175">
        <f>'Données projet'!D147</f>
        <v>21.15</v>
      </c>
      <c r="C154" s="191">
        <f>150*'Données projet'!E147+13.8*('Données projet'!F147+'Données projet'!G147)+10*'Données projet'!H147</f>
        <v>52</v>
      </c>
      <c r="D154" s="182">
        <f t="shared" si="10"/>
        <v>1099.8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55</v>
      </c>
      <c r="B155" s="175">
        <f>'Données projet'!D148</f>
        <v>18.59</v>
      </c>
      <c r="C155" s="191">
        <f>150*'Données projet'!E148+13.8*('Données projet'!F148+'Données projet'!G148)+10*'Données projet'!H148</f>
        <v>66</v>
      </c>
      <c r="D155" s="182">
        <f t="shared" si="10"/>
        <v>1226.94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60</v>
      </c>
      <c r="B156" s="175">
        <f>'Données projet'!D149</f>
        <v>16.670000000000002</v>
      </c>
      <c r="C156" s="191">
        <f>150*'Données projet'!E149+13.8*('Données projet'!F149+'Données projet'!G149)+10*'Données projet'!H149</f>
        <v>66</v>
      </c>
      <c r="D156" s="182">
        <f t="shared" si="10"/>
        <v>1100.22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65</v>
      </c>
      <c r="B157" s="175">
        <f>'Données projet'!D150</f>
        <v>14.74</v>
      </c>
      <c r="C157" s="191">
        <f>150*'Données projet'!E150+13.8*('Données projet'!F150+'Données projet'!G150)+10*'Données projet'!H150</f>
        <v>80</v>
      </c>
      <c r="D157" s="182">
        <f t="shared" si="10"/>
        <v>1179.2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70</v>
      </c>
      <c r="B158" s="175">
        <f>'Données projet'!D151</f>
        <v>159.62</v>
      </c>
      <c r="C158" s="191">
        <f>150*'Données projet'!E151+13.8*('Données projet'!F151+'Données projet'!G151)+10*'Données projet'!H151</f>
        <v>80</v>
      </c>
      <c r="D158" s="182">
        <f t="shared" si="10"/>
        <v>12769.6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>
        <f>225*'Données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>
        <f>225*'Données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>
        <f>225*'Données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>
        <f>225*'Données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>
        <f>225*'Données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>
        <f>225*'Données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>
        <f>225*'Données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>
        <f>225*'Données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Hêtre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5000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42</v>
      </c>
      <c r="B178" s="181">
        <f>'Données projet'!D166</f>
        <v>78.63</v>
      </c>
      <c r="C178" s="193">
        <f>120*'Données projet'!E166+13.8*('Données projet'!F166+'Données projet'!G168)+10*'Données projet'!H166</f>
        <v>10</v>
      </c>
      <c r="D178" s="179">
        <f>B178*C178</f>
        <v>786.3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48</v>
      </c>
      <c r="B179" s="181">
        <f>'Données projet'!D167</f>
        <v>52.92</v>
      </c>
      <c r="C179" s="193">
        <f>120*'Données projet'!E167+13.8*('Données projet'!F167+'Données projet'!G169)+10*'Données projet'!H167</f>
        <v>10</v>
      </c>
      <c r="D179" s="179">
        <f t="shared" ref="D179:D197" si="11">B179*C179</f>
        <v>529.20000000000005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54</v>
      </c>
      <c r="B180" s="181">
        <f>'Données projet'!D168</f>
        <v>57.96</v>
      </c>
      <c r="C180" s="193">
        <f>120*'Données projet'!E168+13.8*('Données projet'!F168+'Données projet'!G170)+10*'Données projet'!H168</f>
        <v>10</v>
      </c>
      <c r="D180" s="179">
        <f t="shared" si="11"/>
        <v>579.6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63</v>
      </c>
      <c r="B181" s="181">
        <f>'Données projet'!D169</f>
        <v>81.72</v>
      </c>
      <c r="C181" s="193">
        <f>120*'Données projet'!E169+13.8*('Données projet'!F169+'Données projet'!G171)+10*'Données projet'!H169</f>
        <v>10</v>
      </c>
      <c r="D181" s="179">
        <f t="shared" si="11"/>
        <v>817.2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72</v>
      </c>
      <c r="B182" s="181">
        <f>'Données projet'!D170</f>
        <v>80.739999999999995</v>
      </c>
      <c r="C182" s="193">
        <f>120*'Données projet'!E170+13.8*('Données projet'!F170+'Données projet'!G172)+10*'Données projet'!H170</f>
        <v>32</v>
      </c>
      <c r="D182" s="179">
        <f t="shared" si="11"/>
        <v>2583.6799999999998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81</v>
      </c>
      <c r="B183" s="181">
        <f>'Données projet'!D171</f>
        <v>75.06</v>
      </c>
      <c r="C183" s="193">
        <f>120*'Données projet'!E171+13.8*('Données projet'!F171+'Données projet'!G173)+10*'Données projet'!H171</f>
        <v>32</v>
      </c>
      <c r="D183" s="179">
        <f t="shared" si="11"/>
        <v>2401.92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90</v>
      </c>
      <c r="B184" s="181">
        <f>'Données projet'!D172</f>
        <v>69.36</v>
      </c>
      <c r="C184" s="193">
        <f>120*'Données projet'!E172+13.8*('Données projet'!F172+'Données projet'!G174)+10*'Données projet'!H172</f>
        <v>43</v>
      </c>
      <c r="D184" s="179">
        <f t="shared" si="11"/>
        <v>2982.48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99</v>
      </c>
      <c r="B185" s="181">
        <f>'Données projet'!D173</f>
        <v>70.61</v>
      </c>
      <c r="C185" s="193">
        <f>120*'Données projet'!E173+13.8*('Données projet'!F173+'Données projet'!G175)+10*'Données projet'!H173</f>
        <v>43</v>
      </c>
      <c r="D185" s="179">
        <f t="shared" si="11"/>
        <v>3036.23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111</v>
      </c>
      <c r="B186" s="181">
        <f>'Données projet'!D174</f>
        <v>141.30000000000001</v>
      </c>
      <c r="C186" s="193">
        <f>120*'Données projet'!E174+13.8*('Données projet'!F174+'Données projet'!G176)+10*'Données projet'!H174</f>
        <v>54</v>
      </c>
      <c r="D186" s="179">
        <f t="shared" si="11"/>
        <v>7630.2000000000007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116</v>
      </c>
      <c r="B187" s="181">
        <f>'Données projet'!D175</f>
        <v>94.84</v>
      </c>
      <c r="C187" s="193">
        <f>120*'Données projet'!E175+13.8*('Données projet'!F175+'Données projet'!G177)+10*'Données projet'!H175</f>
        <v>54</v>
      </c>
      <c r="D187" s="179">
        <f t="shared" si="11"/>
        <v>5121.3600000000006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121</v>
      </c>
      <c r="B188" s="181">
        <f>'Données projet'!D176</f>
        <v>85.95</v>
      </c>
      <c r="C188" s="193">
        <f>120*'Données projet'!E176+13.8*('Données projet'!F176+'Données projet'!G178)+10*'Données projet'!H176</f>
        <v>65</v>
      </c>
      <c r="D188" s="179">
        <f t="shared" si="11"/>
        <v>5586.75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125</v>
      </c>
      <c r="B189" s="181">
        <f>'Données projet'!D177</f>
        <v>129.91999999999999</v>
      </c>
      <c r="C189" s="193">
        <f>120*'Données projet'!E177+13.8*('Données projet'!F177+'Données projet'!G179)+10*'Données projet'!H177</f>
        <v>65</v>
      </c>
      <c r="D189" s="179">
        <f t="shared" si="11"/>
        <v>8444.7999999999993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>
        <f>225*'Données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>
        <f>225*'Données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>
        <f>225*'Données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>
        <f>225*'Données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>
        <f>225*'Données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>
        <f>225*'Données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>
        <f>225*'Données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>
        <f>225*'Données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5000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15</v>
      </c>
      <c r="B209" s="181">
        <f>'Données projet'!D192</f>
        <v>3</v>
      </c>
      <c r="C209" s="193">
        <f>80*'Données projet'!E192+13.8*('Données projet'!F192+'Données projet'!G192)+10*'Données projet'!H192</f>
        <v>10</v>
      </c>
      <c r="D209" s="179">
        <f>B209*C209</f>
        <v>30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20</v>
      </c>
      <c r="B210" s="181">
        <f>'Données projet'!D193</f>
        <v>25</v>
      </c>
      <c r="C210" s="193">
        <f>80*'Données projet'!E193+13.8*('Données projet'!F193+'Données projet'!G193)+10*'Données projet'!H193</f>
        <v>24</v>
      </c>
      <c r="D210" s="179">
        <f t="shared" ref="D210:D228" si="12">B210*C210</f>
        <v>600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27</v>
      </c>
      <c r="C211" s="193">
        <f>80*'Données projet'!E194+13.8*('Données projet'!F194+'Données projet'!G194)+10*'Données projet'!H194</f>
        <v>24</v>
      </c>
      <c r="D211" s="179">
        <f t="shared" si="12"/>
        <v>648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31</v>
      </c>
      <c r="B212" s="181">
        <f>'Données projet'!D195</f>
        <v>36</v>
      </c>
      <c r="C212" s="193">
        <f>80*'Données projet'!E195+13.8*('Données projet'!F195+'Données projet'!G195)+10*'Données projet'!H195</f>
        <v>31</v>
      </c>
      <c r="D212" s="179">
        <f t="shared" si="12"/>
        <v>1116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37</v>
      </c>
      <c r="B213" s="181">
        <f>'Données projet'!D196</f>
        <v>36</v>
      </c>
      <c r="C213" s="193">
        <f>80*'Données projet'!E196+13.8*('Données projet'!F196+'Données projet'!G196)+10*'Données projet'!H196</f>
        <v>31</v>
      </c>
      <c r="D213" s="179">
        <f t="shared" si="12"/>
        <v>1116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44</v>
      </c>
      <c r="B214" s="181">
        <f>'Données projet'!D197</f>
        <v>43</v>
      </c>
      <c r="C214" s="193">
        <f>80*'Données projet'!E197+13.8*('Données projet'!F197+'Données projet'!G197)+10*'Données projet'!H197</f>
        <v>38</v>
      </c>
      <c r="D214" s="179">
        <f t="shared" si="12"/>
        <v>1634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52</v>
      </c>
      <c r="B215" s="181">
        <f>'Données projet'!D198</f>
        <v>48</v>
      </c>
      <c r="C215" s="193">
        <f>80*'Données projet'!E198+13.8*('Données projet'!F198+'Données projet'!G198)+10*'Données projet'!H198</f>
        <v>38</v>
      </c>
      <c r="D215" s="179">
        <f t="shared" si="12"/>
        <v>1824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60</v>
      </c>
      <c r="B216" s="181">
        <f>'Données projet'!D199</f>
        <v>47</v>
      </c>
      <c r="C216" s="193">
        <f>80*'Données projet'!E199+13.8*('Données projet'!F199+'Données projet'!G199)+10*'Données projet'!H199</f>
        <v>45</v>
      </c>
      <c r="D216" s="179">
        <f t="shared" si="12"/>
        <v>2115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69</v>
      </c>
      <c r="B217" s="181">
        <f>'Données projet'!D200</f>
        <v>328</v>
      </c>
      <c r="C217" s="193">
        <f>80*'Données projet'!E200+13.8*('Données projet'!F200+'Données projet'!G200)+10*'Données projet'!H200</f>
        <v>45</v>
      </c>
      <c r="D217" s="179">
        <f t="shared" si="12"/>
        <v>14760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>
        <f>80*'Données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>
        <f>80*'Données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>
        <f>80*'Données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>
        <f>80*'Données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>
        <f>225*'Données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>
        <f>225*'Données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>
        <f>225*'Données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>
        <f>225*'Données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>
        <f>225*'Données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>
        <f>225*'Données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>
        <f>225*'Données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Châtaignier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2666+1333</f>
        <v>3999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10</v>
      </c>
      <c r="B240" s="181">
        <f>'Données projet'!D218</f>
        <v>0</v>
      </c>
      <c r="C240" s="193">
        <f>60*'Données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15</v>
      </c>
      <c r="B241" s="181">
        <f>'Données projet'!D219</f>
        <v>32</v>
      </c>
      <c r="C241" s="193">
        <f>60*'Données projet'!E219+13.8*('Données projet'!F219+'Données projet'!G219)+10*'Données projet'!H219</f>
        <v>10</v>
      </c>
      <c r="D241" s="179">
        <f t="shared" ref="D241:D259" si="13">B241*C241</f>
        <v>320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20</v>
      </c>
      <c r="B242" s="181">
        <f>'Données projet'!D220</f>
        <v>35</v>
      </c>
      <c r="C242" s="193">
        <f>60*'Données projet'!E220+13.8*('Données projet'!F220+'Données projet'!G220)+10*'Données projet'!H220</f>
        <v>10</v>
      </c>
      <c r="D242" s="179">
        <f t="shared" si="13"/>
        <v>350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25</v>
      </c>
      <c r="B243" s="181">
        <f>'Données projet'!D221</f>
        <v>35</v>
      </c>
      <c r="C243" s="193">
        <f>60*'Données projet'!E221+13.8*('Données projet'!F221+'Données projet'!G221)+10*'Données projet'!H221</f>
        <v>10</v>
      </c>
      <c r="D243" s="179">
        <f t="shared" si="13"/>
        <v>350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30</v>
      </c>
      <c r="B244" s="181">
        <f>'Données projet'!D222</f>
        <v>35</v>
      </c>
      <c r="C244" s="193">
        <f>60*'Données projet'!E222+13.8*('Données projet'!F222+'Données projet'!G222)+10*'Données projet'!H222</f>
        <v>20</v>
      </c>
      <c r="D244" s="179">
        <f t="shared" si="13"/>
        <v>700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35</v>
      </c>
      <c r="B245" s="181">
        <f>'Données projet'!D223</f>
        <v>35</v>
      </c>
      <c r="C245" s="193">
        <f>60*'Données projet'!E223+13.8*('Données projet'!F223+'Données projet'!G223)+10*'Données projet'!H223</f>
        <v>20</v>
      </c>
      <c r="D245" s="179">
        <f t="shared" si="13"/>
        <v>700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40</v>
      </c>
      <c r="B246" s="181">
        <f>'Données projet'!D224</f>
        <v>35</v>
      </c>
      <c r="C246" s="193">
        <f>60*'Données projet'!E224+13.8*('Données projet'!F224+'Données projet'!G224)+10*'Données projet'!H224</f>
        <v>25</v>
      </c>
      <c r="D246" s="179">
        <f t="shared" si="13"/>
        <v>875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45</v>
      </c>
      <c r="B247" s="181">
        <f>'Données projet'!D225</f>
        <v>24</v>
      </c>
      <c r="C247" s="193">
        <f>60*'Données projet'!E225+13.8*('Données projet'!F225+'Données projet'!G225)+10*'Données projet'!H225</f>
        <v>25</v>
      </c>
      <c r="D247" s="179">
        <f t="shared" si="13"/>
        <v>600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50</v>
      </c>
      <c r="B248" s="181">
        <f>'Données projet'!D226</f>
        <v>19</v>
      </c>
      <c r="C248" s="193">
        <f>60*'Données projet'!E226+13.8*('Données projet'!F226+'Données projet'!G226)+10*'Données projet'!H226</f>
        <v>30</v>
      </c>
      <c r="D248" s="179">
        <f t="shared" si="13"/>
        <v>570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55</v>
      </c>
      <c r="B249" s="181">
        <f>'Données projet'!D227</f>
        <v>16</v>
      </c>
      <c r="C249" s="193">
        <f>60*'Données projet'!E227+13.8*('Données projet'!F227+'Données projet'!G227)+10*'Données projet'!H227</f>
        <v>30</v>
      </c>
      <c r="D249" s="179">
        <f t="shared" si="13"/>
        <v>480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60</v>
      </c>
      <c r="B250" s="181">
        <f>'Données projet'!D228</f>
        <v>14</v>
      </c>
      <c r="C250" s="193">
        <f>60*'Données projet'!E228+13.8*('Données projet'!F228+'Données projet'!G228)+10*'Données projet'!H228</f>
        <v>35</v>
      </c>
      <c r="D250" s="179">
        <f t="shared" si="13"/>
        <v>490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65</v>
      </c>
      <c r="B251" s="181">
        <f>'Données projet'!D229</f>
        <v>13</v>
      </c>
      <c r="C251" s="193">
        <f>60*'Données projet'!E229+13.8*('Données projet'!F229+'Données projet'!G229)+10*'Données projet'!H229</f>
        <v>35</v>
      </c>
      <c r="D251" s="179">
        <f t="shared" si="13"/>
        <v>455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70</v>
      </c>
      <c r="B252" s="181">
        <f>'Données projet'!D230</f>
        <v>13</v>
      </c>
      <c r="C252" s="193">
        <f>60*'Données projet'!E230+13.8*('Données projet'!F230+'Données projet'!G230)+10*'Données projet'!H230</f>
        <v>40</v>
      </c>
      <c r="D252" s="179">
        <f t="shared" si="13"/>
        <v>520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75</v>
      </c>
      <c r="B253" s="181">
        <f>'Données projet'!D231</f>
        <v>12</v>
      </c>
      <c r="C253" s="193">
        <f>60*'Données projet'!E231+13.8*('Données projet'!F231+'Données projet'!G231)+10*'Données projet'!H231</f>
        <v>40</v>
      </c>
      <c r="D253" s="179">
        <f t="shared" si="13"/>
        <v>480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80</v>
      </c>
      <c r="B254" s="181">
        <f>'Données projet'!D232</f>
        <v>330</v>
      </c>
      <c r="C254" s="193">
        <f>60*'Données projet'!E232+13.8*('Données projet'!F232+'Données projet'!G232)+10*'Données projet'!H232</f>
        <v>45</v>
      </c>
      <c r="D254" s="179">
        <f t="shared" si="13"/>
        <v>14850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>
        <f>225*'Données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>
        <f>225*'Données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>
        <f>225*'Données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>
        <f>225*'Données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>
        <f>225*'Données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>Erable sycomore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f>2666+1333</f>
        <v>3999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10</v>
      </c>
      <c r="B271" s="181">
        <f>'Données projet'!D244</f>
        <v>0</v>
      </c>
      <c r="C271" s="193">
        <f>150*'Données projet'!E244+13.8*('Données projet'!F244+'Données projet'!G244)+10*'Données projet'!H244</f>
        <v>10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15</v>
      </c>
      <c r="B272" s="181">
        <f>'Données projet'!D245</f>
        <v>32</v>
      </c>
      <c r="C272" s="193">
        <f>150*'Données projet'!E245+13.8*('Données projet'!F245+'Données projet'!G245)+10*'Données projet'!H245</f>
        <v>10</v>
      </c>
      <c r="D272" s="179">
        <f t="shared" ref="D272:D290" si="14">B272*C272</f>
        <v>320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20</v>
      </c>
      <c r="B273" s="181">
        <f>'Données projet'!D246</f>
        <v>35</v>
      </c>
      <c r="C273" s="193">
        <f>150*'Données projet'!E246+13.8*('Données projet'!F246+'Données projet'!G246)+10*'Données projet'!H246</f>
        <v>10</v>
      </c>
      <c r="D273" s="179">
        <f t="shared" si="14"/>
        <v>350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25</v>
      </c>
      <c r="B274" s="181">
        <f>'Données projet'!D247</f>
        <v>35</v>
      </c>
      <c r="C274" s="193">
        <f>150*'Données projet'!E247+13.8*('Données projet'!F247+'Données projet'!G247)+10*'Données projet'!H247</f>
        <v>10</v>
      </c>
      <c r="D274" s="179">
        <f t="shared" si="14"/>
        <v>350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30</v>
      </c>
      <c r="B275" s="181">
        <f>'Données projet'!D248</f>
        <v>35</v>
      </c>
      <c r="C275" s="193">
        <f>150*'Données projet'!E248+13.8*('Données projet'!F248+'Données projet'!G248)+10*'Données projet'!H248</f>
        <v>38</v>
      </c>
      <c r="D275" s="179">
        <f t="shared" si="14"/>
        <v>1330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35</v>
      </c>
      <c r="B276" s="181">
        <f>'Données projet'!D249</f>
        <v>35</v>
      </c>
      <c r="C276" s="193">
        <f>150*'Données projet'!E249+13.8*('Données projet'!F249+'Données projet'!G249)+10*'Données projet'!H249</f>
        <v>38</v>
      </c>
      <c r="D276" s="179">
        <f t="shared" si="14"/>
        <v>1330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40</v>
      </c>
      <c r="B277" s="181">
        <f>'Données projet'!D250</f>
        <v>35</v>
      </c>
      <c r="C277" s="193">
        <f>150*'Données projet'!E250+13.8*('Données projet'!F250+'Données projet'!G250)+10*'Données projet'!H250</f>
        <v>52</v>
      </c>
      <c r="D277" s="179">
        <f t="shared" si="14"/>
        <v>1820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45</v>
      </c>
      <c r="B278" s="181">
        <f>'Données projet'!D251</f>
        <v>24</v>
      </c>
      <c r="C278" s="193">
        <f>150*'Données projet'!E251+13.8*('Données projet'!F251+'Données projet'!G251)+10*'Données projet'!H251</f>
        <v>52</v>
      </c>
      <c r="D278" s="179">
        <f t="shared" si="14"/>
        <v>1248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50</v>
      </c>
      <c r="B279" s="181">
        <f>'Données projet'!D252</f>
        <v>19</v>
      </c>
      <c r="C279" s="193">
        <f>150*'Données projet'!E252+13.8*('Données projet'!F252+'Données projet'!G252)+10*'Données projet'!H252</f>
        <v>66</v>
      </c>
      <c r="D279" s="179">
        <f t="shared" si="14"/>
        <v>1254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55</v>
      </c>
      <c r="B280" s="181">
        <f>'Données projet'!D253</f>
        <v>16</v>
      </c>
      <c r="C280" s="193">
        <f>150*'Données projet'!E253+13.8*('Données projet'!F253+'Données projet'!G253)+10*'Données projet'!H253</f>
        <v>66</v>
      </c>
      <c r="D280" s="179">
        <f t="shared" si="14"/>
        <v>1056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60</v>
      </c>
      <c r="B281" s="181">
        <f>'Données projet'!D254</f>
        <v>14</v>
      </c>
      <c r="C281" s="193">
        <f>150*'Données projet'!E254+13.8*('Données projet'!F254+'Données projet'!G254)+10*'Données projet'!H254</f>
        <v>80</v>
      </c>
      <c r="D281" s="179">
        <f t="shared" si="14"/>
        <v>1120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65</v>
      </c>
      <c r="B282" s="181">
        <f>'Données projet'!D255</f>
        <v>13</v>
      </c>
      <c r="C282" s="193">
        <f>150*'Données projet'!E255+13.8*('Données projet'!F255+'Données projet'!G255)+10*'Données projet'!H255</f>
        <v>80</v>
      </c>
      <c r="D282" s="179">
        <f t="shared" si="14"/>
        <v>1040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70</v>
      </c>
      <c r="B283" s="181">
        <f>'Données projet'!D256</f>
        <v>13</v>
      </c>
      <c r="C283" s="193">
        <f>150*'Données projet'!E256+13.8*('Données projet'!F256+'Données projet'!G256)+10*'Données projet'!H256</f>
        <v>94</v>
      </c>
      <c r="D283" s="179">
        <f t="shared" si="14"/>
        <v>1222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75</v>
      </c>
      <c r="B284" s="181">
        <f>'Données projet'!D257</f>
        <v>12</v>
      </c>
      <c r="C284" s="193">
        <f>150*'Données projet'!E257+13.8*('Données projet'!F257+'Données projet'!G257)+10*'Données projet'!H257</f>
        <v>94</v>
      </c>
      <c r="D284" s="179">
        <f t="shared" si="14"/>
        <v>1128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80</v>
      </c>
      <c r="B285" s="181">
        <f>'Données projet'!D258</f>
        <v>330</v>
      </c>
      <c r="C285" s="193">
        <f>150*'Données projet'!E258+13.8*('Données projet'!F258+'Données projet'!G258)+10*'Données projet'!H258</f>
        <v>108</v>
      </c>
      <c r="D285" s="179">
        <f t="shared" si="14"/>
        <v>35640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>
        <f>225*'Données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>
        <f>225*'Données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>
        <f>225*'Données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>
        <f>225*'Données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>
        <f>225*'Données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>
        <f>225*'Données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>
        <f>225*'Données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>
        <f>225*'Données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>
        <f>225*'Données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>
        <f>225*'Données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>
        <f>225*'Données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>
        <f>225*'Données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>
        <f>225*'Données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>
        <f>225*'Données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>
        <f>225*'Données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>
        <f>225*'Données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>
        <f>225*'Données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>
        <f>225*'Données projet'!E285+13.8*('Données projet'!F285+'Données projet'!G285)+10*'Données projet'!H285</f>
        <v>0</v>
      </c>
      <c r="D317" s="182">
        <f t="shared" si="15"/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>
        <f>225*'Données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>
        <f>225*'Données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>
        <f>225*'Données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1">
        <f>225*'Données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2024-07-04T09:49:29Z</dcterms:modified>
</cp:coreProperties>
</file>