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wnloads\VI_Reboisement Naudet_Saumos (33)\Dossier d_instruction\"/>
    </mc:Choice>
  </mc:AlternateContent>
  <xr:revisionPtr revIDLastSave="0" documentId="13_ncr:1_{E4DA5233-37C5-41FB-85BD-578C9D525786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57" i="2" l="1"/>
  <c r="BI143" i="2"/>
  <c r="BI11" i="2"/>
  <c r="BI52" i="2"/>
  <c r="BI45" i="2"/>
  <c r="BI125" i="2"/>
  <c r="BI18" i="2"/>
  <c r="BI168" i="2"/>
  <c r="BI147" i="2"/>
  <c r="BI78" i="2"/>
  <c r="BI199" i="2"/>
  <c r="BI36" i="2"/>
  <c r="BI113" i="2"/>
  <c r="BI112" i="2"/>
  <c r="BI198" i="2"/>
  <c r="BI123" i="2"/>
  <c r="BI145" i="2"/>
  <c r="BI108" i="2"/>
  <c r="BI185" i="2"/>
  <c r="BI106" i="2"/>
  <c r="BI116" i="2"/>
  <c r="BI121" i="2"/>
  <c r="BI110" i="2"/>
  <c r="BI184" i="2"/>
  <c r="BI176" i="2"/>
  <c r="BI68" i="2"/>
  <c r="BI115" i="2"/>
  <c r="BI165" i="2"/>
  <c r="BI92" i="2"/>
  <c r="BI174" i="2"/>
  <c r="BI77" i="2"/>
  <c r="BI141" i="2"/>
  <c r="BI164" i="2"/>
  <c r="BI200" i="2"/>
  <c r="BI120" i="2"/>
  <c r="BI102" i="2"/>
  <c r="BI140" i="2"/>
  <c r="BI25" i="2"/>
  <c r="BI70" i="2"/>
  <c r="BI201" i="2"/>
  <c r="BI166" i="2"/>
  <c r="BI107" i="2"/>
  <c r="BI80" i="2"/>
  <c r="BI101" i="2"/>
  <c r="BI75" i="2"/>
  <c r="BI162" i="2"/>
  <c r="BI14" i="2"/>
  <c r="BI169" i="2"/>
  <c r="BI50" i="2"/>
  <c r="BI38" i="2"/>
  <c r="BI186" i="2"/>
  <c r="BI33" i="2"/>
  <c r="BI72" i="2"/>
  <c r="BI5" i="2"/>
  <c r="BI34" i="2"/>
  <c r="BI91" i="2"/>
  <c r="BI133" i="2"/>
  <c r="BI104" i="2"/>
  <c r="BI150" i="2"/>
  <c r="BI23" i="2"/>
  <c r="BI144" i="2"/>
  <c r="BI7" i="2"/>
  <c r="BI32" i="2"/>
  <c r="BI193" i="2"/>
  <c r="BI62" i="2"/>
  <c r="BI64" i="2"/>
  <c r="BI15" i="2"/>
  <c r="BI130" i="2"/>
  <c r="BI4" i="2"/>
  <c r="BI9" i="2"/>
  <c r="BI28" i="2"/>
  <c r="BI10" i="2"/>
  <c r="BI99" i="2"/>
  <c r="BI93" i="2"/>
  <c r="BI74" i="2"/>
  <c r="BI63" i="2"/>
  <c r="BI134" i="2"/>
  <c r="BI47" i="2"/>
  <c r="BI190" i="2"/>
  <c r="BI152" i="2"/>
  <c r="BI73" i="2"/>
  <c r="BI146" i="2"/>
  <c r="BI132" i="2"/>
  <c r="BI60" i="2"/>
  <c r="BI82" i="2"/>
  <c r="BI119" i="2"/>
  <c r="BI148" i="2"/>
  <c r="BI196" i="2"/>
  <c r="BI49" i="2"/>
  <c r="BI46" i="2"/>
  <c r="BI139" i="2"/>
  <c r="BI59" i="2"/>
  <c r="BI118" i="2"/>
  <c r="BI131" i="2"/>
  <c r="BI183" i="2"/>
  <c r="BI170" i="2"/>
  <c r="BI154" i="2"/>
  <c r="BI98" i="2"/>
  <c r="BI171" i="2"/>
  <c r="BI195" i="2"/>
  <c r="BI51" i="2"/>
  <c r="BI129" i="2"/>
  <c r="BI12" i="2"/>
  <c r="BI122" i="2"/>
  <c r="BI27" i="2"/>
  <c r="BI177" i="2"/>
  <c r="BI13" i="2"/>
  <c r="BI173" i="2"/>
  <c r="BI56" i="2"/>
  <c r="BI111" i="2"/>
  <c r="BI117" i="2"/>
  <c r="BI3" i="2"/>
  <c r="C8" i="4" s="1"/>
  <c r="E8" i="4" s="1"/>
  <c r="F8" i="4" s="1"/>
  <c r="G8" i="4" s="1"/>
  <c r="L8" i="4" s="1"/>
  <c r="BI79" i="2"/>
  <c r="BI157" i="2"/>
  <c r="BI178" i="2"/>
  <c r="BI127" i="2"/>
  <c r="BI180" i="2"/>
  <c r="BI181" i="2"/>
  <c r="BI128" i="2"/>
  <c r="BI114" i="2"/>
  <c r="BI149" i="2"/>
  <c r="BI172" i="2"/>
  <c r="BI83" i="2"/>
  <c r="BI39" i="2"/>
  <c r="BI142" i="2"/>
  <c r="BI22" i="2"/>
  <c r="BI42" i="2"/>
  <c r="BI20" i="2"/>
  <c r="BI35" i="2"/>
  <c r="BI197" i="2"/>
  <c r="BI16" i="2"/>
  <c r="BI40" i="2"/>
  <c r="BI41" i="2"/>
  <c r="BI65" i="2"/>
  <c r="BI89" i="2"/>
  <c r="BI19" i="2"/>
  <c r="BI43" i="2"/>
  <c r="BI153" i="2"/>
  <c r="BI87" i="2"/>
  <c r="BI31" i="2"/>
  <c r="BI88" i="2"/>
  <c r="BI103" i="2"/>
  <c r="BI96" i="2"/>
  <c r="BI137" i="2"/>
  <c r="BI48" i="2"/>
  <c r="BI97" i="2"/>
  <c r="BI189" i="2"/>
  <c r="BI187" i="2"/>
  <c r="BI90" i="2"/>
  <c r="BI55" i="2"/>
  <c r="BI54" i="2"/>
  <c r="BI8" i="2"/>
  <c r="BI26" i="2"/>
  <c r="BI61" i="2"/>
  <c r="BI84" i="2"/>
  <c r="BI37" i="2"/>
  <c r="BI66" i="2"/>
  <c r="BI138" i="2"/>
  <c r="BI69" i="2"/>
  <c r="BI159" i="2"/>
  <c r="BI126" i="2"/>
  <c r="BI163" i="2"/>
  <c r="BI95" i="2"/>
  <c r="BI81" i="2"/>
  <c r="BI30" i="2"/>
  <c r="BI192" i="2"/>
  <c r="BI76" i="2"/>
  <c r="BI175" i="2"/>
  <c r="BI85" i="2"/>
  <c r="BI105" i="2"/>
  <c r="BI135" i="2"/>
  <c r="BI86" i="2"/>
  <c r="BI29" i="2"/>
  <c r="BI160" i="2"/>
  <c r="BI179" i="2"/>
  <c r="BI161" i="2"/>
  <c r="BI53" i="2"/>
  <c r="BI156" i="2"/>
  <c r="BI58" i="2"/>
  <c r="BI136" i="2"/>
  <c r="BI182" i="2"/>
  <c r="BI21" i="2"/>
  <c r="BI158" i="2"/>
  <c r="BI67" i="2"/>
  <c r="BI124" i="2"/>
  <c r="BI17" i="2"/>
  <c r="BI191" i="2"/>
  <c r="BI155" i="2"/>
  <c r="BI71" i="2"/>
  <c r="BI167" i="2"/>
  <c r="BI151" i="2"/>
  <c r="BI194" i="2"/>
  <c r="BI94" i="2"/>
  <c r="BI202" i="2"/>
  <c r="BI6" i="2"/>
  <c r="BI24" i="2"/>
  <c r="BI109" i="2"/>
  <c r="BI203" i="2"/>
  <c r="BI100" i="2"/>
  <c r="BI44" i="2"/>
  <c r="BI188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<sst xmlns="http://schemas.openxmlformats.org/spreadsheetml/2006/main" count="1179" uniqueCount="328">
  <si>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</si>
  <si>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</si>
  <si>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</si>
  <si>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</si>
  <si>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</si>
  <si>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</si>
  <si>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</si>
  <si>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</si>
  <si>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</si>
  <si>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</si>
  <si>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</si>
  <si>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</si>
  <si>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</si>
  <si>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</si>
  <si>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</si>
  <si>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</si>
  <si>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</si>
  <si>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</si>
  <si>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</si>
  <si>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</si>
  <si>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</si>
  <si>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</si>
  <si>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</si>
  <si>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</si>
  <si>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</si>
  <si>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</si>
  <si>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</si>
  <si>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</si>
  <si>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</si>
  <si>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</si>
  <si>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</si>
  <si>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</si>
  <si>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</si>
  <si>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</si>
  <si>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</si>
  <si>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</si>
  <si>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</si>
  <si>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</si>
  <si>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</si>
  <si>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</si>
  <si>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</si>
  <si>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</si>
  <si>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</si>
  <si>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</si>
  <si>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</si>
  <si>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</si>
  <si>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</si>
  <si>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</si>
  <si>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</si>
  <si>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</si>
  <si>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</si>
  <si>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</si>
  <si>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</si>
  <si>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</si>
  <si>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</si>
  <si>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</si>
  <si>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</si>
  <si>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</si>
  <si>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</si>
  <si>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</si>
  <si>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</si>
  <si>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</si>
  <si>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</si>
  <si>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</si>
  <si>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</si>
  <si>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</si>
  <si>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</si>
  <si>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</si>
  <si>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</si>
  <si>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</si>
  <si>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</si>
  <si>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</si>
  <si>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</si>
  <si>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</si>
  <si>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</si>
  <si>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</si>
  <si>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</si>
  <si>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</si>
  <si>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</si>
  <si>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</si>
  <si>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</si>
  <si>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</si>
  <si>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</si>
  <si>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</si>
  <si>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</si>
  <si>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</si>
  <si>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</si>
  <si>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</si>
  <si>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</si>
  <si>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</si>
  <si>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</si>
  <si>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</si>
  <si>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</si>
  <si>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</si>
  <si>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</si>
  <si>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</si>
  <si>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</si>
  <si>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</si>
  <si>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</si>
  <si>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</si>
  <si>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</si>
  <si>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</si>
  <si>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</si>
  <si>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</si>
  <si>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</si>
  <si>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</si>
  <si>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</si>
  <si>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</si>
  <si>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</si>
  <si>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</si>
  <si>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</si>
  <si>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</si>
  <si>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</si>
  <si>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</si>
  <si>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</si>
  <si>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</si>
  <si>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</si>
  <si>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</si>
  <si>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</si>
  <si>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</si>
  <si>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</si>
  <si>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</si>
  <si>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</si>
  <si>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</si>
  <si>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</si>
  <si>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</si>
  <si>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</si>
  <si>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</si>
  <si>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</si>
  <si>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</si>
  <si>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</si>
  <si>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</si>
  <si>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</si>
  <si>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</si>
  <si>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</si>
  <si>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</si>
  <si>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</si>
  <si>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</si>
  <si>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</si>
  <si>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</si>
  <si>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</si>
  <si>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</si>
  <si>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</si>
  <si>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</si>
  <si>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</si>
  <si>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</si>
  <si>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</si>
  <si>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</si>
  <si>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</si>
  <si>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</si>
  <si>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</si>
  <si>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</si>
  <si>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</si>
  <si>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</si>
  <si>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</si>
  <si>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</si>
  <si>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</si>
  <si>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</si>
  <si>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</si>
  <si>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</si>
  <si>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</si>
  <si>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</si>
  <si>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</si>
  <si>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</si>
  <si>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</si>
  <si>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</si>
  <si>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</si>
  <si>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</si>
  <si>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</si>
  <si>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</si>
  <si>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</si>
  <si>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</si>
  <si>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</si>
  <si>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</si>
  <si>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</si>
  <si>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</si>
  <si>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</si>
  <si>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</si>
  <si>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</si>
  <si>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</si>
  <si>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</si>
  <si>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</si>
  <si>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</si>
  <si>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</si>
  <si>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</si>
  <si>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</si>
  <si>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</si>
  <si>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</si>
  <si>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</si>
  <si>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</si>
  <si>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</si>
  <si>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</si>
  <si>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</si>
  <si>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</si>
  <si>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</si>
  <si>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</si>
  <si>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</si>
  <si>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</si>
  <si>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</si>
  <si>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</si>
  <si>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</si>
  <si>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</si>
  <si>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</si>
  <si>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</si>
  <si>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</si>
  <si>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</si>
  <si>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</si>
  <si>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</si>
  <si>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</si>
  <si>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</si>
  <si>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</si>
  <si>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</si>
  <si>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</si>
  <si>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</si>
  <si>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</si>
  <si>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</si>
  <si>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</si>
  <si>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</si>
  <si>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</si>
  <si>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</si>
  <si>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</si>
  <si>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</si>
  <si>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</si>
  <si>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</si>
  <si>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</si>
  <si>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</si>
  <si>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</si>
  <si>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</si>
  <si>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</si>
  <si>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</si>
  <si>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</si>
  <si>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</si>
  <si>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</si>
  <si>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</si>
  <si>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</si>
  <si>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</si>
  <si>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</si>
  <si>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</si>
  <si>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</si>
  <si>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</si>
  <si>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</si>
  <si>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</si>
  <si>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</si>
  <si>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</si>
  <si>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</si>
  <si>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</si>
  <si>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</si>
  <si>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</si>
  <si>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</si>
  <si>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</si>
  <si>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</si>
  <si>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</si>
  <si>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</si>
  <si>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</si>
  <si>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</si>
  <si>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</si>
  <si>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</si>
  <si>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</si>
  <si>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</si>
  <si>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</si>
  <si>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</si>
  <si>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</si>
  <si>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</si>
  <si>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</si>
  <si>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</si>
  <si>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</si>
  <si>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</si>
  <si>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</si>
  <si>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</si>
  <si>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</si>
  <si>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</si>
  <si>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</si>
  <si>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</si>
  <si>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</si>
  <si>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</si>
  <si>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</si>
  <si>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</si>
  <si>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</si>
  <si>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</si>
  <si>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</si>
  <si>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</si>
  <si>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</si>
  <si>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</si>
  <si>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</si>
  <si>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</si>
  <si>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</si>
  <si>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</si>
  <si>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</si>
  <si>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</si>
  <si>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</si>
  <si>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</si>
  <si>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</si>
  <si>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</si>
  <si>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</si>
  <si>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</si>
  <si>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</si>
  <si>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</si>
  <si>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</si>
  <si>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</si>
  <si>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</si>
  <si>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</si>
  <si>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</si>
  <si>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</si>
  <si>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</si>
  <si>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</si>
  <si>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</si>
  <si>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</si>
  <si>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</si>
  <si>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</si>
  <si>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</si>
  <si>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</si>
  <si>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</si>
  <si>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</si>
  <si>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</si>
  <si>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</si>
  <si>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</si>
  <si>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</si>
  <si>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</si>
  <si>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</si>
  <si>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</si>
  <si>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</si>
  <si>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</si>
  <si>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</si>
  <si>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</si>
  <si>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</si>
  <si>
    <t>Classe 2/5</t>
  </si>
  <si>
    <t>Classe 3/5</t>
  </si>
  <si>
    <t>Classe 4/5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</si>
</sst>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2.6545363919709568</c:v>
                </c:pt>
                <c:pt idx="2">
                  <c:v>3.0498680873009718</c:v>
                </c:pt>
                <c:pt idx="3">
                  <c:v>3.5042863496371583</c:v>
                </c:pt>
                <c:pt idx="4">
                  <c:v>4.0266521170071341</c:v>
                </c:pt>
                <c:pt idx="5">
                  <c:v>4.6271593579878081</c:v>
                </c:pt>
                <c:pt idx="6">
                  <c:v>5.3175362002175284</c:v>
                </c:pt>
                <c:pt idx="7">
                  <c:v>6.1112764876395573</c:v>
                </c:pt>
                <c:pt idx="8">
                  <c:v>7.0239063815190539</c:v>
                </c:pt>
                <c:pt idx="9">
                  <c:v>8.0732913218228504</c:v>
                </c:pt>
                <c:pt idx="10">
                  <c:v>9.279989473964255</c:v>
                </c:pt>
                <c:pt idx="11">
                  <c:v>10.667658717503109</c:v>
                </c:pt>
                <c:pt idx="12">
                  <c:v>12.263525306957353</c:v>
                </c:pt>
                <c:pt idx="13">
                  <c:v>14.098923572103821</c:v>
                </c:pt>
                <c:pt idx="14">
                  <c:v>16.209917451016164</c:v>
                </c:pt>
                <c:pt idx="15">
                  <c:v>18.638016292422606</c:v>
                </c:pt>
                <c:pt idx="16">
                  <c:v>21.430999257990951</c:v>
                </c:pt>
                <c:pt idx="17">
                  <c:v>24.643864838171552</c:v>
                </c:pt>
                <c:pt idx="18">
                  <c:v>28.339924511423959</c:v>
                </c:pt>
                <c:pt idx="19">
                  <c:v>32.592062476954119</c:v>
                </c:pt>
                <c:pt idx="20">
                  <c:v>37.484186734229688</c:v>
                </c:pt>
                <c:pt idx="21">
                  <c:v>43.112900636249549</c:v>
                </c:pt>
                <c:pt idx="22">
                  <c:v>49.589428485920998</c:v>
                </c:pt>
                <c:pt idx="23">
                  <c:v>57.041833866010933</c:v>
                </c:pt>
                <c:pt idx="24">
                  <c:v>65.617575296852564</c:v>
                </c:pt>
                <c:pt idx="25">
                  <c:v>75.486450622089208</c:v>
                </c:pt>
                <c:pt idx="26">
                  <c:v>86.84398936936627</c:v>
                </c:pt>
                <c:pt idx="27">
                  <c:v>99.915361379362025</c:v>
                </c:pt>
                <c:pt idx="28">
                  <c:v>114.95988042662457</c:v>
                </c:pt>
                <c:pt idx="29">
                  <c:v>132.2761935812849</c:v>
                </c:pt>
                <c:pt idx="30">
                  <c:v>152.20826092627306</c:v>
                </c:pt>
                <c:pt idx="31">
                  <c:v>168.03730180425939</c:v>
                </c:pt>
                <c:pt idx="32">
                  <c:v>183.83118038860502</c:v>
                </c:pt>
                <c:pt idx="33">
                  <c:v>199.59334438474278</c:v>
                </c:pt>
                <c:pt idx="34">
                  <c:v>215.32665177885363</c:v>
                </c:pt>
                <c:pt idx="35">
                  <c:v>231.03350838235292</c:v>
                </c:pt>
                <c:pt idx="36">
                  <c:v>246.71596592246559</c:v>
                </c:pt>
                <c:pt idx="37">
                  <c:v>262.37579383768139</c:v>
                </c:pt>
                <c:pt idx="38">
                  <c:v>278.01453300854564</c:v>
                </c:pt>
                <c:pt idx="39">
                  <c:v>293.63353675060915</c:v>
                </c:pt>
                <c:pt idx="40">
                  <c:v>309.23400262011683</c:v>
                </c:pt>
                <c:pt idx="41">
                  <c:v>324.81699746053465</c:v>
                </c:pt>
                <c:pt idx="42">
                  <c:v>340.38347738827719</c:v>
                </c:pt>
                <c:pt idx="43">
                  <c:v>275.96082819556159</c:v>
                </c:pt>
                <c:pt idx="44">
                  <c:v>295.25904257516885</c:v>
                </c:pt>
                <c:pt idx="45">
                  <c:v>314.52912768369208</c:v>
                </c:pt>
                <c:pt idx="46">
                  <c:v>333.77304874821488</c:v>
                </c:pt>
                <c:pt idx="47">
                  <c:v>352.99252590905752</c:v>
                </c:pt>
                <c:pt idx="48">
                  <c:v>372.1890767431392</c:v>
                </c:pt>
                <c:pt idx="49">
                  <c:v>391.36404955187089</c:v>
                </c:pt>
                <c:pt idx="50">
                  <c:v>410.51864978264933</c:v>
                </c:pt>
                <c:pt idx="51">
                  <c:v>361.45014461667375</c:v>
                </c:pt>
                <c:pt idx="52">
                  <c:v>380.96715653184043</c:v>
                </c:pt>
                <c:pt idx="53">
                  <c:v>400.46242842840928</c:v>
                </c:pt>
                <c:pt idx="54">
                  <c:v>419.93716698819981</c:v>
                </c:pt>
                <c:pt idx="55">
                  <c:v>439.39245789344562</c:v>
                </c:pt>
                <c:pt idx="56">
                  <c:v>458.82928289019873</c:v>
                </c:pt>
                <c:pt idx="57">
                  <c:v>478.24853381001611</c:v>
                </c:pt>
                <c:pt idx="58">
                  <c:v>497.65102419606643</c:v>
                </c:pt>
                <c:pt idx="59">
                  <c:v>430.12020919230275</c:v>
                </c:pt>
                <c:pt idx="60">
                  <c:v>448.85740375593576</c:v>
                </c:pt>
                <c:pt idx="61">
                  <c:v>467.57786705730337</c:v>
                </c:pt>
                <c:pt idx="62">
                  <c:v>486.28236284852915</c:v>
                </c:pt>
                <c:pt idx="63">
                  <c:v>504.9715913698567</c:v>
                </c:pt>
                <c:pt idx="64">
                  <c:v>523.64619683432079</c:v>
                </c:pt>
                <c:pt idx="65">
                  <c:v>542.30677378956045</c:v>
                </c:pt>
                <c:pt idx="66">
                  <c:v>560.95387255882304</c:v>
                </c:pt>
                <c:pt idx="67">
                  <c:v>483.12287301095034</c:v>
                </c:pt>
                <c:pt idx="68">
                  <c:v>500.88040156064579</c:v>
                </c:pt>
                <c:pt idx="69">
                  <c:v>518.62460988083035</c:v>
                </c:pt>
                <c:pt idx="70">
                  <c:v>536.3560175939424</c:v>
                </c:pt>
                <c:pt idx="71">
                  <c:v>554.07510718571075</c:v>
                </c:pt>
                <c:pt idx="72">
                  <c:v>571.78232778630161</c:v>
                </c:pt>
                <c:pt idx="73">
                  <c:v>589.47809845895836</c:v>
                </c:pt>
                <c:pt idx="74">
                  <c:v>607.16281107343025</c:v>
                </c:pt>
                <c:pt idx="75">
                  <c:v>534.0652770890016</c:v>
                </c:pt>
                <c:pt idx="76">
                  <c:v>551.57651198639223</c:v>
                </c:pt>
                <c:pt idx="77">
                  <c:v>569.07609690520076</c:v>
                </c:pt>
                <c:pt idx="78">
                  <c:v>586.56444029427121</c:v>
                </c:pt>
                <c:pt idx="79">
                  <c:v>604.04192427781663</c:v>
                </c:pt>
                <c:pt idx="80">
                  <c:v>621.50890708020677</c:v>
                </c:pt>
                <c:pt idx="81">
                  <c:v>638.96572516416973</c:v>
                </c:pt>
                <c:pt idx="82">
                  <c:v>656.41269512333827</c:v>
                </c:pt>
                <c:pt idx="83">
                  <c:v>673.85011536326908</c:v>
                </c:pt>
                <c:pt idx="84">
                  <c:v>691.27826759955076</c:v>
                </c:pt>
                <c:pt idx="85">
                  <c:v>590.57338819665517</c:v>
                </c:pt>
                <c:pt idx="86">
                  <c:v>607.09028048942207</c:v>
                </c:pt>
                <c:pt idx="87">
                  <c:v>623.59784585855948</c:v>
                </c:pt>
                <c:pt idx="88">
                  <c:v>640.09636580371409</c:v>
                </c:pt>
                <c:pt idx="89">
                  <c:v>656.5861061405127</c:v>
                </c:pt>
                <c:pt idx="90">
                  <c:v>673.06731825443057</c:v>
                </c:pt>
                <c:pt idx="91">
                  <c:v>689.54024022555211</c:v>
                </c:pt>
                <c:pt idx="92">
                  <c:v>706.00509784034432</c:v>
                </c:pt>
                <c:pt idx="93">
                  <c:v>722.46210550421847</c:v>
                </c:pt>
                <c:pt idx="94">
                  <c:v>738.91146706668644</c:v>
                </c:pt>
                <c:pt idx="95">
                  <c:v>637.13716485658085</c:v>
                </c:pt>
                <c:pt idx="96">
                  <c:v>653.1348585090218</c:v>
                </c:pt>
                <c:pt idx="97">
                  <c:v>669.12447855411801</c:v>
                </c:pt>
                <c:pt idx="98">
                  <c:v>685.10624495595687</c:v>
                </c:pt>
                <c:pt idx="99">
                  <c:v>701.08036658735728</c:v>
                </c:pt>
                <c:pt idx="100">
                  <c:v>717.04704203428025</c:v>
                </c:pt>
                <c:pt idx="101">
                  <c:v>733.0064603249217</c:v>
                </c:pt>
                <c:pt idx="102">
                  <c:v>748.95880159206502</c:v>
                </c:pt>
                <c:pt idx="103">
                  <c:v>764.90423767611367</c:v>
                </c:pt>
                <c:pt idx="104">
                  <c:v>780.84293267527482</c:v>
                </c:pt>
                <c:pt idx="105">
                  <c:v>682.09216311170474</c:v>
                </c:pt>
                <c:pt idx="106">
                  <c:v>697.80696994124844</c:v>
                </c:pt>
                <c:pt idx="107">
                  <c:v>713.51453313820082</c:v>
                </c:pt>
                <c:pt idx="108">
                  <c:v>729.21503450467515</c:v>
                </c:pt>
                <c:pt idx="109">
                  <c:v>744.90864738226776</c:v>
                </c:pt>
                <c:pt idx="110">
                  <c:v>760.59553721938767</c:v>
                </c:pt>
                <c:pt idx="111">
                  <c:v>776.27586208939147</c:v>
                </c:pt>
                <c:pt idx="112">
                  <c:v>791.94977316471579</c:v>
                </c:pt>
                <c:pt idx="113">
                  <c:v>807.61741515155848</c:v>
                </c:pt>
                <c:pt idx="114">
                  <c:v>823.27892668911011</c:v>
                </c:pt>
                <c:pt idx="115">
                  <c:v>732.63189896797348</c:v>
                </c:pt>
                <c:pt idx="116">
                  <c:v>748.47987654126098</c:v>
                </c:pt>
                <c:pt idx="117">
                  <c:v>764.321034175568</c:v>
                </c:pt>
                <c:pt idx="118">
                  <c:v>780.15553300760382</c:v>
                </c:pt>
                <c:pt idx="119">
                  <c:v>795.98352710569088</c:v>
                </c:pt>
                <c:pt idx="120">
                  <c:v>811.80516391708795</c:v>
                </c:pt>
                <c:pt idx="121">
                  <c:v>827.62058467865961</c:v>
                </c:pt>
                <c:pt idx="122">
                  <c:v>843.42992479455927</c:v>
                </c:pt>
                <c:pt idx="123">
                  <c:v>859.23331418414864</c:v>
                </c:pt>
                <c:pt idx="124">
                  <c:v>875.03087760301878</c:v>
                </c:pt>
                <c:pt idx="125">
                  <c:v>791.52264552872691</c:v>
                </c:pt>
                <c:pt idx="126">
                  <c:v>807.64587889820859</c:v>
                </c:pt>
                <c:pt idx="127">
                  <c:v>823.76262040347035</c:v>
                </c:pt>
                <c:pt idx="128">
                  <c:v>839.87301482361215</c:v>
                </c:pt>
                <c:pt idx="129">
                  <c:v>855.97720093628323</c:v>
                </c:pt>
                <c:pt idx="130">
                  <c:v>872.07531187698567</c:v>
                </c:pt>
                <c:pt idx="131">
                  <c:v>888.16747547050124</c:v>
                </c:pt>
                <c:pt idx="132">
                  <c:v>904.25381453707325</c:v>
                </c:pt>
                <c:pt idx="133">
                  <c:v>920.33444717569864</c:v>
                </c:pt>
                <c:pt idx="134">
                  <c:v>936.40948702660933</c:v>
                </c:pt>
                <c:pt idx="135">
                  <c:v>848.55809489614876</c:v>
                </c:pt>
                <c:pt idx="136">
                  <c:v>864.78405734065075</c:v>
                </c:pt>
                <c:pt idx="137">
                  <c:v>881.00392150254174</c:v>
                </c:pt>
                <c:pt idx="138">
                  <c:v>897.21781535067532</c:v>
                </c:pt>
                <c:pt idx="139">
                  <c:v>913.4258618568432</c:v>
                </c:pt>
                <c:pt idx="140">
                  <c:v>929.62817927791514</c:v>
                </c:pt>
                <c:pt idx="141">
                  <c:v>945.82488141730835</c:v>
                </c:pt>
                <c:pt idx="142">
                  <c:v>962.01607786763998</c:v>
                </c:pt>
                <c:pt idx="143">
                  <c:v>978.20187423621553</c:v>
                </c:pt>
                <c:pt idx="144">
                  <c:v>994.38237235483382</c:v>
                </c:pt>
                <c:pt idx="145">
                  <c:v>905.00354968761405</c:v>
                </c:pt>
                <c:pt idx="146">
                  <c:v>921.57788263141322</c:v>
                </c:pt>
                <c:pt idx="147">
                  <c:v>938.14628296732155</c:v>
                </c:pt>
                <c:pt idx="148">
                  <c:v>954.70887010616536</c:v>
                </c:pt>
                <c:pt idx="149">
                  <c:v>971.26575898286592</c:v>
                </c:pt>
                <c:pt idx="150">
                  <c:v>987.81706029919644</c:v>
                </c:pt>
                <c:pt idx="151">
                  <c:v>1004.3628807494425</c:v>
                </c:pt>
                <c:pt idx="152">
                  <c:v>1020.9033232304419</c:v>
                </c:pt>
                <c:pt idx="153">
                  <c:v>1037.4384870373203</c:v>
                </c:pt>
                <c:pt idx="154">
                  <c:v>1053.9684680461196</c:v>
                </c:pt>
                <c:pt idx="155">
                  <c:v>966.62601140514414</c:v>
                </c:pt>
                <c:pt idx="156">
                  <c:v>983.44348696843338</c:v>
                </c:pt>
                <c:pt idx="157">
                  <c:v>1000.2552762703218</c:v>
                </c:pt>
                <c:pt idx="158">
                  <c:v>1017.0614882239994</c:v>
                </c:pt>
                <c:pt idx="159">
                  <c:v>1033.8622278544997</c:v>
                </c:pt>
                <c:pt idx="160">
                  <c:v>1050.6575964997107</c:v>
                </c:pt>
                <c:pt idx="161">
                  <c:v>1067.4476919978817</c:v>
                </c:pt>
                <c:pt idx="162">
                  <c:v>1084.2326088627349</c:v>
                </c:pt>
                <c:pt idx="163">
                  <c:v>1101.0124384471885</c:v>
                </c:pt>
                <c:pt idx="164">
                  <c:v>1117.7872690965926</c:v>
                </c:pt>
                <c:pt idx="165">
                  <c:v>1022.3009702525984</c:v>
                </c:pt>
                <c:pt idx="166">
                  <c:v>1039.2548467740485</c:v>
                </c:pt>
                <c:pt idx="167">
                  <c:v>1056.2032852046932</c:v>
                </c:pt>
                <c:pt idx="168">
                  <c:v>1073.1463849816832</c:v>
                </c:pt>
                <c:pt idx="169">
                  <c:v>1090.0842421506763</c:v>
                </c:pt>
                <c:pt idx="170">
                  <c:v>1107.0169495334719</c:v>
                </c:pt>
                <c:pt idx="171">
                  <c:v>1123.9445968848709</c:v>
                </c:pt>
                <c:pt idx="172">
                  <c:v>1140.8672710396083</c:v>
                </c:pt>
                <c:pt idx="173">
                  <c:v>1157.7850560501302</c:v>
                </c:pt>
                <c:pt idx="174">
                  <c:v>1174.6980333159111</c:v>
                </c:pt>
                <c:pt idx="175">
                  <c:v>764.28114044668121</c:v>
                </c:pt>
                <c:pt idx="176">
                  <c:v>759.96856868640737</c:v>
                </c:pt>
                <c:pt idx="177">
                  <c:v>755.65550007785362</c:v>
                </c:pt>
                <c:pt idx="178">
                  <c:v>534.6528133258779</c:v>
                </c:pt>
                <c:pt idx="179">
                  <c:v>533.25571791442655</c:v>
                </c:pt>
                <c:pt idx="180">
                  <c:v>531.85854549909379</c:v>
                </c:pt>
                <c:pt idx="181">
                  <c:v>381.0876374622872</c:v>
                </c:pt>
                <c:pt idx="182">
                  <c:v>379.56469744116322</c:v>
                </c:pt>
                <c:pt idx="183">
                  <c:v>378.04162441819039</c:v>
                </c:pt>
                <c:pt idx="184">
                  <c:v>45.359988241527674</c:v>
                </c:pt>
                <c:pt idx="185">
                  <c:v>45.359988241527674</c:v>
                </c:pt>
                <c:pt idx="186">
                  <c:v>45.359988241527674</c:v>
                </c:pt>
                <c:pt idx="187">
                  <c:v>45.359988241527674</c:v>
                </c:pt>
                <c:pt idx="188">
                  <c:v>45.359988241527674</c:v>
                </c:pt>
                <c:pt idx="189">
                  <c:v>45.359988241527674</c:v>
                </c:pt>
                <c:pt idx="190">
                  <c:v>45.359988241527674</c:v>
                </c:pt>
                <c:pt idx="191">
                  <c:v>45.359988241527674</c:v>
                </c:pt>
                <c:pt idx="192">
                  <c:v>45.359988241527674</c:v>
                </c:pt>
                <c:pt idx="193">
                  <c:v>45.359988241527674</c:v>
                </c:pt>
                <c:pt idx="194">
                  <c:v>45.359988241527674</c:v>
                </c:pt>
                <c:pt idx="195">
                  <c:v>45.359988241527674</c:v>
                </c:pt>
                <c:pt idx="196">
                  <c:v>45.359988241527674</c:v>
                </c:pt>
                <c:pt idx="197">
                  <c:v>45.359988241527674</c:v>
                </c:pt>
                <c:pt idx="198">
                  <c:v>45.359988241527674</c:v>
                </c:pt>
                <c:pt idx="199">
                  <c:v>45.359988241527674</c:v>
                </c:pt>
                <c:pt idx="200">
                  <c:v>45.359988241527674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2.9509973995419365</c:v>
                </c:pt>
                <c:pt idx="2">
                  <c:v>3.8993800326575379</c:v>
                </c:pt>
                <c:pt idx="3">
                  <c:v>5.1537861360321822</c:v>
                </c:pt>
                <c:pt idx="4">
                  <c:v>6.8133379322758998</c:v>
                </c:pt>
                <c:pt idx="5">
                  <c:v>9.0093769867322209</c:v>
                </c:pt>
                <c:pt idx="6">
                  <c:v>11.915971094051232</c:v>
                </c:pt>
                <c:pt idx="7">
                  <c:v>15.763857741989639</c:v>
                </c:pt>
                <c:pt idx="8">
                  <c:v>20.858951242140964</c:v>
                </c:pt>
                <c:pt idx="9">
                  <c:v>27.606911179441123</c:v>
                </c:pt>
                <c:pt idx="10">
                  <c:v>36.545762498237771</c:v>
                </c:pt>
                <c:pt idx="11">
                  <c:v>47.934246794954014</c:v>
                </c:pt>
                <c:pt idx="12">
                  <c:v>59.250271506484466</c:v>
                </c:pt>
                <c:pt idx="13">
                  <c:v>70.509737306549212</c:v>
                </c:pt>
                <c:pt idx="14">
                  <c:v>81.722993273441304</c:v>
                </c:pt>
                <c:pt idx="15">
                  <c:v>92.897294511118176</c:v>
                </c:pt>
                <c:pt idx="16">
                  <c:v>108.25587760652974</c:v>
                </c:pt>
                <c:pt idx="17">
                  <c:v>123.56076610518875</c:v>
                </c:pt>
                <c:pt idx="18">
                  <c:v>138.8195597916295</c:v>
                </c:pt>
                <c:pt idx="19">
                  <c:v>154.03804513155393</c:v>
                </c:pt>
                <c:pt idx="20">
                  <c:v>169.22076873606747</c:v>
                </c:pt>
                <c:pt idx="21">
                  <c:v>129.28787235572034</c:v>
                </c:pt>
                <c:pt idx="22">
                  <c:v>144.53094857798482</c:v>
                </c:pt>
                <c:pt idx="23">
                  <c:v>159.73554413485536</c:v>
                </c:pt>
                <c:pt idx="24">
                  <c:v>174.90584046860877</c:v>
                </c:pt>
                <c:pt idx="25">
                  <c:v>190.04523308883151</c:v>
                </c:pt>
                <c:pt idx="26">
                  <c:v>169.22076873606747</c:v>
                </c:pt>
                <c:pt idx="27">
                  <c:v>184.37139305479852</c:v>
                </c:pt>
                <c:pt idx="28">
                  <c:v>199.49292850815041</c:v>
                </c:pt>
                <c:pt idx="29">
                  <c:v>214.58789130305843</c:v>
                </c:pt>
                <c:pt idx="30">
                  <c:v>229.65841439261331</c:v>
                </c:pt>
                <c:pt idx="31">
                  <c:v>205.53397529366751</c:v>
                </c:pt>
                <c:pt idx="32">
                  <c:v>219.11152587483457</c:v>
                </c:pt>
                <c:pt idx="33">
                  <c:v>232.66975188863589</c:v>
                </c:pt>
                <c:pt idx="34">
                  <c:v>246.20993843849078</c:v>
                </c:pt>
                <c:pt idx="35">
                  <c:v>259.73321764902875</c:v>
                </c:pt>
                <c:pt idx="36">
                  <c:v>235.30394147234665</c:v>
                </c:pt>
                <c:pt idx="37">
                  <c:v>248.46496383915087</c:v>
                </c:pt>
                <c:pt idx="38">
                  <c:v>261.61017170872901</c:v>
                </c:pt>
                <c:pt idx="39">
                  <c:v>274.74047191396772</c:v>
                </c:pt>
                <c:pt idx="40">
                  <c:v>287.85667749117118</c:v>
                </c:pt>
                <c:pt idx="41">
                  <c:v>262.36086804994295</c:v>
                </c:pt>
                <c:pt idx="42">
                  <c:v>274.36551974723062</c:v>
                </c:pt>
                <c:pt idx="43">
                  <c:v>286.35837196420749</c:v>
                </c:pt>
                <c:pt idx="44">
                  <c:v>298.33998870460442</c:v>
                </c:pt>
                <c:pt idx="45">
                  <c:v>310.31088495066086</c:v>
                </c:pt>
                <c:pt idx="46">
                  <c:v>285.98376820295522</c:v>
                </c:pt>
                <c:pt idx="47">
                  <c:v>297.21717518827558</c:v>
                </c:pt>
                <c:pt idx="48">
                  <c:v>308.44111949657554</c:v>
                </c:pt>
                <c:pt idx="49">
                  <c:v>319.65599415471291</c:v>
                </c:pt>
                <c:pt idx="50">
                  <c:v>330.86216234726913</c:v>
                </c:pt>
                <c:pt idx="51">
                  <c:v>306.94512587259828</c:v>
                </c:pt>
                <c:pt idx="52">
                  <c:v>316.66622670451306</c:v>
                </c:pt>
                <c:pt idx="53">
                  <c:v>326.38071774395229</c:v>
                </c:pt>
                <c:pt idx="54">
                  <c:v>336.08882358493901</c:v>
                </c:pt>
                <c:pt idx="55">
                  <c:v>345.79075477962851</c:v>
                </c:pt>
                <c:pt idx="56">
                  <c:v>323.39233379750681</c:v>
                </c:pt>
                <c:pt idx="57">
                  <c:v>332.72903457884451</c:v>
                </c:pt>
                <c:pt idx="58">
                  <c:v>342.05996063814399</c:v>
                </c:pt>
                <c:pt idx="59">
                  <c:v>351.38529181133845</c:v>
                </c:pt>
                <c:pt idx="60">
                  <c:v>360.70519760433905</c:v>
                </c:pt>
                <c:pt idx="61">
                  <c:v>339.07468141574077</c:v>
                </c:pt>
                <c:pt idx="62">
                  <c:v>347.28282429814129</c:v>
                </c:pt>
                <c:pt idx="63">
                  <c:v>355.4867090941064</c:v>
                </c:pt>
                <c:pt idx="64">
                  <c:v>363.68644800338274</c:v>
                </c:pt>
                <c:pt idx="65">
                  <c:v>371.88214774985954</c:v>
                </c:pt>
                <c:pt idx="66">
                  <c:v>351.75819111537254</c:v>
                </c:pt>
                <c:pt idx="67">
                  <c:v>359.58708999068585</c:v>
                </c:pt>
                <c:pt idx="68">
                  <c:v>367.41226056988808</c:v>
                </c:pt>
                <c:pt idx="69">
                  <c:v>375.23379351840316</c:v>
                </c:pt>
                <c:pt idx="70">
                  <c:v>383.05177541071203</c:v>
                </c:pt>
                <c:pt idx="71">
                  <c:v>363.31382101236346</c:v>
                </c:pt>
                <c:pt idx="72">
                  <c:v>369.64735159591163</c:v>
                </c:pt>
                <c:pt idx="73">
                  <c:v>375.97851488636002</c:v>
                </c:pt>
                <c:pt idx="74">
                  <c:v>382.30735640887292</c:v>
                </c:pt>
                <c:pt idx="75">
                  <c:v>388.63392005694874</c:v>
                </c:pt>
                <c:pt idx="76">
                  <c:v>372.25458524998072</c:v>
                </c:pt>
                <c:pt idx="77">
                  <c:v>378.2124864803136</c:v>
                </c:pt>
                <c:pt idx="78">
                  <c:v>384.16834495549637</c:v>
                </c:pt>
                <c:pt idx="79">
                  <c:v>390.12219684408677</c:v>
                </c:pt>
                <c:pt idx="80">
                  <c:v>396.07407711953459</c:v>
                </c:pt>
                <c:pt idx="81">
                  <c:v>380.81842375711989</c:v>
                </c:pt>
                <c:pt idx="82">
                  <c:v>386.02913755517028</c:v>
                </c:pt>
                <c:pt idx="83">
                  <c:v>391.23832354179837</c:v>
                </c:pt>
                <c:pt idx="84">
                  <c:v>396.4460049513109</c:v>
                </c:pt>
                <c:pt idx="85">
                  <c:v>401.65220435716361</c:v>
                </c:pt>
                <c:pt idx="86">
                  <c:v>388.26183154386268</c:v>
                </c:pt>
                <c:pt idx="87">
                  <c:v>393.47036990588708</c:v>
                </c:pt>
                <c:pt idx="88">
                  <c:v>398.67741344442726</c:v>
                </c:pt>
                <c:pt idx="89">
                  <c:v>403.88298445816571</c:v>
                </c:pt>
                <c:pt idx="90">
                  <c:v>409.08710462349336</c:v>
                </c:pt>
                <c:pt idx="91">
                  <c:v>395.7021417186665</c:v>
                </c:pt>
                <c:pt idx="92">
                  <c:v>400.9085514815776</c:v>
                </c:pt>
                <c:pt idx="93">
                  <c:v>406.11349808426439</c:v>
                </c:pt>
                <c:pt idx="94">
                  <c:v>411.31700294422802</c:v>
                </c:pt>
                <c:pt idx="95">
                  <c:v>416.51908689232147</c:v>
                </c:pt>
                <c:pt idx="96">
                  <c:v>401.65220435716384</c:v>
                </c:pt>
                <c:pt idx="97">
                  <c:v>407.22865549260922</c:v>
                </c:pt>
                <c:pt idx="98">
                  <c:v>412.80345673799087</c:v>
                </c:pt>
                <c:pt idx="99">
                  <c:v>418.37663353903253</c:v>
                </c:pt>
                <c:pt idx="100">
                  <c:v>423.9482106076091</c:v>
                </c:pt>
                <c:pt idx="101">
                  <c:v>403.5112063253232</c:v>
                </c:pt>
                <c:pt idx="102">
                  <c:v>403.5112063253232</c:v>
                </c:pt>
                <c:pt idx="103">
                  <c:v>403.5112063253232</c:v>
                </c:pt>
                <c:pt idx="104">
                  <c:v>403.5112063253232</c:v>
                </c:pt>
                <c:pt idx="105">
                  <c:v>403.5112063253232</c:v>
                </c:pt>
                <c:pt idx="106">
                  <c:v>403.5112063253232</c:v>
                </c:pt>
                <c:pt idx="107">
                  <c:v>403.5112063253232</c:v>
                </c:pt>
                <c:pt idx="108">
                  <c:v>403.5112063253232</c:v>
                </c:pt>
                <c:pt idx="109">
                  <c:v>403.5112063253232</c:v>
                </c:pt>
                <c:pt idx="110">
                  <c:v>403.5112063253232</c:v>
                </c:pt>
                <c:pt idx="111">
                  <c:v>403.5112063253232</c:v>
                </c:pt>
                <c:pt idx="112">
                  <c:v>403.5112063253232</c:v>
                </c:pt>
                <c:pt idx="113">
                  <c:v>403.5112063253232</c:v>
                </c:pt>
                <c:pt idx="114">
                  <c:v>403.5112063253232</c:v>
                </c:pt>
                <c:pt idx="115">
                  <c:v>403.5112063253232</c:v>
                </c:pt>
                <c:pt idx="116">
                  <c:v>403.5112063253232</c:v>
                </c:pt>
                <c:pt idx="117">
                  <c:v>403.5112063253232</c:v>
                </c:pt>
                <c:pt idx="118">
                  <c:v>403.5112063253232</c:v>
                </c:pt>
                <c:pt idx="119">
                  <c:v>403.5112063253232</c:v>
                </c:pt>
                <c:pt idx="120">
                  <c:v>403.5112063253232</c:v>
                </c:pt>
                <c:pt idx="121">
                  <c:v>403.5112063253232</c:v>
                </c:pt>
                <c:pt idx="122">
                  <c:v>403.5112063253232</c:v>
                </c:pt>
                <c:pt idx="123">
                  <c:v>403.5112063253232</c:v>
                </c:pt>
                <c:pt idx="124">
                  <c:v>403.5112063253232</c:v>
                </c:pt>
                <c:pt idx="125">
                  <c:v>403.5112063253232</c:v>
                </c:pt>
                <c:pt idx="126">
                  <c:v>403.5112063253232</c:v>
                </c:pt>
                <c:pt idx="127">
                  <c:v>403.5112063253232</c:v>
                </c:pt>
                <c:pt idx="128">
                  <c:v>403.5112063253232</c:v>
                </c:pt>
                <c:pt idx="129">
                  <c:v>403.5112063253232</c:v>
                </c:pt>
                <c:pt idx="130">
                  <c:v>403.5112063253232</c:v>
                </c:pt>
                <c:pt idx="131">
                  <c:v>403.5112063253232</c:v>
                </c:pt>
                <c:pt idx="132">
                  <c:v>403.5112063253232</c:v>
                </c:pt>
                <c:pt idx="133">
                  <c:v>403.5112063253232</c:v>
                </c:pt>
                <c:pt idx="134">
                  <c:v>403.5112063253232</c:v>
                </c:pt>
                <c:pt idx="135">
                  <c:v>403.5112063253232</c:v>
                </c:pt>
                <c:pt idx="136">
                  <c:v>403.5112063253232</c:v>
                </c:pt>
                <c:pt idx="137">
                  <c:v>403.5112063253232</c:v>
                </c:pt>
                <c:pt idx="138">
                  <c:v>403.5112063253232</c:v>
                </c:pt>
                <c:pt idx="139">
                  <c:v>403.5112063253232</c:v>
                </c:pt>
                <c:pt idx="140">
                  <c:v>403.5112063253232</c:v>
                </c:pt>
                <c:pt idx="141">
                  <c:v>403.5112063253232</c:v>
                </c:pt>
                <c:pt idx="142">
                  <c:v>403.5112063253232</c:v>
                </c:pt>
                <c:pt idx="143">
                  <c:v>403.5112063253232</c:v>
                </c:pt>
                <c:pt idx="144">
                  <c:v>403.5112063253232</c:v>
                </c:pt>
                <c:pt idx="145">
                  <c:v>403.5112063253232</c:v>
                </c:pt>
                <c:pt idx="146">
                  <c:v>403.5112063253232</c:v>
                </c:pt>
                <c:pt idx="147">
                  <c:v>403.5112063253232</c:v>
                </c:pt>
                <c:pt idx="148">
                  <c:v>403.5112063253232</c:v>
                </c:pt>
                <c:pt idx="149">
                  <c:v>403.5112063253232</c:v>
                </c:pt>
                <c:pt idx="150">
                  <c:v>403.5112063253232</c:v>
                </c:pt>
                <c:pt idx="151">
                  <c:v>403.5112063253232</c:v>
                </c:pt>
                <c:pt idx="152">
                  <c:v>403.5112063253232</c:v>
                </c:pt>
                <c:pt idx="153">
                  <c:v>403.5112063253232</c:v>
                </c:pt>
                <c:pt idx="154">
                  <c:v>403.5112063253232</c:v>
                </c:pt>
                <c:pt idx="155">
                  <c:v>403.5112063253232</c:v>
                </c:pt>
                <c:pt idx="156">
                  <c:v>403.5112063253232</c:v>
                </c:pt>
                <c:pt idx="157">
                  <c:v>403.5112063253232</c:v>
                </c:pt>
                <c:pt idx="158">
                  <c:v>403.5112063253232</c:v>
                </c:pt>
                <c:pt idx="159">
                  <c:v>403.5112063253232</c:v>
                </c:pt>
                <c:pt idx="160">
                  <c:v>403.5112063253232</c:v>
                </c:pt>
                <c:pt idx="161">
                  <c:v>403.5112063253232</c:v>
                </c:pt>
                <c:pt idx="162">
                  <c:v>403.5112063253232</c:v>
                </c:pt>
                <c:pt idx="163">
                  <c:v>403.5112063253232</c:v>
                </c:pt>
                <c:pt idx="164">
                  <c:v>403.5112063253232</c:v>
                </c:pt>
                <c:pt idx="165">
                  <c:v>403.5112063253232</c:v>
                </c:pt>
                <c:pt idx="166">
                  <c:v>403.5112063253232</c:v>
                </c:pt>
                <c:pt idx="167">
                  <c:v>403.5112063253232</c:v>
                </c:pt>
                <c:pt idx="168">
                  <c:v>403.5112063253232</c:v>
                </c:pt>
                <c:pt idx="169">
                  <c:v>403.5112063253232</c:v>
                </c:pt>
                <c:pt idx="170">
                  <c:v>403.5112063253232</c:v>
                </c:pt>
                <c:pt idx="171">
                  <c:v>403.5112063253232</c:v>
                </c:pt>
                <c:pt idx="172">
                  <c:v>403.5112063253232</c:v>
                </c:pt>
                <c:pt idx="173">
                  <c:v>403.5112063253232</c:v>
                </c:pt>
                <c:pt idx="174">
                  <c:v>403.5112063253232</c:v>
                </c:pt>
                <c:pt idx="175">
                  <c:v>403.5112063253232</c:v>
                </c:pt>
                <c:pt idx="176">
                  <c:v>403.5112063253232</c:v>
                </c:pt>
                <c:pt idx="177">
                  <c:v>403.5112063253232</c:v>
                </c:pt>
                <c:pt idx="178">
                  <c:v>403.5112063253232</c:v>
                </c:pt>
                <c:pt idx="179">
                  <c:v>403.5112063253232</c:v>
                </c:pt>
                <c:pt idx="180">
                  <c:v>403.5112063253232</c:v>
                </c:pt>
                <c:pt idx="181">
                  <c:v>403.5112063253232</c:v>
                </c:pt>
                <c:pt idx="182">
                  <c:v>403.5112063253232</c:v>
                </c:pt>
                <c:pt idx="183">
                  <c:v>403.5112063253232</c:v>
                </c:pt>
                <c:pt idx="184">
                  <c:v>403.5112063253232</c:v>
                </c:pt>
                <c:pt idx="185">
                  <c:v>403.5112063253232</c:v>
                </c:pt>
                <c:pt idx="186">
                  <c:v>403.5112063253232</c:v>
                </c:pt>
                <c:pt idx="187">
                  <c:v>403.5112063253232</c:v>
                </c:pt>
                <c:pt idx="188">
                  <c:v>403.5112063253232</c:v>
                </c:pt>
                <c:pt idx="189">
                  <c:v>403.5112063253232</c:v>
                </c:pt>
                <c:pt idx="190">
                  <c:v>403.5112063253232</c:v>
                </c:pt>
                <c:pt idx="191">
                  <c:v>403.5112063253232</c:v>
                </c:pt>
                <c:pt idx="192">
                  <c:v>403.5112063253232</c:v>
                </c:pt>
                <c:pt idx="193">
                  <c:v>403.5112063253232</c:v>
                </c:pt>
                <c:pt idx="194">
                  <c:v>403.5112063253232</c:v>
                </c:pt>
                <c:pt idx="195">
                  <c:v>403.5112063253232</c:v>
                </c:pt>
                <c:pt idx="196">
                  <c:v>403.5112063253232</c:v>
                </c:pt>
                <c:pt idx="197">
                  <c:v>403.5112063253232</c:v>
                </c:pt>
                <c:pt idx="198">
                  <c:v>403.5112063253232</c:v>
                </c:pt>
                <c:pt idx="199">
                  <c:v>403.5112063253232</c:v>
                </c:pt>
                <c:pt idx="200">
                  <c:v>403.5112063253232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2.1728865530609904</c:v>
                </c:pt>
                <c:pt idx="2">
                  <c:v>2.5020750524075739</c:v>
                </c:pt>
                <c:pt idx="3">
                  <c:v>2.8813160471891153</c:v>
                </c:pt>
                <c:pt idx="4">
                  <c:v>3.3182459713472077</c:v>
                </c:pt>
                <c:pt idx="5">
                  <c:v>3.8216700721237102</c:v>
                </c:pt>
                <c:pt idx="6">
                  <c:v>4.4017418391849237</c:v>
                </c:pt>
                <c:pt idx="7">
                  <c:v>5.0701700545988864</c:v>
                </c:pt>
                <c:pt idx="8">
                  <c:v>5.8404577263374691</c:v>
                </c:pt>
                <c:pt idx="9">
                  <c:v>6.7281778273525523</c:v>
                </c:pt>
                <c:pt idx="10">
                  <c:v>7.7512915238656204</c:v>
                </c:pt>
                <c:pt idx="11">
                  <c:v>8.9305154561876599</c:v>
                </c:pt>
                <c:pt idx="12">
                  <c:v>10.289745651495487</c:v>
                </c:pt>
                <c:pt idx="13">
                  <c:v>11.856546821731341</c:v>
                </c:pt>
                <c:pt idx="14">
                  <c:v>13.662717155662767</c:v>
                </c:pt>
                <c:pt idx="15">
                  <c:v>15.744940280453227</c:v>
                </c:pt>
                <c:pt idx="16">
                  <c:v>31.827511830988218</c:v>
                </c:pt>
                <c:pt idx="17">
                  <c:v>47.675662369557671</c:v>
                </c:pt>
                <c:pt idx="18">
                  <c:v>63.381438285738369</c:v>
                </c:pt>
                <c:pt idx="19">
                  <c:v>78.985658686980315</c:v>
                </c:pt>
                <c:pt idx="20">
                  <c:v>94.511374358021442</c:v>
                </c:pt>
                <c:pt idx="21">
                  <c:v>76.715364108786517</c:v>
                </c:pt>
                <c:pt idx="22">
                  <c:v>92.897294511118176</c:v>
                </c:pt>
                <c:pt idx="23">
                  <c:v>109.00863948066892</c:v>
                </c:pt>
                <c:pt idx="24">
                  <c:v>125.0613334299279</c:v>
                </c:pt>
                <c:pt idx="25">
                  <c:v>141.06397957573768</c:v>
                </c:pt>
                <c:pt idx="26">
                  <c:v>123.13779916137918</c:v>
                </c:pt>
                <c:pt idx="27">
                  <c:v>138.82636237378588</c:v>
                </c:pt>
                <c:pt idx="28">
                  <c:v>154.47231428643084</c:v>
                </c:pt>
                <c:pt idx="29">
                  <c:v>170.08058240428804</c:v>
                </c:pt>
                <c:pt idx="30">
                  <c:v>185.65511405728049</c:v>
                </c:pt>
                <c:pt idx="31">
                  <c:v>165.94304898048827</c:v>
                </c:pt>
                <c:pt idx="32">
                  <c:v>179.61979491259879</c:v>
                </c:pt>
                <c:pt idx="33">
                  <c:v>193.27214793812971</c:v>
                </c:pt>
                <c:pt idx="34">
                  <c:v>206.90207469254884</c:v>
                </c:pt>
                <c:pt idx="35">
                  <c:v>220.51126127527388</c:v>
                </c:pt>
                <c:pt idx="36">
                  <c:v>199.29733339063125</c:v>
                </c:pt>
                <c:pt idx="37">
                  <c:v>211.33517469493427</c:v>
                </c:pt>
                <c:pt idx="38">
                  <c:v>223.35721067093763</c:v>
                </c:pt>
                <c:pt idx="39">
                  <c:v>235.364412380365</c:v>
                </c:pt>
                <c:pt idx="40">
                  <c:v>247.35764363735254</c:v>
                </c:pt>
                <c:pt idx="41">
                  <c:v>224.30567506188856</c:v>
                </c:pt>
                <c:pt idx="42">
                  <c:v>234.41699401886561</c:v>
                </c:pt>
                <c:pt idx="43">
                  <c:v>244.51836163877581</c:v>
                </c:pt>
                <c:pt idx="44">
                  <c:v>254.61024730171837</c:v>
                </c:pt>
                <c:pt idx="45">
                  <c:v>264.69308010810488</c:v>
                </c:pt>
                <c:pt idx="46">
                  <c:v>245.1493776406445</c:v>
                </c:pt>
                <c:pt idx="47">
                  <c:v>253.97977393337041</c:v>
                </c:pt>
                <c:pt idx="48">
                  <c:v>262.8032199612822</c:v>
                </c:pt>
                <c:pt idx="49">
                  <c:v>271.61998220138389</c:v>
                </c:pt>
                <c:pt idx="50">
                  <c:v>280.43030840202363</c:v>
                </c:pt>
                <c:pt idx="51">
                  <c:v>267.52730047282165</c:v>
                </c:pt>
                <c:pt idx="52">
                  <c:v>275.08193620220914</c:v>
                </c:pt>
                <c:pt idx="53">
                  <c:v>282.63191172516548</c:v>
                </c:pt>
                <c:pt idx="54">
                  <c:v>290.17736922706069</c:v>
                </c:pt>
                <c:pt idx="55">
                  <c:v>297.71844288716278</c:v>
                </c:pt>
                <c:pt idx="56">
                  <c:v>286.71958663192925</c:v>
                </c:pt>
                <c:pt idx="57">
                  <c:v>293.00577861515382</c:v>
                </c:pt>
                <c:pt idx="58">
                  <c:v>299.28895999218298</c:v>
                </c:pt>
                <c:pt idx="59">
                  <c:v>305.5692029643111</c:v>
                </c:pt>
                <c:pt idx="60">
                  <c:v>311.84657651907304</c:v>
                </c:pt>
                <c:pt idx="61">
                  <c:v>303.05745389934469</c:v>
                </c:pt>
                <c:pt idx="62">
                  <c:v>308.39437214044113</c:v>
                </c:pt>
                <c:pt idx="63">
                  <c:v>313.72923898847586</c:v>
                </c:pt>
                <c:pt idx="64">
                  <c:v>319.06209429744712</c:v>
                </c:pt>
                <c:pt idx="65">
                  <c:v>324.39297647857364</c:v>
                </c:pt>
                <c:pt idx="66">
                  <c:v>316.55276342878966</c:v>
                </c:pt>
                <c:pt idx="67">
                  <c:v>321.25740024962448</c:v>
                </c:pt>
                <c:pt idx="68">
                  <c:v>325.96051291867639</c:v>
                </c:pt>
                <c:pt idx="69">
                  <c:v>330.66212656242288</c:v>
                </c:pt>
                <c:pt idx="70">
                  <c:v>335.36226553348371</c:v>
                </c:pt>
                <c:pt idx="71">
                  <c:v>326.90095477924814</c:v>
                </c:pt>
                <c:pt idx="72">
                  <c:v>330.9755147741165</c:v>
                </c:pt>
                <c:pt idx="73">
                  <c:v>335.04896833683745</c:v>
                </c:pt>
                <c:pt idx="74">
                  <c:v>339.12133083817082</c:v>
                </c:pt>
                <c:pt idx="75">
                  <c:v>343.19261724903942</c:v>
                </c:pt>
                <c:pt idx="76">
                  <c:v>335.98884058698269</c:v>
                </c:pt>
                <c:pt idx="77">
                  <c:v>339.74775226555522</c:v>
                </c:pt>
                <c:pt idx="78">
                  <c:v>343.50574897575706</c:v>
                </c:pt>
                <c:pt idx="79">
                  <c:v>347.26284215565846</c:v>
                </c:pt>
                <c:pt idx="80">
                  <c:v>351.01904297525965</c:v>
                </c:pt>
                <c:pt idx="81">
                  <c:v>341.62686427043013</c:v>
                </c:pt>
                <c:pt idx="82">
                  <c:v>341.62686427043013</c:v>
                </c:pt>
                <c:pt idx="83">
                  <c:v>341.62686427043013</c:v>
                </c:pt>
                <c:pt idx="84">
                  <c:v>341.62686427043013</c:v>
                </c:pt>
                <c:pt idx="85">
                  <c:v>341.62686427043013</c:v>
                </c:pt>
                <c:pt idx="86">
                  <c:v>341.62686427043013</c:v>
                </c:pt>
                <c:pt idx="87">
                  <c:v>341.62686427043013</c:v>
                </c:pt>
                <c:pt idx="88">
                  <c:v>341.62686427043013</c:v>
                </c:pt>
                <c:pt idx="89">
                  <c:v>341.62686427043013</c:v>
                </c:pt>
                <c:pt idx="90">
                  <c:v>341.62686427043013</c:v>
                </c:pt>
                <c:pt idx="91">
                  <c:v>341.62686427043013</c:v>
                </c:pt>
                <c:pt idx="92">
                  <c:v>341.62686427043013</c:v>
                </c:pt>
                <c:pt idx="93">
                  <c:v>341.62686427043013</c:v>
                </c:pt>
                <c:pt idx="94">
                  <c:v>341.62686427043013</c:v>
                </c:pt>
                <c:pt idx="95">
                  <c:v>341.62686427043013</c:v>
                </c:pt>
                <c:pt idx="96">
                  <c:v>341.62686427043013</c:v>
                </c:pt>
                <c:pt idx="97">
                  <c:v>341.62686427043013</c:v>
                </c:pt>
                <c:pt idx="98">
                  <c:v>341.62686427043013</c:v>
                </c:pt>
                <c:pt idx="99">
                  <c:v>341.62686427043013</c:v>
                </c:pt>
                <c:pt idx="100">
                  <c:v>341.62686427043013</c:v>
                </c:pt>
                <c:pt idx="101">
                  <c:v>341.62686427043013</c:v>
                </c:pt>
                <c:pt idx="102">
                  <c:v>341.62686427043013</c:v>
                </c:pt>
                <c:pt idx="103">
                  <c:v>341.62686427043013</c:v>
                </c:pt>
                <c:pt idx="104">
                  <c:v>341.62686427043013</c:v>
                </c:pt>
                <c:pt idx="105">
                  <c:v>341.62686427043013</c:v>
                </c:pt>
                <c:pt idx="106">
                  <c:v>341.62686427043013</c:v>
                </c:pt>
                <c:pt idx="107">
                  <c:v>341.62686427043013</c:v>
                </c:pt>
                <c:pt idx="108">
                  <c:v>341.62686427043013</c:v>
                </c:pt>
                <c:pt idx="109">
                  <c:v>341.62686427043013</c:v>
                </c:pt>
                <c:pt idx="110">
                  <c:v>341.62686427043013</c:v>
                </c:pt>
                <c:pt idx="111">
                  <c:v>341.62686427043013</c:v>
                </c:pt>
                <c:pt idx="112">
                  <c:v>341.62686427043013</c:v>
                </c:pt>
                <c:pt idx="113">
                  <c:v>341.62686427043013</c:v>
                </c:pt>
                <c:pt idx="114">
                  <c:v>341.62686427043013</c:v>
                </c:pt>
                <c:pt idx="115">
                  <c:v>341.62686427043013</c:v>
                </c:pt>
                <c:pt idx="116">
                  <c:v>341.62686427043013</c:v>
                </c:pt>
                <c:pt idx="117">
                  <c:v>341.62686427043013</c:v>
                </c:pt>
                <c:pt idx="118">
                  <c:v>341.62686427043013</c:v>
                </c:pt>
                <c:pt idx="119">
                  <c:v>341.62686427043013</c:v>
                </c:pt>
                <c:pt idx="120">
                  <c:v>341.62686427043013</c:v>
                </c:pt>
                <c:pt idx="121">
                  <c:v>341.62686427043013</c:v>
                </c:pt>
                <c:pt idx="122">
                  <c:v>341.62686427043013</c:v>
                </c:pt>
                <c:pt idx="123">
                  <c:v>341.62686427043013</c:v>
                </c:pt>
                <c:pt idx="124">
                  <c:v>341.62686427043013</c:v>
                </c:pt>
                <c:pt idx="125">
                  <c:v>341.62686427043013</c:v>
                </c:pt>
                <c:pt idx="126">
                  <c:v>341.62686427043013</c:v>
                </c:pt>
                <c:pt idx="127">
                  <c:v>341.62686427043013</c:v>
                </c:pt>
                <c:pt idx="128">
                  <c:v>341.62686427043013</c:v>
                </c:pt>
                <c:pt idx="129">
                  <c:v>341.62686427043013</c:v>
                </c:pt>
                <c:pt idx="130">
                  <c:v>341.62686427043013</c:v>
                </c:pt>
                <c:pt idx="131">
                  <c:v>341.62686427043013</c:v>
                </c:pt>
                <c:pt idx="132">
                  <c:v>341.62686427043013</c:v>
                </c:pt>
                <c:pt idx="133">
                  <c:v>341.62686427043013</c:v>
                </c:pt>
                <c:pt idx="134">
                  <c:v>341.62686427043013</c:v>
                </c:pt>
                <c:pt idx="135">
                  <c:v>341.62686427043013</c:v>
                </c:pt>
                <c:pt idx="136">
                  <c:v>341.62686427043013</c:v>
                </c:pt>
                <c:pt idx="137">
                  <c:v>341.62686427043013</c:v>
                </c:pt>
                <c:pt idx="138">
                  <c:v>341.62686427043013</c:v>
                </c:pt>
                <c:pt idx="139">
                  <c:v>341.62686427043013</c:v>
                </c:pt>
                <c:pt idx="140">
                  <c:v>341.62686427043013</c:v>
                </c:pt>
                <c:pt idx="141">
                  <c:v>341.62686427043013</c:v>
                </c:pt>
                <c:pt idx="142">
                  <c:v>341.62686427043013</c:v>
                </c:pt>
                <c:pt idx="143">
                  <c:v>341.62686427043013</c:v>
                </c:pt>
                <c:pt idx="144">
                  <c:v>341.62686427043013</c:v>
                </c:pt>
                <c:pt idx="145">
                  <c:v>341.62686427043013</c:v>
                </c:pt>
                <c:pt idx="146">
                  <c:v>341.62686427043013</c:v>
                </c:pt>
                <c:pt idx="147">
                  <c:v>341.62686427043013</c:v>
                </c:pt>
                <c:pt idx="148">
                  <c:v>341.62686427043013</c:v>
                </c:pt>
                <c:pt idx="149">
                  <c:v>341.62686427043013</c:v>
                </c:pt>
                <c:pt idx="150">
                  <c:v>341.62686427043013</c:v>
                </c:pt>
                <c:pt idx="151">
                  <c:v>341.62686427043013</c:v>
                </c:pt>
                <c:pt idx="152">
                  <c:v>341.62686427043013</c:v>
                </c:pt>
                <c:pt idx="153">
                  <c:v>341.62686427043013</c:v>
                </c:pt>
                <c:pt idx="154">
                  <c:v>341.62686427043013</c:v>
                </c:pt>
                <c:pt idx="155">
                  <c:v>341.62686427043013</c:v>
                </c:pt>
                <c:pt idx="156">
                  <c:v>341.62686427043013</c:v>
                </c:pt>
                <c:pt idx="157">
                  <c:v>341.62686427043013</c:v>
                </c:pt>
                <c:pt idx="158">
                  <c:v>341.62686427043013</c:v>
                </c:pt>
                <c:pt idx="159">
                  <c:v>341.62686427043013</c:v>
                </c:pt>
                <c:pt idx="160">
                  <c:v>341.62686427043013</c:v>
                </c:pt>
                <c:pt idx="161">
                  <c:v>341.62686427043013</c:v>
                </c:pt>
                <c:pt idx="162">
                  <c:v>341.62686427043013</c:v>
                </c:pt>
                <c:pt idx="163">
                  <c:v>341.62686427043013</c:v>
                </c:pt>
                <c:pt idx="164">
                  <c:v>341.62686427043013</c:v>
                </c:pt>
                <c:pt idx="165">
                  <c:v>341.62686427043013</c:v>
                </c:pt>
                <c:pt idx="166">
                  <c:v>341.62686427043013</c:v>
                </c:pt>
                <c:pt idx="167">
                  <c:v>341.62686427043013</c:v>
                </c:pt>
                <c:pt idx="168">
                  <c:v>341.62686427043013</c:v>
                </c:pt>
                <c:pt idx="169">
                  <c:v>341.62686427043013</c:v>
                </c:pt>
                <c:pt idx="170">
                  <c:v>341.62686427043013</c:v>
                </c:pt>
                <c:pt idx="171">
                  <c:v>341.62686427043013</c:v>
                </c:pt>
                <c:pt idx="172">
                  <c:v>341.62686427043013</c:v>
                </c:pt>
                <c:pt idx="173">
                  <c:v>341.62686427043013</c:v>
                </c:pt>
                <c:pt idx="174">
                  <c:v>341.62686427043013</c:v>
                </c:pt>
                <c:pt idx="175">
                  <c:v>341.62686427043013</c:v>
                </c:pt>
                <c:pt idx="176">
                  <c:v>341.62686427043013</c:v>
                </c:pt>
                <c:pt idx="177">
                  <c:v>341.62686427043013</c:v>
                </c:pt>
                <c:pt idx="178">
                  <c:v>341.62686427043013</c:v>
                </c:pt>
                <c:pt idx="179">
                  <c:v>341.62686427043013</c:v>
                </c:pt>
                <c:pt idx="180">
                  <c:v>341.62686427043013</c:v>
                </c:pt>
                <c:pt idx="181">
                  <c:v>341.62686427043013</c:v>
                </c:pt>
                <c:pt idx="182">
                  <c:v>341.62686427043013</c:v>
                </c:pt>
                <c:pt idx="183">
                  <c:v>341.62686427043013</c:v>
                </c:pt>
                <c:pt idx="184">
                  <c:v>341.62686427043013</c:v>
                </c:pt>
                <c:pt idx="185">
                  <c:v>341.62686427043013</c:v>
                </c:pt>
                <c:pt idx="186">
                  <c:v>341.62686427043013</c:v>
                </c:pt>
                <c:pt idx="187">
                  <c:v>341.62686427043013</c:v>
                </c:pt>
                <c:pt idx="188">
                  <c:v>341.62686427043013</c:v>
                </c:pt>
                <c:pt idx="189">
                  <c:v>341.62686427043013</c:v>
                </c:pt>
                <c:pt idx="190">
                  <c:v>341.62686427043013</c:v>
                </c:pt>
                <c:pt idx="191">
                  <c:v>341.62686427043013</c:v>
                </c:pt>
                <c:pt idx="192">
                  <c:v>341.62686427043013</c:v>
                </c:pt>
                <c:pt idx="193">
                  <c:v>341.62686427043013</c:v>
                </c:pt>
                <c:pt idx="194">
                  <c:v>341.62686427043013</c:v>
                </c:pt>
                <c:pt idx="195">
                  <c:v>341.62686427043013</c:v>
                </c:pt>
                <c:pt idx="196">
                  <c:v>341.62686427043013</c:v>
                </c:pt>
                <c:pt idx="197">
                  <c:v>341.62686427043013</c:v>
                </c:pt>
                <c:pt idx="198">
                  <c:v>341.62686427043013</c:v>
                </c:pt>
                <c:pt idx="199">
                  <c:v>341.62686427043013</c:v>
                </c:pt>
                <c:pt idx="200">
                  <c:v>341.62686427043013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70" zoomScaleNormal="70" workbookViewId="0">
      <selection activeCell="E14" sqref="E14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19.350000000000001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36</v>
      </c>
      <c r="C9" s="264">
        <v>0.7153000987</v>
      </c>
      <c r="D9" s="33">
        <f t="shared" ref="D9:D18" si="0">C9*$C$5</f>
        <v>13.841056909845001</v>
      </c>
      <c r="E9" s="265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138</v>
      </c>
      <c r="C10" s="264">
        <v>0.2746510928</v>
      </c>
      <c r="D10" s="33">
        <f t="shared" si="0"/>
        <v>5.3144986456800005</v>
      </c>
      <c r="E10" s="265">
        <v>30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325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14</v>
      </c>
      <c r="C11" s="264">
        <v>4.0195233990000002E-3</v>
      </c>
      <c r="D11" s="33">
        <f t="shared" si="0"/>
        <v>7.7777777770650008E-2</v>
      </c>
      <c r="E11" s="265">
        <v>183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326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13</v>
      </c>
      <c r="C12" s="264">
        <v>4.0195233990000002E-3</v>
      </c>
      <c r="D12" s="33">
        <f t="shared" si="0"/>
        <v>7.7777777770650008E-2</v>
      </c>
      <c r="E12" s="265">
        <v>100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326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8</v>
      </c>
      <c r="C13" s="32">
        <v>2.0097616999999999E-3</v>
      </c>
      <c r="D13" s="33">
        <f t="shared" si="0"/>
        <v>3.8888888895000001E-2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327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0.99999999999800004</v>
      </c>
      <c r="D19" s="38">
        <f>SUM(D9:D18)</f>
        <v>19.349999999961298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11</v>
      </c>
      <c r="B36" s="259">
        <v>83</v>
      </c>
      <c r="C36" s="259"/>
      <c r="D36" s="259"/>
      <c r="E36" s="260"/>
      <c r="F36" s="260"/>
      <c r="G36" s="260"/>
      <c r="H36" s="260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12</v>
      </c>
      <c r="B37" s="259">
        <v>106</v>
      </c>
      <c r="C37" s="259">
        <v>1</v>
      </c>
      <c r="D37" s="259">
        <v>34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13</v>
      </c>
      <c r="B38" s="259">
        <v>89</v>
      </c>
      <c r="C38" s="259"/>
      <c r="D38" s="259"/>
      <c r="E38" s="260"/>
      <c r="F38" s="260"/>
      <c r="G38" s="260"/>
      <c r="H38" s="260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14</v>
      </c>
      <c r="B39" s="259">
        <v>110</v>
      </c>
      <c r="C39" s="259"/>
      <c r="D39" s="259"/>
      <c r="E39" s="260"/>
      <c r="F39" s="260"/>
      <c r="G39" s="260"/>
      <c r="H39" s="260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15</v>
      </c>
      <c r="B40" s="259">
        <v>131</v>
      </c>
      <c r="C40" s="259"/>
      <c r="D40" s="259"/>
      <c r="E40" s="260"/>
      <c r="F40" s="260"/>
      <c r="G40" s="260"/>
      <c r="H40" s="260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16</v>
      </c>
      <c r="B41" s="259">
        <v>153</v>
      </c>
      <c r="C41" s="259"/>
      <c r="D41" s="259"/>
      <c r="E41" s="260"/>
      <c r="F41" s="260"/>
      <c r="G41" s="260"/>
      <c r="H41" s="260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17</v>
      </c>
      <c r="B42" s="259">
        <v>176</v>
      </c>
      <c r="C42" s="259">
        <v>2</v>
      </c>
      <c r="D42" s="259">
        <v>43</v>
      </c>
      <c r="E42" s="260">
        <v>0.25</v>
      </c>
      <c r="F42" s="260">
        <v>0.75</v>
      </c>
      <c r="G42" s="260"/>
      <c r="H42" s="260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18</v>
      </c>
      <c r="B43" s="259">
        <v>151</v>
      </c>
      <c r="C43" s="259"/>
      <c r="D43" s="259"/>
      <c r="E43" s="260"/>
      <c r="F43" s="260"/>
      <c r="G43" s="260"/>
      <c r="H43" s="260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19</v>
      </c>
      <c r="B44" s="259">
        <v>171</v>
      </c>
      <c r="C44" s="259"/>
      <c r="D44" s="259"/>
      <c r="E44" s="260"/>
      <c r="F44" s="260"/>
      <c r="G44" s="260"/>
      <c r="H44" s="260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20</v>
      </c>
      <c r="B45" s="261">
        <v>192</v>
      </c>
      <c r="C45" s="259"/>
      <c r="D45" s="261"/>
      <c r="E45" s="260"/>
      <c r="F45" s="260"/>
      <c r="G45" s="260"/>
      <c r="H45" s="260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21</v>
      </c>
      <c r="B46" s="262">
        <v>212</v>
      </c>
      <c r="C46" s="259"/>
      <c r="D46" s="262"/>
      <c r="E46" s="260"/>
      <c r="F46" s="260"/>
      <c r="G46" s="260"/>
      <c r="H46" s="260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22</v>
      </c>
      <c r="B47" s="261">
        <v>232</v>
      </c>
      <c r="C47" s="259">
        <v>3</v>
      </c>
      <c r="D47" s="261">
        <v>56</v>
      </c>
      <c r="E47" s="260">
        <v>0.6</v>
      </c>
      <c r="F47" s="260">
        <v>0.4</v>
      </c>
      <c r="G47" s="260"/>
      <c r="H47" s="260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23</v>
      </c>
      <c r="B48" s="261">
        <v>192</v>
      </c>
      <c r="C48" s="259"/>
      <c r="D48" s="261"/>
      <c r="E48" s="260"/>
      <c r="F48" s="260"/>
      <c r="G48" s="260"/>
      <c r="H48" s="260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24</v>
      </c>
      <c r="B49" s="261">
        <v>209</v>
      </c>
      <c r="C49" s="259"/>
      <c r="D49" s="261"/>
      <c r="E49" s="260"/>
      <c r="F49" s="260"/>
      <c r="G49" s="260"/>
      <c r="H49" s="260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25</v>
      </c>
      <c r="B50" s="261">
        <v>226</v>
      </c>
      <c r="C50" s="261"/>
      <c r="D50" s="261"/>
      <c r="E50" s="260"/>
      <c r="F50" s="260"/>
      <c r="G50" s="260"/>
      <c r="H50" s="260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26</v>
      </c>
      <c r="B51" s="261">
        <v>244</v>
      </c>
      <c r="C51" s="261"/>
      <c r="D51" s="261"/>
      <c r="E51" s="260"/>
      <c r="F51" s="260"/>
      <c r="G51" s="260"/>
      <c r="H51" s="260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>
        <v>27</v>
      </c>
      <c r="B52" s="261">
        <v>261</v>
      </c>
      <c r="C52" s="261"/>
      <c r="D52" s="261"/>
      <c r="E52" s="260"/>
      <c r="F52" s="260"/>
      <c r="G52" s="260"/>
      <c r="H52" s="260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>
        <v>28</v>
      </c>
      <c r="B53" s="261">
        <v>277</v>
      </c>
      <c r="C53" s="261"/>
      <c r="D53" s="261"/>
      <c r="E53" s="260"/>
      <c r="F53" s="260"/>
      <c r="G53" s="260"/>
      <c r="H53" s="260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>
        <v>29</v>
      </c>
      <c r="B54" s="261">
        <v>293</v>
      </c>
      <c r="C54" s="261"/>
      <c r="D54" s="261"/>
      <c r="E54" s="260"/>
      <c r="F54" s="260"/>
      <c r="G54" s="260"/>
      <c r="H54" s="260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>
        <v>30</v>
      </c>
      <c r="B55" s="261">
        <v>309</v>
      </c>
      <c r="C55" s="261">
        <v>4</v>
      </c>
      <c r="D55" s="261">
        <v>309</v>
      </c>
      <c r="E55" s="260">
        <v>1</v>
      </c>
      <c r="F55" s="260"/>
      <c r="G55" s="260"/>
      <c r="H55" s="260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Pin taeda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11</v>
      </c>
      <c r="B62" s="261">
        <v>83</v>
      </c>
      <c r="C62" s="261"/>
      <c r="D62" s="261"/>
      <c r="E62" s="260"/>
      <c r="F62" s="260"/>
      <c r="G62" s="260"/>
      <c r="H62" s="260"/>
      <c r="I62" s="53">
        <f>IFERROR(B62/A62,"")</f>
        <v>7.5454545454545459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12</v>
      </c>
      <c r="B63" s="261">
        <v>106</v>
      </c>
      <c r="C63" s="261">
        <v>1</v>
      </c>
      <c r="D63" s="261">
        <v>34</v>
      </c>
      <c r="E63" s="260"/>
      <c r="F63" s="260"/>
      <c r="G63" s="260">
        <v>1</v>
      </c>
      <c r="H63" s="260"/>
      <c r="I63" s="49">
        <f>IF(A63&lt;&gt;0,(B63-(B62-D62))/(A63-A62),"")</f>
        <v>23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13</v>
      </c>
      <c r="B64" s="261">
        <v>89</v>
      </c>
      <c r="C64" s="261"/>
      <c r="D64" s="261"/>
      <c r="E64" s="260"/>
      <c r="F64" s="260"/>
      <c r="G64" s="260"/>
      <c r="H64" s="260"/>
      <c r="I64" s="49">
        <f>IF(A64&lt;&gt;0,(B64-(B63-D63))/(A64-A63),"")</f>
        <v>17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14</v>
      </c>
      <c r="B65" s="261">
        <v>110</v>
      </c>
      <c r="C65" s="261"/>
      <c r="D65" s="261"/>
      <c r="E65" s="260"/>
      <c r="F65" s="260"/>
      <c r="G65" s="260"/>
      <c r="H65" s="260"/>
      <c r="I65" s="49">
        <f>IF(A65&lt;&gt;0,(B65-(B64-D64))/(A65-A64),"")</f>
        <v>21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15</v>
      </c>
      <c r="B66" s="261">
        <v>131</v>
      </c>
      <c r="C66" s="261"/>
      <c r="D66" s="261"/>
      <c r="E66" s="260"/>
      <c r="F66" s="260"/>
      <c r="G66" s="260"/>
      <c r="H66" s="260"/>
      <c r="I66" s="49">
        <f t="shared" ref="I66:I81" si="2">IF(A66&lt;&gt;0,(B66-(B65-D65))/(A66-A65),"")</f>
        <v>21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16</v>
      </c>
      <c r="B67" s="261">
        <v>153</v>
      </c>
      <c r="C67" s="261"/>
      <c r="D67" s="261"/>
      <c r="E67" s="260"/>
      <c r="F67" s="260"/>
      <c r="G67" s="260"/>
      <c r="H67" s="260"/>
      <c r="I67" s="49">
        <f t="shared" si="2"/>
        <v>22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17</v>
      </c>
      <c r="B68" s="261">
        <v>176</v>
      </c>
      <c r="C68" s="261">
        <v>2</v>
      </c>
      <c r="D68" s="261">
        <v>43</v>
      </c>
      <c r="E68" s="260"/>
      <c r="F68" s="260">
        <v>1</v>
      </c>
      <c r="G68" s="260"/>
      <c r="H68" s="260"/>
      <c r="I68" s="49">
        <f t="shared" si="2"/>
        <v>23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18</v>
      </c>
      <c r="B69" s="261">
        <v>151</v>
      </c>
      <c r="C69" s="261"/>
      <c r="D69" s="261"/>
      <c r="E69" s="260"/>
      <c r="F69" s="260"/>
      <c r="G69" s="260"/>
      <c r="H69" s="260"/>
      <c r="I69" s="49">
        <f t="shared" si="2"/>
        <v>18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19</v>
      </c>
      <c r="B70" s="261">
        <v>171</v>
      </c>
      <c r="C70" s="261"/>
      <c r="D70" s="261"/>
      <c r="E70" s="260"/>
      <c r="F70" s="260"/>
      <c r="G70" s="260"/>
      <c r="H70" s="260"/>
      <c r="I70" s="49">
        <f t="shared" si="2"/>
        <v>20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20</v>
      </c>
      <c r="B71" s="261">
        <v>192</v>
      </c>
      <c r="C71" s="261"/>
      <c r="D71" s="261"/>
      <c r="E71" s="260"/>
      <c r="F71" s="260"/>
      <c r="G71" s="260"/>
      <c r="H71" s="260"/>
      <c r="I71" s="49">
        <f t="shared" si="2"/>
        <v>21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21</v>
      </c>
      <c r="B72" s="261">
        <v>212</v>
      </c>
      <c r="C72" s="261"/>
      <c r="D72" s="261"/>
      <c r="E72" s="260"/>
      <c r="F72" s="260"/>
      <c r="G72" s="260"/>
      <c r="H72" s="260"/>
      <c r="I72" s="49">
        <f t="shared" si="2"/>
        <v>20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22</v>
      </c>
      <c r="B73" s="261">
        <v>232</v>
      </c>
      <c r="C73" s="261">
        <v>3</v>
      </c>
      <c r="D73" s="261">
        <v>56</v>
      </c>
      <c r="E73" s="260"/>
      <c r="F73" s="260">
        <v>1</v>
      </c>
      <c r="G73" s="260"/>
      <c r="H73" s="260"/>
      <c r="I73" s="49">
        <f t="shared" si="2"/>
        <v>20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23</v>
      </c>
      <c r="B74" s="261">
        <v>192</v>
      </c>
      <c r="C74" s="261"/>
      <c r="D74" s="261"/>
      <c r="E74" s="260"/>
      <c r="F74" s="260"/>
      <c r="G74" s="260"/>
      <c r="H74" s="260"/>
      <c r="I74" s="49">
        <f t="shared" si="2"/>
        <v>16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24</v>
      </c>
      <c r="B75" s="261">
        <v>209</v>
      </c>
      <c r="C75" s="261"/>
      <c r="D75" s="261"/>
      <c r="E75" s="260"/>
      <c r="F75" s="260"/>
      <c r="G75" s="260"/>
      <c r="H75" s="260"/>
      <c r="I75" s="49">
        <f t="shared" si="2"/>
        <v>17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25</v>
      </c>
      <c r="B76" s="261">
        <v>226</v>
      </c>
      <c r="C76" s="261"/>
      <c r="D76" s="261"/>
      <c r="E76" s="260"/>
      <c r="F76" s="260"/>
      <c r="G76" s="260"/>
      <c r="H76" s="260"/>
      <c r="I76" s="49">
        <f t="shared" si="2"/>
        <v>17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26</v>
      </c>
      <c r="B77" s="257">
        <v>244</v>
      </c>
      <c r="C77" s="256"/>
      <c r="D77" s="256"/>
      <c r="E77" s="255"/>
      <c r="F77" s="255"/>
      <c r="G77" s="255"/>
      <c r="H77" s="255"/>
      <c r="I77" s="49">
        <f t="shared" si="2"/>
        <v>18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>
        <v>27</v>
      </c>
      <c r="B78" s="257">
        <v>261</v>
      </c>
      <c r="C78" s="256"/>
      <c r="D78" s="256"/>
      <c r="E78" s="255"/>
      <c r="F78" s="255"/>
      <c r="G78" s="255"/>
      <c r="H78" s="255"/>
      <c r="I78" s="49">
        <f t="shared" si="2"/>
        <v>17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>
        <v>28</v>
      </c>
      <c r="B79" s="257">
        <v>277</v>
      </c>
      <c r="C79" s="256"/>
      <c r="D79" s="256"/>
      <c r="E79" s="255"/>
      <c r="F79" s="255"/>
      <c r="G79" s="255"/>
      <c r="H79" s="255"/>
      <c r="I79" s="49">
        <f t="shared" si="2"/>
        <v>16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>
        <v>29</v>
      </c>
      <c r="B80" s="257">
        <v>293</v>
      </c>
      <c r="C80" s="256"/>
      <c r="D80" s="256"/>
      <c r="E80" s="255"/>
      <c r="F80" s="255"/>
      <c r="G80" s="255"/>
      <c r="H80" s="255"/>
      <c r="I80" s="49">
        <f t="shared" si="2"/>
        <v>16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>
        <v>30</v>
      </c>
      <c r="B81" s="257">
        <v>309</v>
      </c>
      <c r="C81" s="256">
        <v>4</v>
      </c>
      <c r="D81" s="258">
        <v>309</v>
      </c>
      <c r="E81" s="255"/>
      <c r="F81" s="255">
        <v>1</v>
      </c>
      <c r="G81" s="255"/>
      <c r="H81" s="255"/>
      <c r="I81" s="49">
        <f t="shared" si="2"/>
        <v>16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sessile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30</v>
      </c>
      <c r="B88" s="261">
        <v>75.346153849999993</v>
      </c>
      <c r="C88" s="261"/>
      <c r="D88" s="261"/>
      <c r="E88" s="260"/>
      <c r="F88" s="260"/>
      <c r="G88" s="260"/>
      <c r="H88" s="260"/>
      <c r="I88" s="53">
        <f>IFERROR(B88/A88,"")</f>
        <v>2.5115384616666665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42</v>
      </c>
      <c r="B89" s="261">
        <v>171.96</v>
      </c>
      <c r="C89" s="261">
        <v>1</v>
      </c>
      <c r="D89" s="261">
        <v>43.21</v>
      </c>
      <c r="E89" s="260">
        <v>1</v>
      </c>
      <c r="F89" s="260"/>
      <c r="G89" s="260"/>
      <c r="H89" s="260"/>
      <c r="I89" s="53">
        <f t="shared" ref="I89:I107" si="3">IF(A89&lt;&gt;0,(B89-(B88-D88))/(A89-A88),"")</f>
        <v>8.0511538458333352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50</v>
      </c>
      <c r="B90" s="261">
        <v>208.33</v>
      </c>
      <c r="C90" s="261">
        <v>2</v>
      </c>
      <c r="D90" s="261">
        <v>35.58</v>
      </c>
      <c r="E90" s="260">
        <v>1</v>
      </c>
      <c r="F90" s="260"/>
      <c r="G90" s="260"/>
      <c r="H90" s="260"/>
      <c r="I90" s="53">
        <f t="shared" si="3"/>
        <v>9.9475000000000016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58</v>
      </c>
      <c r="B91" s="261">
        <v>253.7</v>
      </c>
      <c r="C91" s="261">
        <v>3</v>
      </c>
      <c r="D91" s="261">
        <v>44.93</v>
      </c>
      <c r="E91" s="260">
        <v>1</v>
      </c>
      <c r="F91" s="260"/>
      <c r="G91" s="260"/>
      <c r="H91" s="260"/>
      <c r="I91" s="53">
        <f t="shared" si="3"/>
        <v>10.118749999999999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66</v>
      </c>
      <c r="B92" s="261">
        <v>286.77</v>
      </c>
      <c r="C92" s="261">
        <v>4</v>
      </c>
      <c r="D92" s="261">
        <v>49.91</v>
      </c>
      <c r="E92" s="260">
        <v>1</v>
      </c>
      <c r="F92" s="260"/>
      <c r="G92" s="260"/>
      <c r="H92" s="260"/>
      <c r="I92" s="53">
        <f t="shared" si="3"/>
        <v>9.75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74</v>
      </c>
      <c r="B93" s="261">
        <v>310.95999999999998</v>
      </c>
      <c r="C93" s="261">
        <v>5</v>
      </c>
      <c r="D93" s="261">
        <v>47.4</v>
      </c>
      <c r="E93" s="260">
        <v>1</v>
      </c>
      <c r="F93" s="260"/>
      <c r="G93" s="260"/>
      <c r="H93" s="260"/>
      <c r="I93" s="53">
        <f t="shared" si="3"/>
        <v>9.2624999999999993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84</v>
      </c>
      <c r="B94" s="261">
        <v>355.09</v>
      </c>
      <c r="C94" s="261">
        <v>6</v>
      </c>
      <c r="D94" s="261">
        <v>61.47</v>
      </c>
      <c r="E94" s="260">
        <v>1</v>
      </c>
      <c r="F94" s="260"/>
      <c r="G94" s="260"/>
      <c r="H94" s="260"/>
      <c r="I94" s="53">
        <f t="shared" si="3"/>
        <v>9.1529999999999969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94</v>
      </c>
      <c r="B95" s="261">
        <v>380.13</v>
      </c>
      <c r="C95" s="261">
        <v>7</v>
      </c>
      <c r="D95" s="261">
        <v>61.85</v>
      </c>
      <c r="E95" s="260">
        <v>1</v>
      </c>
      <c r="F95" s="260"/>
      <c r="G95" s="260"/>
      <c r="H95" s="260"/>
      <c r="I95" s="53">
        <f t="shared" si="3"/>
        <v>8.6509999999999998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104</v>
      </c>
      <c r="B96" s="261">
        <v>402.2</v>
      </c>
      <c r="C96" s="261">
        <v>8</v>
      </c>
      <c r="D96" s="261">
        <v>60.19</v>
      </c>
      <c r="E96" s="260">
        <v>1</v>
      </c>
      <c r="F96" s="260"/>
      <c r="G96" s="260"/>
      <c r="H96" s="260"/>
      <c r="I96" s="53">
        <f t="shared" si="3"/>
        <v>8.3920000000000012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114</v>
      </c>
      <c r="B97" s="261">
        <v>424.56</v>
      </c>
      <c r="C97" s="261">
        <v>9</v>
      </c>
      <c r="D97" s="261">
        <v>56.07</v>
      </c>
      <c r="E97" s="260">
        <v>1</v>
      </c>
      <c r="F97" s="260"/>
      <c r="G97" s="260"/>
      <c r="H97" s="260"/>
      <c r="I97" s="53">
        <f t="shared" si="3"/>
        <v>8.2550000000000008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124</v>
      </c>
      <c r="B98" s="261">
        <v>451.86</v>
      </c>
      <c r="C98" s="261">
        <v>10</v>
      </c>
      <c r="D98" s="261">
        <v>52.53</v>
      </c>
      <c r="E98" s="260">
        <v>1</v>
      </c>
      <c r="F98" s="260"/>
      <c r="G98" s="260"/>
      <c r="H98" s="260"/>
      <c r="I98" s="53">
        <f t="shared" si="3"/>
        <v>8.3369999999999997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134</v>
      </c>
      <c r="B99" s="261">
        <v>484.28</v>
      </c>
      <c r="C99" s="261">
        <v>11</v>
      </c>
      <c r="D99" s="261">
        <v>54.95</v>
      </c>
      <c r="E99" s="260">
        <v>1</v>
      </c>
      <c r="F99" s="260"/>
      <c r="G99" s="260"/>
      <c r="H99" s="260"/>
      <c r="I99" s="53">
        <f t="shared" si="3"/>
        <v>8.4949999999999939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144</v>
      </c>
      <c r="B100" s="261">
        <v>514.94000000000005</v>
      </c>
      <c r="C100" s="261">
        <v>12</v>
      </c>
      <c r="D100" s="261">
        <v>56.01</v>
      </c>
      <c r="E100" s="260">
        <v>1</v>
      </c>
      <c r="F100" s="260"/>
      <c r="G100" s="260"/>
      <c r="H100" s="260"/>
      <c r="I100" s="53">
        <f t="shared" si="3"/>
        <v>8.561000000000007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154</v>
      </c>
      <c r="B101" s="261">
        <v>546.49</v>
      </c>
      <c r="C101" s="261">
        <v>13</v>
      </c>
      <c r="D101" s="261">
        <v>55.13</v>
      </c>
      <c r="E101" s="260">
        <v>1</v>
      </c>
      <c r="F101" s="260"/>
      <c r="G101" s="260"/>
      <c r="H101" s="260"/>
      <c r="I101" s="53">
        <f t="shared" si="3"/>
        <v>8.7559999999999949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>
        <v>164</v>
      </c>
      <c r="B102" s="261">
        <v>580.32000000000005</v>
      </c>
      <c r="C102" s="261">
        <v>14</v>
      </c>
      <c r="D102" s="261">
        <v>59.58</v>
      </c>
      <c r="E102" s="260">
        <v>1</v>
      </c>
      <c r="F102" s="260"/>
      <c r="G102" s="260"/>
      <c r="H102" s="260"/>
      <c r="I102" s="53">
        <f t="shared" si="3"/>
        <v>8.8960000000000043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>
        <v>174</v>
      </c>
      <c r="B103" s="257">
        <v>610.52</v>
      </c>
      <c r="C103" s="256">
        <v>15</v>
      </c>
      <c r="D103" s="256">
        <v>214.77</v>
      </c>
      <c r="E103" s="255">
        <v>1</v>
      </c>
      <c r="F103" s="255"/>
      <c r="G103" s="255"/>
      <c r="H103" s="255"/>
      <c r="I103" s="53">
        <f t="shared" si="3"/>
        <v>8.977999999999998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>
        <v>177</v>
      </c>
      <c r="B104" s="257">
        <v>388.94</v>
      </c>
      <c r="C104" s="256">
        <v>16</v>
      </c>
      <c r="D104" s="256">
        <v>115.19</v>
      </c>
      <c r="E104" s="255">
        <v>1</v>
      </c>
      <c r="F104" s="255"/>
      <c r="G104" s="255"/>
      <c r="H104" s="255"/>
      <c r="I104" s="53">
        <f t="shared" si="3"/>
        <v>-2.2700000000000009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>
        <v>180</v>
      </c>
      <c r="B105" s="257">
        <v>271.56</v>
      </c>
      <c r="C105" s="256">
        <v>17</v>
      </c>
      <c r="D105" s="256">
        <v>77.72</v>
      </c>
      <c r="E105" s="255">
        <v>1</v>
      </c>
      <c r="F105" s="255"/>
      <c r="G105" s="255"/>
      <c r="H105" s="255"/>
      <c r="I105" s="53">
        <f t="shared" si="3"/>
        <v>-0.72999999999999921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>
        <v>183</v>
      </c>
      <c r="B106" s="257">
        <v>191.47</v>
      </c>
      <c r="C106" s="256">
        <v>18</v>
      </c>
      <c r="D106" s="256">
        <v>169.76</v>
      </c>
      <c r="E106" s="255">
        <v>1</v>
      </c>
      <c r="F106" s="255"/>
      <c r="G106" s="255"/>
      <c r="H106" s="255"/>
      <c r="I106" s="53">
        <f t="shared" si="3"/>
        <v>-0.79000000000000148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Chêne rouge d'Amérique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10</v>
      </c>
      <c r="B114" s="261">
        <v>18</v>
      </c>
      <c r="C114" s="261"/>
      <c r="D114" s="261">
        <v>0</v>
      </c>
      <c r="E114" s="260"/>
      <c r="F114" s="260"/>
      <c r="G114" s="260"/>
      <c r="H114" s="260"/>
      <c r="I114" s="53">
        <f>IFERROR(B114/A114,"")</f>
        <v>1.8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15</v>
      </c>
      <c r="B115" s="261">
        <v>47</v>
      </c>
      <c r="C115" s="261"/>
      <c r="D115" s="261">
        <v>0</v>
      </c>
      <c r="E115" s="260"/>
      <c r="F115" s="260"/>
      <c r="G115" s="260"/>
      <c r="H115" s="260"/>
      <c r="I115" s="53">
        <f t="shared" ref="I115:I133" si="4">IF(A115&lt;&gt;0,(B115-(B114-D114))/(A115-A114),"")</f>
        <v>5.8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20</v>
      </c>
      <c r="B116" s="261">
        <v>87</v>
      </c>
      <c r="C116" s="261">
        <v>1</v>
      </c>
      <c r="D116" s="261">
        <v>29</v>
      </c>
      <c r="E116" s="260"/>
      <c r="F116" s="260"/>
      <c r="G116" s="260"/>
      <c r="H116" s="260">
        <v>1</v>
      </c>
      <c r="I116" s="53">
        <f t="shared" si="4"/>
        <v>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>
        <v>25</v>
      </c>
      <c r="B117" s="261">
        <v>98</v>
      </c>
      <c r="C117" s="261">
        <v>2</v>
      </c>
      <c r="D117" s="261">
        <v>19</v>
      </c>
      <c r="E117" s="260"/>
      <c r="F117" s="260"/>
      <c r="G117" s="260"/>
      <c r="H117" s="260">
        <v>1</v>
      </c>
      <c r="I117" s="53">
        <f t="shared" si="4"/>
        <v>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>
        <v>30</v>
      </c>
      <c r="B118" s="261">
        <v>119</v>
      </c>
      <c r="C118" s="261">
        <v>3</v>
      </c>
      <c r="D118" s="261">
        <v>20</v>
      </c>
      <c r="E118" s="260"/>
      <c r="F118" s="260"/>
      <c r="G118" s="260"/>
      <c r="H118" s="260">
        <v>1</v>
      </c>
      <c r="I118" s="53">
        <f t="shared" si="4"/>
        <v>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>
        <v>35</v>
      </c>
      <c r="B119" s="261">
        <v>135</v>
      </c>
      <c r="C119" s="261">
        <v>4</v>
      </c>
      <c r="D119" s="261">
        <v>20</v>
      </c>
      <c r="E119" s="260">
        <v>1</v>
      </c>
      <c r="F119" s="260"/>
      <c r="G119" s="260"/>
      <c r="H119" s="260"/>
      <c r="I119" s="53">
        <f t="shared" si="4"/>
        <v>7.2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>
        <v>40</v>
      </c>
      <c r="B120" s="261">
        <v>150</v>
      </c>
      <c r="C120" s="261">
        <v>5</v>
      </c>
      <c r="D120" s="261">
        <v>20</v>
      </c>
      <c r="E120" s="260">
        <v>1</v>
      </c>
      <c r="F120" s="260"/>
      <c r="G120" s="260"/>
      <c r="H120" s="260"/>
      <c r="I120" s="53">
        <f t="shared" si="4"/>
        <v>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>
        <v>45</v>
      </c>
      <c r="B121" s="261">
        <v>162</v>
      </c>
      <c r="C121" s="261">
        <v>6</v>
      </c>
      <c r="D121" s="261">
        <v>19</v>
      </c>
      <c r="E121" s="260">
        <v>1</v>
      </c>
      <c r="F121" s="260"/>
      <c r="G121" s="260"/>
      <c r="H121" s="260"/>
      <c r="I121" s="53">
        <f t="shared" si="4"/>
        <v>6.4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>
        <v>50</v>
      </c>
      <c r="B122" s="261">
        <v>173</v>
      </c>
      <c r="C122" s="261">
        <v>7</v>
      </c>
      <c r="D122" s="261">
        <v>18</v>
      </c>
      <c r="E122" s="260">
        <v>1</v>
      </c>
      <c r="F122" s="260"/>
      <c r="G122" s="260"/>
      <c r="H122" s="260"/>
      <c r="I122" s="53">
        <f t="shared" si="4"/>
        <v>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>
        <v>55</v>
      </c>
      <c r="B123" s="261">
        <v>181</v>
      </c>
      <c r="C123" s="261">
        <v>8</v>
      </c>
      <c r="D123" s="261">
        <v>17</v>
      </c>
      <c r="E123" s="260">
        <v>1</v>
      </c>
      <c r="F123" s="260"/>
      <c r="G123" s="260"/>
      <c r="H123" s="260"/>
      <c r="I123" s="53">
        <f t="shared" si="4"/>
        <v>5.2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>
        <v>60</v>
      </c>
      <c r="B124" s="261">
        <v>189</v>
      </c>
      <c r="C124" s="261">
        <v>9</v>
      </c>
      <c r="D124" s="261">
        <v>16</v>
      </c>
      <c r="E124" s="260">
        <v>1</v>
      </c>
      <c r="F124" s="260"/>
      <c r="G124" s="260"/>
      <c r="H124" s="260"/>
      <c r="I124" s="53">
        <f t="shared" si="4"/>
        <v>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>
        <v>65</v>
      </c>
      <c r="B125" s="261">
        <v>195</v>
      </c>
      <c r="C125" s="261">
        <v>10</v>
      </c>
      <c r="D125" s="261">
        <v>15</v>
      </c>
      <c r="E125" s="260">
        <v>1</v>
      </c>
      <c r="F125" s="260"/>
      <c r="G125" s="260"/>
      <c r="H125" s="260"/>
      <c r="I125" s="53">
        <f t="shared" si="4"/>
        <v>4.4000000000000004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>
        <v>70</v>
      </c>
      <c r="B126" s="261">
        <v>201</v>
      </c>
      <c r="C126" s="261">
        <v>11</v>
      </c>
      <c r="D126" s="261">
        <v>14</v>
      </c>
      <c r="E126" s="260">
        <v>1</v>
      </c>
      <c r="F126" s="260"/>
      <c r="G126" s="260"/>
      <c r="H126" s="260"/>
      <c r="I126" s="53">
        <f t="shared" si="4"/>
        <v>4.2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>
        <v>75</v>
      </c>
      <c r="B127" s="261">
        <v>204</v>
      </c>
      <c r="C127" s="261">
        <v>12</v>
      </c>
      <c r="D127" s="261">
        <v>12</v>
      </c>
      <c r="E127" s="260">
        <v>1</v>
      </c>
      <c r="F127" s="260"/>
      <c r="G127" s="260"/>
      <c r="H127" s="260"/>
      <c r="I127" s="53">
        <f t="shared" si="4"/>
        <v>3.4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>
        <v>80</v>
      </c>
      <c r="B128" s="261">
        <v>208</v>
      </c>
      <c r="C128" s="261">
        <v>13</v>
      </c>
      <c r="D128" s="261">
        <v>11</v>
      </c>
      <c r="E128" s="260">
        <v>1</v>
      </c>
      <c r="F128" s="260"/>
      <c r="G128" s="260"/>
      <c r="H128" s="260"/>
      <c r="I128" s="53">
        <f t="shared" si="4"/>
        <v>3.2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>
        <v>85</v>
      </c>
      <c r="B129" s="261">
        <v>211</v>
      </c>
      <c r="C129" s="261">
        <v>14</v>
      </c>
      <c r="D129" s="261">
        <v>10</v>
      </c>
      <c r="E129" s="260">
        <v>1</v>
      </c>
      <c r="F129" s="260"/>
      <c r="G129" s="260"/>
      <c r="H129" s="260"/>
      <c r="I129" s="53">
        <f t="shared" si="4"/>
        <v>2.8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>
        <v>90</v>
      </c>
      <c r="B130" s="261">
        <v>215</v>
      </c>
      <c r="C130" s="261">
        <v>15</v>
      </c>
      <c r="D130" s="261">
        <v>10</v>
      </c>
      <c r="E130" s="260">
        <v>1</v>
      </c>
      <c r="F130" s="260"/>
      <c r="G130" s="260"/>
      <c r="H130" s="260"/>
      <c r="I130" s="53">
        <f t="shared" si="4"/>
        <v>2.8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>
        <v>95</v>
      </c>
      <c r="B131" s="261">
        <v>219</v>
      </c>
      <c r="C131" s="261">
        <v>16</v>
      </c>
      <c r="D131" s="261">
        <v>11</v>
      </c>
      <c r="E131" s="260">
        <v>1</v>
      </c>
      <c r="F131" s="260"/>
      <c r="G131" s="260"/>
      <c r="H131" s="260"/>
      <c r="I131" s="53">
        <f t="shared" si="4"/>
        <v>2.8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>
        <v>100</v>
      </c>
      <c r="B132" s="261">
        <v>223</v>
      </c>
      <c r="C132" s="261">
        <v>17</v>
      </c>
      <c r="D132" s="261">
        <v>11</v>
      </c>
      <c r="E132" s="260">
        <v>1</v>
      </c>
      <c r="F132" s="260"/>
      <c r="G132" s="260"/>
      <c r="H132" s="260"/>
      <c r="I132" s="53">
        <f t="shared" si="4"/>
        <v>3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Châtaignier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15</v>
      </c>
      <c r="B140" s="60">
        <v>9</v>
      </c>
      <c r="C140" s="50"/>
      <c r="D140" s="60">
        <v>0</v>
      </c>
      <c r="E140" s="51"/>
      <c r="F140" s="51"/>
      <c r="G140" s="51"/>
      <c r="H140" s="51">
        <v>1</v>
      </c>
      <c r="I140" s="57">
        <f>IFERROR(B140/A140,"")</f>
        <v>0.6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20</v>
      </c>
      <c r="B141" s="60">
        <v>57</v>
      </c>
      <c r="C141" s="50">
        <v>1</v>
      </c>
      <c r="D141" s="60">
        <v>21</v>
      </c>
      <c r="E141" s="51"/>
      <c r="F141" s="51"/>
      <c r="G141" s="51"/>
      <c r="H141" s="51">
        <v>1</v>
      </c>
      <c r="I141" s="57">
        <f t="shared" ref="I141:I159" si="5">IF(A141&lt;&gt;0,(B141-(B140-D140))/(A141-A140),"")</f>
        <v>9.6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25</v>
      </c>
      <c r="B142" s="60">
        <v>86</v>
      </c>
      <c r="C142" s="50">
        <v>2</v>
      </c>
      <c r="D142" s="60">
        <v>21</v>
      </c>
      <c r="E142" s="51"/>
      <c r="F142" s="51"/>
      <c r="G142" s="51"/>
      <c r="H142" s="51">
        <v>1</v>
      </c>
      <c r="I142" s="57">
        <f t="shared" si="5"/>
        <v>10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30</v>
      </c>
      <c r="B143" s="60">
        <v>114</v>
      </c>
      <c r="C143" s="50">
        <v>3</v>
      </c>
      <c r="D143" s="60">
        <v>21</v>
      </c>
      <c r="E143" s="51"/>
      <c r="F143" s="51"/>
      <c r="G143" s="51"/>
      <c r="H143" s="51">
        <v>1</v>
      </c>
      <c r="I143" s="57">
        <f t="shared" si="5"/>
        <v>9.8000000000000007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35</v>
      </c>
      <c r="B144" s="60">
        <v>136</v>
      </c>
      <c r="C144" s="50">
        <v>4</v>
      </c>
      <c r="D144" s="60">
        <v>21</v>
      </c>
      <c r="E144" s="51">
        <v>1</v>
      </c>
      <c r="F144" s="51"/>
      <c r="G144" s="51"/>
      <c r="H144" s="51"/>
      <c r="I144" s="57">
        <f t="shared" si="5"/>
        <v>8.6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40</v>
      </c>
      <c r="B145" s="60">
        <v>153</v>
      </c>
      <c r="C145" s="50">
        <v>5</v>
      </c>
      <c r="D145" s="60">
        <v>21</v>
      </c>
      <c r="E145" s="51">
        <v>1</v>
      </c>
      <c r="F145" s="51"/>
      <c r="G145" s="51"/>
      <c r="H145" s="51"/>
      <c r="I145" s="57">
        <f t="shared" si="5"/>
        <v>7.6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45</v>
      </c>
      <c r="B146" s="60">
        <v>164</v>
      </c>
      <c r="C146" s="50">
        <v>6</v>
      </c>
      <c r="D146" s="60">
        <v>18</v>
      </c>
      <c r="E146" s="51">
        <v>1</v>
      </c>
      <c r="F146" s="51"/>
      <c r="G146" s="51"/>
      <c r="H146" s="51"/>
      <c r="I146" s="57">
        <f t="shared" si="5"/>
        <v>6.4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50</v>
      </c>
      <c r="B147" s="60">
        <v>174</v>
      </c>
      <c r="C147" s="50">
        <v>7</v>
      </c>
      <c r="D147" s="60">
        <v>13</v>
      </c>
      <c r="E147" s="51">
        <v>1</v>
      </c>
      <c r="F147" s="51"/>
      <c r="G147" s="51"/>
      <c r="H147" s="51"/>
      <c r="I147" s="57">
        <f>IF(A147&lt;&gt;0,(B147-(B146-D146))/(A147-A146),"")</f>
        <v>5.6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55</v>
      </c>
      <c r="B148" s="60">
        <v>185</v>
      </c>
      <c r="C148" s="50">
        <v>8</v>
      </c>
      <c r="D148" s="60">
        <v>11</v>
      </c>
      <c r="E148" s="51">
        <v>1</v>
      </c>
      <c r="F148" s="51"/>
      <c r="G148" s="51"/>
      <c r="H148" s="51"/>
      <c r="I148" s="57">
        <f t="shared" si="5"/>
        <v>4.8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60</v>
      </c>
      <c r="B149" s="60">
        <v>194</v>
      </c>
      <c r="C149" s="50">
        <v>9</v>
      </c>
      <c r="D149" s="60">
        <v>9</v>
      </c>
      <c r="E149" s="51">
        <v>1</v>
      </c>
      <c r="F149" s="51"/>
      <c r="G149" s="51"/>
      <c r="H149" s="51"/>
      <c r="I149" s="57">
        <f t="shared" si="5"/>
        <v>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65</v>
      </c>
      <c r="B150" s="60">
        <v>202</v>
      </c>
      <c r="C150" s="50">
        <v>10</v>
      </c>
      <c r="D150" s="60">
        <v>8</v>
      </c>
      <c r="E150" s="51">
        <v>1</v>
      </c>
      <c r="F150" s="51"/>
      <c r="G150" s="51"/>
      <c r="H150" s="51"/>
      <c r="I150" s="57">
        <f t="shared" si="5"/>
        <v>3.4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70</v>
      </c>
      <c r="B151" s="60">
        <v>209</v>
      </c>
      <c r="C151" s="50">
        <v>11</v>
      </c>
      <c r="D151" s="60">
        <v>8</v>
      </c>
      <c r="E151" s="51">
        <v>1</v>
      </c>
      <c r="F151" s="51"/>
      <c r="G151" s="51"/>
      <c r="H151" s="51"/>
      <c r="I151" s="57">
        <f t="shared" si="5"/>
        <v>3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75</v>
      </c>
      <c r="B152" s="60">
        <v>214</v>
      </c>
      <c r="C152" s="50">
        <v>12</v>
      </c>
      <c r="D152" s="60">
        <v>7</v>
      </c>
      <c r="E152" s="54">
        <v>1</v>
      </c>
      <c r="F152" s="54"/>
      <c r="G152" s="54"/>
      <c r="H152" s="54"/>
      <c r="I152" s="57">
        <f t="shared" si="5"/>
        <v>2.6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80</v>
      </c>
      <c r="B153" s="60">
        <v>219</v>
      </c>
      <c r="C153" s="50">
        <v>13</v>
      </c>
      <c r="D153" s="60">
        <v>6</v>
      </c>
      <c r="E153" s="54">
        <v>1</v>
      </c>
      <c r="F153" s="54"/>
      <c r="G153" s="54"/>
      <c r="H153" s="54"/>
      <c r="I153" s="57">
        <f t="shared" si="5"/>
        <v>2.4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1" zoomScale="115" zoomScaleNormal="115" workbookViewId="0">
      <selection activeCell="F15" sqref="F15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Pin taeda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Chêne sessile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Chêne rouge d'Amérique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>Châtaignier</v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148.39628895278571</v>
      </c>
      <c r="AO3" s="59">
        <f>IF('Données projet'!E10&gt;30,$AM$33-$H$33,LOOKUP('Données projet'!$E$10,$A$3:$A$203,AM3:AM203)-LOOKUP('Données projet'!$E$10,$A$3:$A$203,$H$3:$H$203))</f>
        <v>361.07991692964788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465.85201723964195</v>
      </c>
      <c r="BJ3" s="59">
        <f>IF('Données projet'!E11&gt;30,$BH$33-$H$33,LOOKUP('Données projet'!$E$11,$A$3:$A$203,BH3:BH203)-LOOKUP('Données projet'!$E$11,$A$3:$A$203,$H$3:$H$203))</f>
        <v>110.67325286443491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201.70120933876507</v>
      </c>
      <c r="CE3" s="59">
        <f>IF('Données projet'!E12&gt;30,$CC$33-$H$33,LOOKUP('Données projet'!$E$12,$A$3:$A$203,CC3:CC203)-LOOKUP('Données projet'!$E$12,$A$3:$A$203,$H$3:$H$203))</f>
        <v>188.1234063307752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141.13780344922503</v>
      </c>
      <c r="CZ3" s="59">
        <f>IF('Données projet'!E13&gt;30,$CX$33-$H$33,LOOKUP('Données projet'!$E$13,$A$3:$A$203,CX3:CX203)-LOOKUP('Données projet'!$E$13,$A$3:$A$203,$H$3:$H$203))</f>
        <v>144.12010599544237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7.5454545454545459</v>
      </c>
      <c r="AI4" s="13">
        <f>IF('Données projet'!$A$62&gt;35,AI3+AH4-AQ3,IF(A4&lt;'Données projet'!$A$62,$AF$205^A4,IF(A4='Données projet'!$A$62,'Données projet'!$B$62,AI3+AH4-AQ3)))</f>
        <v>1.4943820583928935</v>
      </c>
      <c r="AJ4" s="13">
        <f>AI4*VLOOKUP('Données projet'!$B$10,Paramètres!$A$1:$I$89,3,0)*VLOOKUP('Données projet'!$B$10,Paramètres!$A$1:$I$89,5,0)</f>
        <v>0.89364047091895038</v>
      </c>
      <c r="AK4" s="13">
        <f>EXP(-1.0587+0.8836*LN(AJ4)+0.284)</f>
        <v>0.41725306962072783</v>
      </c>
      <c r="AL4" s="20">
        <f t="shared" ref="AL4:AL67" si="4">(AJ4+AK4)*0.475*44/12</f>
        <v>2.2831395831066059</v>
      </c>
      <c r="AM4" s="59">
        <f t="shared" ref="AM4:AM67" si="5">AL4+(AD4+AE4)*44/12</f>
        <v>295.61647291643993</v>
      </c>
      <c r="AN4" s="59">
        <f ca="1">AVERAGE(OFFSET($AM$3,0,0,'Données projet'!$E$10+1,1))-AVERAGE(OFFSET($H$3,0,0,'Données projet'!$E$10+1,1))</f>
        <v>148.39628895278571</v>
      </c>
      <c r="AO4" s="59">
        <f>$AO$3</f>
        <v>361.07991692964788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2.5115384616666665</v>
      </c>
      <c r="BD4" s="12">
        <f>IF('Données projet'!$A$88&gt;35,BD3+BC4-BL3,IF(A4&lt;'Données projet'!$A$88,$BA$205^A4,IF(A4='Données projet'!$A$88,'Données projet'!$B$88,BD3+BC4-BL3)))</f>
        <v>1.1549646791293957</v>
      </c>
      <c r="BE4" s="13">
        <f>BD4*VLOOKUP('Données projet'!$B$11,Paramètres!$A$1:$I$89,3,0)*VLOOKUP('Données projet'!$B$11,Paramètres!$A$1:$I$89,5,0)</f>
        <v>1.0450120416762774</v>
      </c>
      <c r="BF4" s="13">
        <f>EXP(-1.0587+0.8836*LN(BE4)+0.284)</f>
        <v>0.4791236857711621</v>
      </c>
      <c r="BG4" s="20">
        <f t="shared" ref="BG4:BG67" si="7">(BE4+BF4)*0.475*44/12</f>
        <v>2.6545363919709568</v>
      </c>
      <c r="BH4" s="59">
        <f t="shared" ref="BH4:BH67" si="8">BG4+(AY4+AZ4)*44/12</f>
        <v>295.98786972530428</v>
      </c>
      <c r="BI4" s="59">
        <f ca="1">AVERAGE(OFFSET($BH$3,0,0,'Données projet'!$E$11+1,1))-AVERAGE(OFFSET($H$3,0,0,'Données projet'!$E$11+1,1))</f>
        <v>465.85201723964195</v>
      </c>
      <c r="BJ4" s="59">
        <f>$BJ$3</f>
        <v>110.67325286443491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1.8</v>
      </c>
      <c r="BY4" s="12">
        <f>IF('Données projet'!$A$114&gt;35,BY3+BX4-CG3,IF(A4&lt;'Données projet'!$A$114,$BV$205^A4,IF(A4='Données projet'!$A$114,'Données projet'!$B$114,BY3+BX4-CG3)))</f>
        <v>1.335141362540313</v>
      </c>
      <c r="BZ4" s="13">
        <f>BY4*VLOOKUP('Données projet'!$B$12,Paramètres!$A$1:$I$89,3,0)*VLOOKUP('Données projet'!$B$12,Paramètres!$A$1:$I$89,5,0)</f>
        <v>1.1663794943152175</v>
      </c>
      <c r="CA4" s="13">
        <f>EXP(-1.0587+0.8836*LN(BZ4)+0.284)</f>
        <v>0.52797307958445927</v>
      </c>
      <c r="CB4" s="20">
        <f t="shared" ref="CB4:CB67" si="10">(BZ4+CA4)*0.475*44/12</f>
        <v>2.9509973995419365</v>
      </c>
      <c r="CC4" s="59">
        <f t="shared" ref="CC4:CC67" si="11">CB4+(BT4+BU4)*44/12</f>
        <v>296.28433073287528</v>
      </c>
      <c r="CD4" s="59">
        <f ca="1">AVERAGE(OFFSET($CC$3,0,0,'Données projet'!$E$12+1,1))-AVERAGE(OFFSET($H$3,0,0,'Données projet'!$E$12+1,1))</f>
        <v>201.70120933876507</v>
      </c>
      <c r="CE4" s="59">
        <f>$CE$3</f>
        <v>188.1234063307752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0.6</v>
      </c>
      <c r="CT4" s="12">
        <f>IF('Données projet'!$A$140&gt;35,CT3+CS4-DB3,IF(A4&lt;'Données projet'!$A$140,$CQ$205^A4,IF(A4='Données projet'!$A$140,'Données projet'!$B$140,CT3+CS4-DB3)))</f>
        <v>1.1577536725165907</v>
      </c>
      <c r="CU4" s="17">
        <f>CT4*VLOOKUP('Données projet'!$B$13,Paramètres!$A$1:$I$89,3,0)*VLOOKUP('Données projet'!$B$13,Paramètres!$A$1:$I$89,5,0)</f>
        <v>0.84886499268916427</v>
      </c>
      <c r="CV4" s="13">
        <f>EXP(-1.0587+0.8836*LN(CU4)+0.284)</f>
        <v>0.39872537270470576</v>
      </c>
      <c r="CW4" s="20">
        <f t="shared" ref="CW4:CW67" si="13">(CU4+CV4)*0.475*44/12</f>
        <v>2.1728865530609904</v>
      </c>
      <c r="CX4" s="59">
        <f t="shared" ref="CX4:CX67" si="14">CW4+(CO4+CP4)*44/12</f>
        <v>295.50621988639432</v>
      </c>
      <c r="CY4" s="59">
        <f ca="1">AVERAGE(OFFSET($CX$3,0,0,'Données projet'!$E$13+1,1))-AVERAGE(OFFSET($H$3,0,0,'Données projet'!$E$13+1,1))</f>
        <v>141.13780344922503</v>
      </c>
      <c r="CZ4" s="59">
        <f>$CZ$3</f>
        <v>144.12010599544237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7.5454545454545459</v>
      </c>
      <c r="AI5" s="13">
        <f>IF('Données projet'!$A$62&gt;35,AI4+AH5-AQ4,IF(A5&lt;'Données projet'!$A$62,$AF$205^A5,IF(A5='Données projet'!$A$62,'Données projet'!$B$62,AI4+AH5-AQ4)))</f>
        <v>2.2331777364465815</v>
      </c>
      <c r="AJ5" s="13">
        <f>AI5*VLOOKUP('Données projet'!$B$10,Paramètres!$A$1:$I$89,3,0)*VLOOKUP('Données projet'!$B$10,Paramètres!$A$1:$I$89,5,0)</f>
        <v>1.3354402863950559</v>
      </c>
      <c r="AK5" s="13">
        <f t="shared" ref="AK5:AK68" si="35">EXP(-1.0587+0.8836*LN(AJ5)+0.284)</f>
        <v>0.59505053454406853</v>
      </c>
      <c r="AL5" s="20">
        <f t="shared" si="4"/>
        <v>3.3622715131356418</v>
      </c>
      <c r="AM5" s="59">
        <f t="shared" si="5"/>
        <v>296.69560484646894</v>
      </c>
      <c r="AN5" s="59">
        <f ca="1">AVERAGE(OFFSET($AM$3,0,0,'Données projet'!$E$10+1,1))-AVERAGE(OFFSET($H$3,0,0,'Données projet'!$E$10+1,1))</f>
        <v>148.39628895278571</v>
      </c>
      <c r="AO5" s="59">
        <f t="shared" ref="AO5:AO68" si="36">$AO$3</f>
        <v>361.07991692964788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2.5115384616666665</v>
      </c>
      <c r="BD5" s="12">
        <f>IF('Données projet'!$A$88&gt;35,BD4+BC5-BL4,IF(A5&lt;'Données projet'!$A$88,$BA$205^A5,IF(A5='Données projet'!$A$88,'Données projet'!$B$88,BD4+BC5-BL4)))</f>
        <v>1.333943410036468</v>
      </c>
      <c r="BE5" s="13">
        <f>BD5*VLOOKUP('Données projet'!$B$11,Paramètres!$A$1:$I$89,3,0)*VLOOKUP('Données projet'!$B$11,Paramètres!$A$1:$I$89,5,0)</f>
        <v>1.2069519974009961</v>
      </c>
      <c r="BF5" s="13">
        <f t="shared" ref="BF5:BF68" si="37">EXP(-1.0587+0.8836*LN(BE5)+0.284)</f>
        <v>0.54416843549908334</v>
      </c>
      <c r="BG5" s="20">
        <f t="shared" si="7"/>
        <v>3.0498680873009718</v>
      </c>
      <c r="BH5" s="59">
        <f t="shared" si="8"/>
        <v>296.38320142063429</v>
      </c>
      <c r="BI5" s="59">
        <f ca="1">AVERAGE(OFFSET($BH$3,0,0,'Données projet'!$E$11+1,1))-AVERAGE(OFFSET($H$3,0,0,'Données projet'!$E$11+1,1))</f>
        <v>465.85201723964195</v>
      </c>
      <c r="BJ5" s="59">
        <f t="shared" ref="BJ5:BJ68" si="38">$BJ$3</f>
        <v>110.67325286443491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1.8</v>
      </c>
      <c r="BY5" s="12">
        <f>IF('Données projet'!$A$114&gt;35,BY4+BX5-CG4,IF(A5&lt;'Données projet'!$A$114,$BV$205^A5,IF(A5='Données projet'!$A$114,'Données projet'!$B$114,BY4+BX5-CG4)))</f>
        <v>1.7826024579660036</v>
      </c>
      <c r="BZ5" s="13">
        <f>BY5*VLOOKUP('Données projet'!$B$12,Paramètres!$A$1:$I$89,3,0)*VLOOKUP('Données projet'!$B$12,Paramètres!$A$1:$I$89,5,0)</f>
        <v>1.5572815072791011</v>
      </c>
      <c r="CA5" s="13">
        <f t="shared" ref="CA5:CA68" si="39">EXP(-1.0587+0.8836*LN(BZ5)+0.284)</f>
        <v>0.68159698037116012</v>
      </c>
      <c r="CB5" s="20">
        <f t="shared" si="10"/>
        <v>3.8993800326575379</v>
      </c>
      <c r="CC5" s="59">
        <f t="shared" si="11"/>
        <v>297.23271336599083</v>
      </c>
      <c r="CD5" s="59">
        <f ca="1">AVERAGE(OFFSET($CC$3,0,0,'Données projet'!$E$12+1,1))-AVERAGE(OFFSET($H$3,0,0,'Données projet'!$E$12+1,1))</f>
        <v>201.70120933876507</v>
      </c>
      <c r="CE5" s="59">
        <f t="shared" ref="CE5:CE68" si="40">$CE$3</f>
        <v>188.1234063307752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0.6</v>
      </c>
      <c r="CT5" s="12">
        <f>IF('Données projet'!$A$140&gt;35,CT4+CS5-DB4,IF(A5&lt;'Données projet'!$A$140,$CQ$205^A5,IF(A5='Données projet'!$A$140,'Données projet'!$B$140,CT4+CS5-DB4)))</f>
        <v>1.340393566225653</v>
      </c>
      <c r="CU5" s="17">
        <f>CT5*VLOOKUP('Données projet'!$B$13,Paramètres!$A$1:$I$89,3,0)*VLOOKUP('Données projet'!$B$13,Paramètres!$A$1:$I$89,5,0)</f>
        <v>0.98277656275664871</v>
      </c>
      <c r="CV5" s="13">
        <f t="shared" ref="CV5:CV68" si="41">EXP(-1.0587+0.8836*LN(CU5)+0.284)</f>
        <v>0.45382155345822645</v>
      </c>
      <c r="CW5" s="20">
        <f t="shared" si="13"/>
        <v>2.5020750524075739</v>
      </c>
      <c r="CX5" s="59">
        <f t="shared" si="14"/>
        <v>295.83540838574089</v>
      </c>
      <c r="CY5" s="59">
        <f ca="1">AVERAGE(OFFSET($CX$3,0,0,'Données projet'!$E$13+1,1))-AVERAGE(OFFSET($H$3,0,0,'Données projet'!$E$13+1,1))</f>
        <v>141.13780344922503</v>
      </c>
      <c r="CZ5" s="59">
        <f t="shared" ref="CZ5:CZ68" si="42">$CZ$3</f>
        <v>144.12010599544237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7.5454545454545459</v>
      </c>
      <c r="AI6" s="13">
        <f>IF('Données projet'!$A$62&gt;35,AI5+AH6-AQ5,IF(A6&lt;'Données projet'!$A$62,$AF$205^A6,IF(A6='Données projet'!$A$62,'Données projet'!$B$62,AI5+AH6-AQ5)))</f>
        <v>3.337220742548225</v>
      </c>
      <c r="AJ6" s="13">
        <f>AI6*VLOOKUP('Données projet'!$B$10,Paramètres!$A$1:$I$89,3,0)*VLOOKUP('Données projet'!$B$10,Paramètres!$A$1:$I$89,5,0)</f>
        <v>1.9956580040438385</v>
      </c>
      <c r="AK6" s="13">
        <f t="shared" si="35"/>
        <v>0.84861002696285914</v>
      </c>
      <c r="AL6" s="20">
        <f t="shared" si="4"/>
        <v>4.9537668206699985</v>
      </c>
      <c r="AM6" s="59">
        <f t="shared" si="5"/>
        <v>298.28710015400333</v>
      </c>
      <c r="AN6" s="59">
        <f ca="1">AVERAGE(OFFSET($AM$3,0,0,'Données projet'!$E$10+1,1))-AVERAGE(OFFSET($H$3,0,0,'Données projet'!$E$10+1,1))</f>
        <v>148.39628895278571</v>
      </c>
      <c r="AO6" s="59">
        <f t="shared" si="36"/>
        <v>361.07991692964788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2.5115384616666665</v>
      </c>
      <c r="BD6" s="12">
        <f>IF('Données projet'!$A$88&gt;35,BD5+BC6-BL5,IF(A6&lt;'Données projet'!$A$88,$BA$205^A6,IF(A6='Données projet'!$A$88,'Données projet'!$B$88,BD5+BC6-BL5)))</f>
        <v>1.5406575225495411</v>
      </c>
      <c r="BE6" s="13">
        <f>BD6*VLOOKUP('Données projet'!$B$11,Paramètres!$A$1:$I$89,3,0)*VLOOKUP('Données projet'!$B$11,Paramètres!$A$1:$I$89,5,0)</f>
        <v>1.3939869264028248</v>
      </c>
      <c r="BF6" s="13">
        <f t="shared" si="37"/>
        <v>0.61804351358023235</v>
      </c>
      <c r="BG6" s="20">
        <f t="shared" si="7"/>
        <v>3.5042863496371583</v>
      </c>
      <c r="BH6" s="59">
        <f t="shared" si="8"/>
        <v>296.83761968297046</v>
      </c>
      <c r="BI6" s="59">
        <f ca="1">AVERAGE(OFFSET($BH$3,0,0,'Données projet'!$E$11+1,1))-AVERAGE(OFFSET($H$3,0,0,'Données projet'!$E$11+1,1))</f>
        <v>465.85201723964195</v>
      </c>
      <c r="BJ6" s="59">
        <f t="shared" si="38"/>
        <v>110.67325286443491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1.8</v>
      </c>
      <c r="BY6" s="12">
        <f>IF('Données projet'!$A$114&gt;35,BY5+BX6-CG5,IF(A6&lt;'Données projet'!$A$114,$BV$205^A6,IF(A6='Données projet'!$A$114,'Données projet'!$B$114,BY5+BX6-CG5)))</f>
        <v>2.3800262745964411</v>
      </c>
      <c r="BZ6" s="13">
        <f>BY6*VLOOKUP('Données projet'!$B$12,Paramètres!$A$1:$I$89,3,0)*VLOOKUP('Données projet'!$B$12,Paramètres!$A$1:$I$89,5,0)</f>
        <v>2.0791909534874513</v>
      </c>
      <c r="CA6" s="13">
        <f t="shared" si="39"/>
        <v>0.87992070356451979</v>
      </c>
      <c r="CB6" s="20">
        <f t="shared" si="10"/>
        <v>5.1537861360321822</v>
      </c>
      <c r="CC6" s="59">
        <f t="shared" si="11"/>
        <v>298.4871194693655</v>
      </c>
      <c r="CD6" s="59">
        <f ca="1">AVERAGE(OFFSET($CC$3,0,0,'Données projet'!$E$12+1,1))-AVERAGE(OFFSET($H$3,0,0,'Données projet'!$E$12+1,1))</f>
        <v>201.70120933876507</v>
      </c>
      <c r="CE6" s="59">
        <f t="shared" si="40"/>
        <v>188.1234063307752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0.6</v>
      </c>
      <c r="CT6" s="12">
        <f>IF('Données projet'!$A$140&gt;35,CT5+CS6-DB5,IF(A6&lt;'Données projet'!$A$140,$CQ$205^A6,IF(A6='Données projet'!$A$140,'Données projet'!$B$140,CT5+CS6-DB5)))</f>
        <v>1.5518455739153598</v>
      </c>
      <c r="CU6" s="17">
        <f>CT6*VLOOKUP('Données projet'!$B$13,Paramètres!$A$1:$I$89,3,0)*VLOOKUP('Données projet'!$B$13,Paramètres!$A$1:$I$89,5,0)</f>
        <v>1.137813174794742</v>
      </c>
      <c r="CV6" s="13">
        <f t="shared" si="41"/>
        <v>0.51653096713202284</v>
      </c>
      <c r="CW6" s="20">
        <f t="shared" si="13"/>
        <v>2.8813160471891153</v>
      </c>
      <c r="CX6" s="59">
        <f t="shared" si="14"/>
        <v>296.21464938052242</v>
      </c>
      <c r="CY6" s="59">
        <f ca="1">AVERAGE(OFFSET($CX$3,0,0,'Données projet'!$E$13+1,1))-AVERAGE(OFFSET($H$3,0,0,'Données projet'!$E$13+1,1))</f>
        <v>141.13780344922503</v>
      </c>
      <c r="CZ6" s="59">
        <f t="shared" si="42"/>
        <v>144.12010599544237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7.5454545454545459</v>
      </c>
      <c r="AI7" s="13">
        <f>IF('Données projet'!$A$62&gt;35,AI6+AH7-AQ6,IF(A7&lt;'Données projet'!$A$62,$AF$205^A7,IF(A7='Données projet'!$A$62,'Données projet'!$B$62,AI6+AH7-AQ6)))</f>
        <v>4.9870828025606775</v>
      </c>
      <c r="AJ7" s="13">
        <f>AI7*VLOOKUP('Données projet'!$B$10,Paramètres!$A$1:$I$89,3,0)*VLOOKUP('Données projet'!$B$10,Paramètres!$A$1:$I$89,5,0)</f>
        <v>2.9822755159312857</v>
      </c>
      <c r="AK7" s="13">
        <f t="shared" si="35"/>
        <v>1.2102148238782438</v>
      </c>
      <c r="AL7" s="20">
        <f t="shared" si="4"/>
        <v>7.3019206751682626</v>
      </c>
      <c r="AM7" s="59">
        <f t="shared" si="5"/>
        <v>300.63525400850159</v>
      </c>
      <c r="AN7" s="59">
        <f ca="1">AVERAGE(OFFSET($AM$3,0,0,'Données projet'!$E$10+1,1))-AVERAGE(OFFSET($H$3,0,0,'Données projet'!$E$10+1,1))</f>
        <v>148.39628895278571</v>
      </c>
      <c r="AO7" s="59">
        <f t="shared" si="36"/>
        <v>361.07991692964788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2.5115384616666665</v>
      </c>
      <c r="BD7" s="12">
        <f>IF('Données projet'!$A$88&gt;35,BD6+BC7-BL6,IF(A7&lt;'Données projet'!$A$88,$BA$205^A7,IF(A7='Données projet'!$A$88,'Données projet'!$B$88,BD6+BC7-BL6)))</f>
        <v>1.7794050211797205</v>
      </c>
      <c r="BE7" s="13">
        <f>BD7*VLOOKUP('Données projet'!$B$11,Paramètres!$A$1:$I$89,3,0)*VLOOKUP('Données projet'!$B$11,Paramètres!$A$1:$I$89,5,0)</f>
        <v>1.610005663163411</v>
      </c>
      <c r="BF7" s="13">
        <f t="shared" si="37"/>
        <v>0.70194770545312557</v>
      </c>
      <c r="BG7" s="20">
        <f t="shared" si="7"/>
        <v>4.0266521170071341</v>
      </c>
      <c r="BH7" s="59">
        <f t="shared" si="8"/>
        <v>297.35998545034045</v>
      </c>
      <c r="BI7" s="59">
        <f ca="1">AVERAGE(OFFSET($BH$3,0,0,'Données projet'!$E$11+1,1))-AVERAGE(OFFSET($H$3,0,0,'Données projet'!$E$11+1,1))</f>
        <v>465.85201723964195</v>
      </c>
      <c r="BJ7" s="59">
        <f t="shared" si="38"/>
        <v>110.67325286443491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1.8</v>
      </c>
      <c r="BY7" s="12">
        <f>IF('Données projet'!$A$114&gt;35,BY6+BX7-CG6,IF(A7&lt;'Données projet'!$A$114,$BV$205^A7,IF(A7='Données projet'!$A$114,'Données projet'!$B$114,BY6+BX7-CG6)))</f>
        <v>3.1776715231464374</v>
      </c>
      <c r="BZ7" s="13">
        <f>BY7*VLOOKUP('Données projet'!$B$12,Paramètres!$A$1:$I$89,3,0)*VLOOKUP('Données projet'!$B$12,Paramètres!$A$1:$I$89,5,0)</f>
        <v>2.7760138426207281</v>
      </c>
      <c r="CA7" s="13">
        <f t="shared" si="39"/>
        <v>1.135950520408497</v>
      </c>
      <c r="CB7" s="20">
        <f t="shared" si="10"/>
        <v>6.8133379322758998</v>
      </c>
      <c r="CC7" s="59">
        <f t="shared" si="11"/>
        <v>300.1466712656092</v>
      </c>
      <c r="CD7" s="59">
        <f ca="1">AVERAGE(OFFSET($CC$3,0,0,'Données projet'!$E$12+1,1))-AVERAGE(OFFSET($H$3,0,0,'Données projet'!$E$12+1,1))</f>
        <v>201.70120933876507</v>
      </c>
      <c r="CE7" s="59">
        <f t="shared" si="40"/>
        <v>188.1234063307752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0.6</v>
      </c>
      <c r="CT7" s="12">
        <f>IF('Données projet'!$A$140&gt;35,CT6+CS7-DB6,IF(A7&lt;'Données projet'!$A$140,$CQ$205^A7,IF(A7='Données projet'!$A$140,'Données projet'!$B$140,CT6+CS7-DB6)))</f>
        <v>1.796654912379124</v>
      </c>
      <c r="CU7" s="17">
        <f>CT7*VLOOKUP('Données projet'!$B$13,Paramètres!$A$1:$I$89,3,0)*VLOOKUP('Données projet'!$B$13,Paramètres!$A$1:$I$89,5,0)</f>
        <v>1.3173073817563736</v>
      </c>
      <c r="CV7" s="13">
        <f t="shared" si="41"/>
        <v>0.58790561614632908</v>
      </c>
      <c r="CW7" s="20">
        <f t="shared" si="13"/>
        <v>3.3182459713472077</v>
      </c>
      <c r="CX7" s="59">
        <f t="shared" si="14"/>
        <v>296.65157930468052</v>
      </c>
      <c r="CY7" s="59">
        <f ca="1">AVERAGE(OFFSET($CX$3,0,0,'Données projet'!$E$13+1,1))-AVERAGE(OFFSET($H$3,0,0,'Données projet'!$E$13+1,1))</f>
        <v>141.13780344922503</v>
      </c>
      <c r="CZ7" s="59">
        <f t="shared" si="42"/>
        <v>144.12010599544237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7.5454545454545459</v>
      </c>
      <c r="AI8" s="13">
        <f>IF('Données projet'!$A$62&gt;35,AI7+AH8-AQ7,IF(A8&lt;'Données projet'!$A$62,$AF$205^A8,IF(A8='Données projet'!$A$62,'Données projet'!$B$62,AI7+AH8-AQ7)))</f>
        <v>7.4526070638664255</v>
      </c>
      <c r="AJ8" s="13">
        <f>AI8*VLOOKUP('Données projet'!$B$10,Paramètres!$A$1:$I$89,3,0)*VLOOKUP('Données projet'!$B$10,Paramètres!$A$1:$I$89,5,0)</f>
        <v>4.4566590241921231</v>
      </c>
      <c r="AK8" s="13">
        <f t="shared" si="35"/>
        <v>1.7259045655829262</v>
      </c>
      <c r="AL8" s="20">
        <f t="shared" si="4"/>
        <v>10.76796491885821</v>
      </c>
      <c r="AM8" s="59">
        <f t="shared" si="5"/>
        <v>304.1012982521915</v>
      </c>
      <c r="AN8" s="59">
        <f ca="1">AVERAGE(OFFSET($AM$3,0,0,'Données projet'!$E$10+1,1))-AVERAGE(OFFSET($H$3,0,0,'Données projet'!$E$10+1,1))</f>
        <v>148.39628895278571</v>
      </c>
      <c r="AO8" s="59">
        <f t="shared" si="36"/>
        <v>361.07991692964788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2.5115384616666665</v>
      </c>
      <c r="BD8" s="12">
        <f>IF('Données projet'!$A$88&gt;35,BD7+BC8-BL7,IF(A8&lt;'Données projet'!$A$88,$BA$205^A8,IF(A8='Données projet'!$A$88,'Données projet'!$B$88,BD7+BC8-BL7)))</f>
        <v>2.0551499493280714</v>
      </c>
      <c r="BE8" s="13">
        <f>BD8*VLOOKUP('Données projet'!$B$11,Paramètres!$A$1:$I$89,3,0)*VLOOKUP('Données projet'!$B$11,Paramètres!$A$1:$I$89,5,0)</f>
        <v>1.8594996741520389</v>
      </c>
      <c r="BF8" s="13">
        <f t="shared" si="37"/>
        <v>0.79724254096057801</v>
      </c>
      <c r="BG8" s="20">
        <f t="shared" si="7"/>
        <v>4.6271593579878081</v>
      </c>
      <c r="BH8" s="59">
        <f t="shared" si="8"/>
        <v>297.96049269132112</v>
      </c>
      <c r="BI8" s="59">
        <f ca="1">AVERAGE(OFFSET($BH$3,0,0,'Données projet'!$E$11+1,1))-AVERAGE(OFFSET($H$3,0,0,'Données projet'!$E$11+1,1))</f>
        <v>465.85201723964195</v>
      </c>
      <c r="BJ8" s="59">
        <f t="shared" si="38"/>
        <v>110.67325286443491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1.8</v>
      </c>
      <c r="BY8" s="12">
        <f>IF('Données projet'!$A$114&gt;35,BY7+BX8-CG7,IF(A8&lt;'Données projet'!$A$114,$BV$205^A8,IF(A8='Données projet'!$A$114,'Données projet'!$B$114,BY7+BX8-CG7)))</f>
        <v>4.2426406871192865</v>
      </c>
      <c r="BZ8" s="13">
        <f>BY8*VLOOKUP('Données projet'!$B$12,Paramètres!$A$1:$I$89,3,0)*VLOOKUP('Données projet'!$B$12,Paramètres!$A$1:$I$89,5,0)</f>
        <v>3.7063709042674091</v>
      </c>
      <c r="CA8" s="13">
        <f t="shared" si="39"/>
        <v>1.4664771263922398</v>
      </c>
      <c r="CB8" s="20">
        <f t="shared" si="10"/>
        <v>9.0093769867322209</v>
      </c>
      <c r="CC8" s="59">
        <f t="shared" si="11"/>
        <v>302.34271032006552</v>
      </c>
      <c r="CD8" s="59">
        <f ca="1">AVERAGE(OFFSET($CC$3,0,0,'Données projet'!$E$12+1,1))-AVERAGE(OFFSET($H$3,0,0,'Données projet'!$E$12+1,1))</f>
        <v>201.70120933876507</v>
      </c>
      <c r="CE8" s="59">
        <f t="shared" si="40"/>
        <v>188.1234063307752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0.6</v>
      </c>
      <c r="CT8" s="12">
        <f>IF('Données projet'!$A$140&gt;35,CT7+CS8-DB7,IF(A8&lt;'Données projet'!$A$140,$CQ$205^A8,IF(A8='Données projet'!$A$140,'Données projet'!$B$140,CT7+CS8-DB7)))</f>
        <v>2.0800838230519041</v>
      </c>
      <c r="CU8" s="17">
        <f>CT8*VLOOKUP('Données projet'!$B$13,Paramètres!$A$1:$I$89,3,0)*VLOOKUP('Données projet'!$B$13,Paramètres!$A$1:$I$89,5,0)</f>
        <v>1.5251174590616561</v>
      </c>
      <c r="CV8" s="13">
        <f t="shared" si="41"/>
        <v>0.66914286943042611</v>
      </c>
      <c r="CW8" s="20">
        <f t="shared" si="13"/>
        <v>3.8216700721237102</v>
      </c>
      <c r="CX8" s="59">
        <f t="shared" si="14"/>
        <v>297.15500340545702</v>
      </c>
      <c r="CY8" s="59">
        <f ca="1">AVERAGE(OFFSET($CX$3,0,0,'Données projet'!$E$13+1,1))-AVERAGE(OFFSET($H$3,0,0,'Données projet'!$E$13+1,1))</f>
        <v>141.13780344922503</v>
      </c>
      <c r="CZ8" s="59">
        <f t="shared" si="42"/>
        <v>144.12010599544237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7.5454545454545459</v>
      </c>
      <c r="AI9" s="13">
        <f>IF('Données projet'!$A$62&gt;35,AI8+AH9-AQ8,IF(A9&lt;'Données projet'!$A$62,$AF$205^A9,IF(A9='Données projet'!$A$62,'Données projet'!$B$62,AI8+AH9-AQ8)))</f>
        <v>11.137042284494127</v>
      </c>
      <c r="AJ9" s="13">
        <f>AI9*VLOOKUP('Données projet'!$B$10,Paramètres!$A$1:$I$89,3,0)*VLOOKUP('Données projet'!$B$10,Paramètres!$A$1:$I$89,5,0)</f>
        <v>6.6599512861274883</v>
      </c>
      <c r="AK9" s="13">
        <f t="shared" si="35"/>
        <v>2.461337037629669</v>
      </c>
      <c r="AL9" s="20">
        <f t="shared" si="4"/>
        <v>15.886243830543714</v>
      </c>
      <c r="AM9" s="59">
        <f t="shared" si="5"/>
        <v>309.21957716387703</v>
      </c>
      <c r="AN9" s="59">
        <f ca="1">AVERAGE(OFFSET($AM$3,0,0,'Données projet'!$E$10+1,1))-AVERAGE(OFFSET($H$3,0,0,'Données projet'!$E$10+1,1))</f>
        <v>148.39628895278571</v>
      </c>
      <c r="AO9" s="59">
        <f t="shared" si="36"/>
        <v>361.07991692964788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2.5115384616666665</v>
      </c>
      <c r="BD9" s="12">
        <f>IF('Données projet'!$A$88&gt;35,BD8+BC9-BL8,IF(A9&lt;'Données projet'!$A$88,$BA$205^A9,IF(A9='Données projet'!$A$88,'Données projet'!$B$88,BD8+BC9-BL8)))</f>
        <v>2.3736256017884898</v>
      </c>
      <c r="BE9" s="13">
        <f>BD9*VLOOKUP('Données projet'!$B$11,Paramètres!$A$1:$I$89,3,0)*VLOOKUP('Données projet'!$B$11,Paramètres!$A$1:$I$89,5,0)</f>
        <v>2.1476564444982258</v>
      </c>
      <c r="BF9" s="13">
        <f t="shared" si="37"/>
        <v>0.9054743881625561</v>
      </c>
      <c r="BG9" s="20">
        <f t="shared" si="7"/>
        <v>5.3175362002175284</v>
      </c>
      <c r="BH9" s="59">
        <f t="shared" si="8"/>
        <v>298.65086953355086</v>
      </c>
      <c r="BI9" s="59">
        <f ca="1">AVERAGE(OFFSET($BH$3,0,0,'Données projet'!$E$11+1,1))-AVERAGE(OFFSET($H$3,0,0,'Données projet'!$E$11+1,1))</f>
        <v>465.85201723964195</v>
      </c>
      <c r="BJ9" s="59">
        <f t="shared" si="38"/>
        <v>110.67325286443491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1.8</v>
      </c>
      <c r="BY9" s="12">
        <f>IF('Données projet'!$A$114&gt;35,BY8+BX9-CG8,IF(A9&lt;'Données projet'!$A$114,$BV$205^A9,IF(A9='Données projet'!$A$114,'Données projet'!$B$114,BY8+BX9-CG8)))</f>
        <v>5.6645250677694134</v>
      </c>
      <c r="BZ9" s="13">
        <f>BY9*VLOOKUP('Données projet'!$B$12,Paramètres!$A$1:$I$89,3,0)*VLOOKUP('Données projet'!$B$12,Paramètres!$A$1:$I$89,5,0)</f>
        <v>4.9485290992033608</v>
      </c>
      <c r="CA9" s="13">
        <f t="shared" si="39"/>
        <v>1.8931767921179217</v>
      </c>
      <c r="CB9" s="20">
        <f t="shared" si="10"/>
        <v>11.915971094051232</v>
      </c>
      <c r="CC9" s="59">
        <f t="shared" si="11"/>
        <v>305.24930442738457</v>
      </c>
      <c r="CD9" s="59">
        <f ca="1">AVERAGE(OFFSET($CC$3,0,0,'Données projet'!$E$12+1,1))-AVERAGE(OFFSET($H$3,0,0,'Données projet'!$E$12+1,1))</f>
        <v>201.70120933876507</v>
      </c>
      <c r="CE9" s="59">
        <f t="shared" si="40"/>
        <v>188.1234063307752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0.6</v>
      </c>
      <c r="CT9" s="12">
        <f>IF('Données projet'!$A$140&gt;35,CT8+CS9-DB8,IF(A9&lt;'Données projet'!$A$140,$CQ$205^A9,IF(A9='Données projet'!$A$140,'Données projet'!$B$140,CT8+CS9-DB8)))</f>
        <v>2.4082246852806919</v>
      </c>
      <c r="CU9" s="17">
        <f>CT9*VLOOKUP('Données projet'!$B$13,Paramètres!$A$1:$I$89,3,0)*VLOOKUP('Données projet'!$B$13,Paramètres!$A$1:$I$89,5,0)</f>
        <v>1.7657103392478033</v>
      </c>
      <c r="CV9" s="13">
        <f t="shared" si="41"/>
        <v>0.7616055492794257</v>
      </c>
      <c r="CW9" s="20">
        <f t="shared" si="13"/>
        <v>4.4017418391849237</v>
      </c>
      <c r="CX9" s="59">
        <f t="shared" si="14"/>
        <v>297.73507517251824</v>
      </c>
      <c r="CY9" s="59">
        <f ca="1">AVERAGE(OFFSET($CX$3,0,0,'Données projet'!$E$13+1,1))-AVERAGE(OFFSET($H$3,0,0,'Données projet'!$E$13+1,1))</f>
        <v>141.13780344922503</v>
      </c>
      <c r="CZ9" s="59">
        <f t="shared" si="42"/>
        <v>144.12010599544237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7.5454545454545459</v>
      </c>
      <c r="AI10" s="13">
        <f>IF('Données projet'!$A$62&gt;35,AI9+AH10-AQ9,IF(A10&lt;'Données projet'!$A$62,$AF$205^A10,IF(A10='Données projet'!$A$62,'Données projet'!$B$62,AI9+AH10-AQ9)))</f>
        <v>16.642996173511026</v>
      </c>
      <c r="AJ10" s="13">
        <f>AI10*VLOOKUP('Données projet'!$B$10,Paramètres!$A$1:$I$89,3,0)*VLOOKUP('Données projet'!$B$10,Paramètres!$A$1:$I$89,5,0)</f>
        <v>9.9525117117595947</v>
      </c>
      <c r="AK10" s="13">
        <f t="shared" si="35"/>
        <v>3.5101477414317164</v>
      </c>
      <c r="AL10" s="20">
        <f t="shared" si="4"/>
        <v>23.447465214308199</v>
      </c>
      <c r="AM10" s="59">
        <f t="shared" si="5"/>
        <v>316.7807985476415</v>
      </c>
      <c r="AN10" s="59">
        <f ca="1">AVERAGE(OFFSET($AM$3,0,0,'Données projet'!$E$10+1,1))-AVERAGE(OFFSET($H$3,0,0,'Données projet'!$E$10+1,1))</f>
        <v>148.39628895278571</v>
      </c>
      <c r="AO10" s="59">
        <f t="shared" si="36"/>
        <v>361.07991692964788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2.5115384616666665</v>
      </c>
      <c r="BD10" s="12">
        <f>IF('Données projet'!$A$88&gt;35,BD9+BC10-BL9,IF(A10&lt;'Données projet'!$A$88,$BA$205^A10,IF(A10='Données projet'!$A$88,'Données projet'!$B$88,BD9+BC10-BL9)))</f>
        <v>2.7414537315429621</v>
      </c>
      <c r="BE10" s="13">
        <f>BD10*VLOOKUP('Données projet'!$B$11,Paramètres!$A$1:$I$89,3,0)*VLOOKUP('Données projet'!$B$11,Paramètres!$A$1:$I$89,5,0)</f>
        <v>2.4804673363000722</v>
      </c>
      <c r="BF10" s="13">
        <f t="shared" si="37"/>
        <v>1.0283995465551767</v>
      </c>
      <c r="BG10" s="20">
        <f t="shared" si="7"/>
        <v>6.1112764876395573</v>
      </c>
      <c r="BH10" s="59">
        <f t="shared" si="8"/>
        <v>299.44460982097286</v>
      </c>
      <c r="BI10" s="59">
        <f ca="1">AVERAGE(OFFSET($BH$3,0,0,'Données projet'!$E$11+1,1))-AVERAGE(OFFSET($H$3,0,0,'Données projet'!$E$11+1,1))</f>
        <v>465.85201723964195</v>
      </c>
      <c r="BJ10" s="59">
        <f t="shared" si="38"/>
        <v>110.67325286443491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1.8</v>
      </c>
      <c r="BY10" s="12">
        <f>IF('Données projet'!$A$114&gt;35,BY9+BX10-CG9,IF(A10&lt;'Données projet'!$A$114,$BV$205^A10,IF(A10='Données projet'!$A$114,'Données projet'!$B$114,BY9+BX10-CG9)))</f>
        <v>7.5629417171254145</v>
      </c>
      <c r="BZ10" s="13">
        <f>BY10*VLOOKUP('Données projet'!$B$12,Paramètres!$A$1:$I$89,3,0)*VLOOKUP('Données projet'!$B$12,Paramètres!$A$1:$I$89,5,0)</f>
        <v>6.6069858840807631</v>
      </c>
      <c r="CA10" s="13">
        <f t="shared" si="39"/>
        <v>2.4440329151477385</v>
      </c>
      <c r="CB10" s="20">
        <f t="shared" si="10"/>
        <v>15.763857741989639</v>
      </c>
      <c r="CC10" s="59">
        <f t="shared" si="11"/>
        <v>309.09719107532294</v>
      </c>
      <c r="CD10" s="59">
        <f ca="1">AVERAGE(OFFSET($CC$3,0,0,'Données projet'!$E$12+1,1))-AVERAGE(OFFSET($H$3,0,0,'Données projet'!$E$12+1,1))</f>
        <v>201.70120933876507</v>
      </c>
      <c r="CE10" s="59">
        <f t="shared" si="40"/>
        <v>188.1234063307752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0.6</v>
      </c>
      <c r="CT10" s="12">
        <f>IF('Données projet'!$A$140&gt;35,CT9+CS10-DB9,IF(A10&lt;'Données projet'!$A$140,$CQ$205^A10,IF(A10='Données projet'!$A$140,'Données projet'!$B$140,CT9+CS10-DB9)))</f>
        <v>2.788130973628832</v>
      </c>
      <c r="CU10" s="17">
        <f>CT10*VLOOKUP('Données projet'!$B$13,Paramètres!$A$1:$I$89,3,0)*VLOOKUP('Données projet'!$B$13,Paramètres!$A$1:$I$89,5,0)</f>
        <v>2.0442576298646595</v>
      </c>
      <c r="CV10" s="13">
        <f t="shared" si="41"/>
        <v>0.8668447938284809</v>
      </c>
      <c r="CW10" s="20">
        <f t="shared" si="13"/>
        <v>5.0701700545988864</v>
      </c>
      <c r="CX10" s="59">
        <f t="shared" si="14"/>
        <v>298.40350338793218</v>
      </c>
      <c r="CY10" s="59">
        <f ca="1">AVERAGE(OFFSET($CX$3,0,0,'Données projet'!$E$13+1,1))-AVERAGE(OFFSET($H$3,0,0,'Données projet'!$E$13+1,1))</f>
        <v>141.13780344922503</v>
      </c>
      <c r="CZ10" s="59">
        <f t="shared" si="42"/>
        <v>144.12010599544237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7.5454545454545459</v>
      </c>
      <c r="AI11" s="13">
        <f>IF('Données projet'!$A$62&gt;35,AI10+AH11-AQ10,IF(A11&lt;'Données projet'!$A$62,$AF$205^A11,IF(A11='Données projet'!$A$62,'Données projet'!$B$62,AI10+AH11-AQ10)))</f>
        <v>24.870994879596463</v>
      </c>
      <c r="AJ11" s="13">
        <f>AI11*VLOOKUP('Données projet'!$B$10,Paramètres!$A$1:$I$89,3,0)*VLOOKUP('Données projet'!$B$10,Paramètres!$A$1:$I$89,5,0)</f>
        <v>14.872854937998687</v>
      </c>
      <c r="AK11" s="13">
        <f t="shared" si="35"/>
        <v>5.0058715967414829</v>
      </c>
      <c r="AL11" s="20">
        <f t="shared" si="4"/>
        <v>34.622115381339128</v>
      </c>
      <c r="AM11" s="59">
        <f t="shared" si="5"/>
        <v>327.95544871467246</v>
      </c>
      <c r="AN11" s="59">
        <f ca="1">AVERAGE(OFFSET($AM$3,0,0,'Données projet'!$E$10+1,1))-AVERAGE(OFFSET($H$3,0,0,'Données projet'!$E$10+1,1))</f>
        <v>148.39628895278571</v>
      </c>
      <c r="AO11" s="59">
        <f t="shared" si="36"/>
        <v>361.07991692964788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2.5115384616666665</v>
      </c>
      <c r="BD11" s="12">
        <f>IF('Données projet'!$A$88&gt;35,BD10+BC11-BL10,IF(A11&lt;'Données projet'!$A$88,$BA$205^A11,IF(A11='Données projet'!$A$88,'Données projet'!$B$88,BD10+BC11-BL10)))</f>
        <v>3.1662822293996018</v>
      </c>
      <c r="BE11" s="13">
        <f>BD11*VLOOKUP('Données projet'!$B$11,Paramètres!$A$1:$I$89,3,0)*VLOOKUP('Données projet'!$B$11,Paramètres!$A$1:$I$89,5,0)</f>
        <v>2.8648521611607598</v>
      </c>
      <c r="BF11" s="13">
        <f t="shared" si="37"/>
        <v>1.168012746888458</v>
      </c>
      <c r="BG11" s="20">
        <f t="shared" si="7"/>
        <v>7.0239063815190539</v>
      </c>
      <c r="BH11" s="59">
        <f t="shared" si="8"/>
        <v>300.35723971485237</v>
      </c>
      <c r="BI11" s="59">
        <f ca="1">AVERAGE(OFFSET($BH$3,0,0,'Données projet'!$E$11+1,1))-AVERAGE(OFFSET($H$3,0,0,'Données projet'!$E$11+1,1))</f>
        <v>465.85201723964195</v>
      </c>
      <c r="BJ11" s="59">
        <f t="shared" si="38"/>
        <v>110.67325286443491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1.8</v>
      </c>
      <c r="BY11" s="12">
        <f>IF('Données projet'!$A$114&gt;35,BY10+BX11-CG10,IF(A11&lt;'Données projet'!$A$114,$BV$205^A11,IF(A11='Données projet'!$A$114,'Données projet'!$B$114,BY10+BX11-CG10)))</f>
        <v>10.097596309015799</v>
      </c>
      <c r="BZ11" s="13">
        <f>BY11*VLOOKUP('Données projet'!$B$12,Paramètres!$A$1:$I$89,3,0)*VLOOKUP('Données projet'!$B$12,Paramètres!$A$1:$I$89,5,0)</f>
        <v>8.8212601355562033</v>
      </c>
      <c r="CA11" s="13">
        <f t="shared" si="39"/>
        <v>3.1551711996443523</v>
      </c>
      <c r="CB11" s="20">
        <f t="shared" si="10"/>
        <v>20.858951242140964</v>
      </c>
      <c r="CC11" s="59">
        <f t="shared" si="11"/>
        <v>314.19228457547428</v>
      </c>
      <c r="CD11" s="59">
        <f ca="1">AVERAGE(OFFSET($CC$3,0,0,'Données projet'!$E$12+1,1))-AVERAGE(OFFSET($H$3,0,0,'Données projet'!$E$12+1,1))</f>
        <v>201.70120933876507</v>
      </c>
      <c r="CE11" s="59">
        <f t="shared" si="40"/>
        <v>188.1234063307752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0.6</v>
      </c>
      <c r="CT11" s="12">
        <f>IF('Données projet'!$A$140&gt;35,CT10+CS11-DB10,IF(A11&lt;'Données projet'!$A$140,$CQ$205^A11,IF(A11='Données projet'!$A$140,'Données projet'!$B$140,CT10+CS11-DB10)))</f>
        <v>3.227968874176038</v>
      </c>
      <c r="CU11" s="17">
        <f>CT11*VLOOKUP('Données projet'!$B$13,Paramètres!$A$1:$I$89,3,0)*VLOOKUP('Données projet'!$B$13,Paramètres!$A$1:$I$89,5,0)</f>
        <v>2.3667467785458709</v>
      </c>
      <c r="CV11" s="13">
        <f t="shared" si="41"/>
        <v>0.98662607868138441</v>
      </c>
      <c r="CW11" s="20">
        <f t="shared" si="13"/>
        <v>5.8404577263374691</v>
      </c>
      <c r="CX11" s="59">
        <f t="shared" si="14"/>
        <v>299.1737910596708</v>
      </c>
      <c r="CY11" s="59">
        <f ca="1">AVERAGE(OFFSET($CX$3,0,0,'Données projet'!$E$13+1,1))-AVERAGE(OFFSET($H$3,0,0,'Données projet'!$E$13+1,1))</f>
        <v>141.13780344922503</v>
      </c>
      <c r="CZ11" s="59">
        <f t="shared" si="42"/>
        <v>144.12010599544237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7.5454545454545459</v>
      </c>
      <c r="AI12" s="13">
        <f>IF('Données projet'!$A$62&gt;35,AI11+AH12-AQ11,IF(A12&lt;'Données projet'!$A$62,$AF$205^A12,IF(A12='Données projet'!$A$62,'Données projet'!$B$62,AI11+AH12-AQ11)))</f>
        <v>37.166768522450475</v>
      </c>
      <c r="AJ12" s="13">
        <f>AI12*VLOOKUP('Données projet'!$B$10,Paramètres!$A$1:$I$89,3,0)*VLOOKUP('Données projet'!$B$10,Paramètres!$A$1:$I$89,5,0)</f>
        <v>22.225727576425388</v>
      </c>
      <c r="AK12" s="13">
        <f t="shared" si="35"/>
        <v>7.1389446510425687</v>
      </c>
      <c r="AL12" s="20">
        <f t="shared" si="4"/>
        <v>51.143470796173354</v>
      </c>
      <c r="AM12" s="59">
        <f t="shared" si="5"/>
        <v>344.47680412950666</v>
      </c>
      <c r="AN12" s="59">
        <f ca="1">AVERAGE(OFFSET($AM$3,0,0,'Données projet'!$E$10+1,1))-AVERAGE(OFFSET($H$3,0,0,'Données projet'!$E$10+1,1))</f>
        <v>148.39628895278571</v>
      </c>
      <c r="AO12" s="59">
        <f t="shared" si="36"/>
        <v>361.07991692964788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2.5115384616666665</v>
      </c>
      <c r="BD12" s="12">
        <f>IF('Données projet'!$A$88&gt;35,BD11+BC12-BL11,IF(A12&lt;'Données projet'!$A$88,$BA$205^A12,IF(A12='Données projet'!$A$88,'Données projet'!$B$88,BD11+BC12-BL11)))</f>
        <v>3.6569441391116189</v>
      </c>
      <c r="BE12" s="13">
        <f>BD12*VLOOKUP('Données projet'!$B$11,Paramètres!$A$1:$I$89,3,0)*VLOOKUP('Données projet'!$B$11,Paramètres!$A$1:$I$89,5,0)</f>
        <v>3.3088030570681926</v>
      </c>
      <c r="BF12" s="13">
        <f t="shared" si="37"/>
        <v>1.3265795200549755</v>
      </c>
      <c r="BG12" s="20">
        <f t="shared" si="7"/>
        <v>8.0732913218228504</v>
      </c>
      <c r="BH12" s="59">
        <f t="shared" si="8"/>
        <v>301.40662465515618</v>
      </c>
      <c r="BI12" s="59">
        <f ca="1">AVERAGE(OFFSET($BH$3,0,0,'Données projet'!$E$11+1,1))-AVERAGE(OFFSET($H$3,0,0,'Données projet'!$E$11+1,1))</f>
        <v>465.85201723964195</v>
      </c>
      <c r="BJ12" s="59">
        <f t="shared" si="38"/>
        <v>110.67325286443491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1.8</v>
      </c>
      <c r="BY12" s="12">
        <f>IF('Données projet'!$A$114&gt;35,BY11+BX12-CG11,IF(A12&lt;'Données projet'!$A$114,$BV$205^A12,IF(A12='Données projet'!$A$114,'Données projet'!$B$114,BY11+BX12-CG11)))</f>
        <v>13.48171849440139</v>
      </c>
      <c r="BZ12" s="13">
        <f>BY12*VLOOKUP('Données projet'!$B$12,Paramètres!$A$1:$I$89,3,0)*VLOOKUP('Données projet'!$B$12,Paramètres!$A$1:$I$89,5,0)</f>
        <v>11.777629276709055</v>
      </c>
      <c r="CA12" s="13">
        <f t="shared" si="39"/>
        <v>4.0732288167499631</v>
      </c>
      <c r="CB12" s="20">
        <f t="shared" si="10"/>
        <v>27.606911179441123</v>
      </c>
      <c r="CC12" s="59">
        <f t="shared" si="11"/>
        <v>320.94024451277443</v>
      </c>
      <c r="CD12" s="59">
        <f ca="1">AVERAGE(OFFSET($CC$3,0,0,'Données projet'!$E$12+1,1))-AVERAGE(OFFSET($H$3,0,0,'Données projet'!$E$12+1,1))</f>
        <v>201.70120933876507</v>
      </c>
      <c r="CE12" s="59">
        <f t="shared" si="40"/>
        <v>188.1234063307752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0.6</v>
      </c>
      <c r="CT12" s="12">
        <f>IF('Données projet'!$A$140&gt;35,CT11+CS12-DB11,IF(A12&lt;'Données projet'!$A$140,$CQ$205^A12,IF(A12='Données projet'!$A$140,'Données projet'!$B$140,CT11+CS12-DB11)))</f>
        <v>3.7371928188465526</v>
      </c>
      <c r="CU12" s="17">
        <f>CT12*VLOOKUP('Données projet'!$B$13,Paramètres!$A$1:$I$89,3,0)*VLOOKUP('Données projet'!$B$13,Paramètres!$A$1:$I$89,5,0)</f>
        <v>2.7401097747782925</v>
      </c>
      <c r="CV12" s="13">
        <f t="shared" si="41"/>
        <v>1.1229588342279577</v>
      </c>
      <c r="CW12" s="20">
        <f t="shared" si="13"/>
        <v>6.7281778273525523</v>
      </c>
      <c r="CX12" s="59">
        <f t="shared" si="14"/>
        <v>300.06151116068588</v>
      </c>
      <c r="CY12" s="59">
        <f ca="1">AVERAGE(OFFSET($CX$3,0,0,'Données projet'!$E$13+1,1))-AVERAGE(OFFSET($H$3,0,0,'Données projet'!$E$13+1,1))</f>
        <v>141.13780344922503</v>
      </c>
      <c r="CZ12" s="59">
        <f t="shared" si="42"/>
        <v>144.12010599544237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7.5454545454545459</v>
      </c>
      <c r="AI13" s="13">
        <f>IF('Données projet'!$A$62&gt;35,AI12+AH13-AQ12,IF(A13&lt;'Données projet'!$A$62,$AF$205^A13,IF(A13='Données projet'!$A$62,'Données projet'!$B$62,AI12+AH13-AQ12)))</f>
        <v>55.541352048391744</v>
      </c>
      <c r="AJ13" s="13">
        <f>AI13*VLOOKUP('Données projet'!$B$10,Paramètres!$A$1:$I$89,3,0)*VLOOKUP('Données projet'!$B$10,Paramètres!$A$1:$I$89,5,0)</f>
        <v>33.213728524938269</v>
      </c>
      <c r="AK13" s="13">
        <f t="shared" si="35"/>
        <v>10.180950459021789</v>
      </c>
      <c r="AL13" s="20">
        <f t="shared" si="4"/>
        <v>75.579065897063757</v>
      </c>
      <c r="AM13" s="59">
        <f t="shared" si="5"/>
        <v>368.91239923039706</v>
      </c>
      <c r="AN13" s="59">
        <f ca="1">AVERAGE(OFFSET($AM$3,0,0,'Données projet'!$E$10+1,1))-AVERAGE(OFFSET($H$3,0,0,'Données projet'!$E$10+1,1))</f>
        <v>148.39628895278571</v>
      </c>
      <c r="AO13" s="59">
        <f t="shared" si="36"/>
        <v>361.07991692964788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2.5115384616666665</v>
      </c>
      <c r="BD13" s="12">
        <f>IF('Données projet'!$A$88&gt;35,BD12+BC13-BL12,IF(A13&lt;'Données projet'!$A$88,$BA$205^A13,IF(A13='Données projet'!$A$88,'Données projet'!$B$88,BD12+BC13-BL12)))</f>
        <v>4.2236413142231752</v>
      </c>
      <c r="BE13" s="13">
        <f>BD13*VLOOKUP('Données projet'!$B$11,Paramètres!$A$1:$I$89,3,0)*VLOOKUP('Données projet'!$B$11,Paramètres!$A$1:$I$89,5,0)</f>
        <v>3.821550661109129</v>
      </c>
      <c r="BF13" s="13">
        <f t="shared" si="37"/>
        <v>1.5066729603057551</v>
      </c>
      <c r="BG13" s="20">
        <f t="shared" si="7"/>
        <v>9.279989473964255</v>
      </c>
      <c r="BH13" s="59">
        <f t="shared" si="8"/>
        <v>302.61332280729755</v>
      </c>
      <c r="BI13" s="59">
        <f ca="1">AVERAGE(OFFSET($BH$3,0,0,'Données projet'!$E$11+1,1))-AVERAGE(OFFSET($H$3,0,0,'Données projet'!$E$11+1,1))</f>
        <v>465.85201723964195</v>
      </c>
      <c r="BJ13" s="59">
        <f t="shared" si="38"/>
        <v>110.67325286443491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>
        <f>VLOOKUP(A13,'Données projet'!$A$113:$I$133,2,0)</f>
        <v>18</v>
      </c>
      <c r="BW13" s="12">
        <f>VLOOKUP(A13,'Données projet'!$A$113:$I$133,9,0)</f>
        <v>1.8</v>
      </c>
      <c r="BX13" s="12">
        <f t="array" ref="BX13">INDEX(BW:BW,MIN(IF(ISNUMBER(BW13:BW209),ROW(BW13:BW209),"")))</f>
        <v>1.8</v>
      </c>
      <c r="BY13" s="12">
        <f>IF('Données projet'!$A$114&gt;35,BY12+BX13-CG12,IF(A13&lt;'Données projet'!$A$114,$BV$205^A13,IF(A13='Données projet'!$A$114,'Données projet'!$B$114,BY12+BX13-CG12)))</f>
        <v>18</v>
      </c>
      <c r="BZ13" s="13">
        <f>BY13*VLOOKUP('Données projet'!$B$12,Paramètres!$A$1:$I$89,3,0)*VLOOKUP('Données projet'!$B$12,Paramètres!$A$1:$I$89,5,0)</f>
        <v>15.724800000000004</v>
      </c>
      <c r="CA13" s="13">
        <f t="shared" si="39"/>
        <v>5.2584129176484753</v>
      </c>
      <c r="CB13" s="20">
        <f t="shared" si="10"/>
        <v>36.545762498237771</v>
      </c>
      <c r="CC13" s="59">
        <f t="shared" si="11"/>
        <v>329.87909583157108</v>
      </c>
      <c r="CD13" s="59">
        <f ca="1">AVERAGE(OFFSET($CC$3,0,0,'Données projet'!$E$12+1,1))-AVERAGE(OFFSET($H$3,0,0,'Données projet'!$E$12+1,1))</f>
        <v>201.70120933876507</v>
      </c>
      <c r="CE13" s="59">
        <f t="shared" si="40"/>
        <v>188.1234063307752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0.6</v>
      </c>
      <c r="CT13" s="12">
        <f>IF('Données projet'!$A$140&gt;35,CT12+CS13-DB12,IF(A13&lt;'Données projet'!$A$140,$CQ$205^A13,IF(A13='Données projet'!$A$140,'Données projet'!$B$140,CT12+CS13-DB12)))</f>
        <v>4.3267487109222253</v>
      </c>
      <c r="CU13" s="17">
        <f>CT13*VLOOKUP('Données projet'!$B$13,Paramètres!$A$1:$I$89,3,0)*VLOOKUP('Données projet'!$B$13,Paramètres!$A$1:$I$89,5,0)</f>
        <v>3.1723721548481754</v>
      </c>
      <c r="CV13" s="13">
        <f t="shared" si="41"/>
        <v>1.2781301555052913</v>
      </c>
      <c r="CW13" s="20">
        <f t="shared" si="13"/>
        <v>7.7512915238656204</v>
      </c>
      <c r="CX13" s="59">
        <f t="shared" si="14"/>
        <v>301.08462485719895</v>
      </c>
      <c r="CY13" s="59">
        <f ca="1">AVERAGE(OFFSET($CX$3,0,0,'Données projet'!$E$13+1,1))-AVERAGE(OFFSET($H$3,0,0,'Données projet'!$E$13+1,1))</f>
        <v>141.13780344922503</v>
      </c>
      <c r="CZ13" s="59">
        <f t="shared" si="42"/>
        <v>144.12010599544237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>
        <f>VLOOKUP(A14,'Données projet'!$A$61:$I$81,2,0)</f>
        <v>83</v>
      </c>
      <c r="AG14" s="12">
        <f>VLOOKUP(A14,'Données projet'!$A$61:$I$81,9,0)</f>
        <v>7.5454545454545459</v>
      </c>
      <c r="AH14" s="12">
        <f t="array" ref="AH14">INDEX(AG:AG,MIN(IF(ISNUMBER(AG14:AG210),ROW(AG14:AG210),"")))</f>
        <v>7.5454545454545459</v>
      </c>
      <c r="AI14" s="13">
        <f>IF('Données projet'!$A$62&gt;35,AI13+AH14-AQ13,IF(A14&lt;'Données projet'!$A$62,$AF$205^A14,IF(A14='Données projet'!$A$62,'Données projet'!$B$62,AI13+AH14-AQ13)))</f>
        <v>83</v>
      </c>
      <c r="AJ14" s="13">
        <f>AI14*VLOOKUP('Données projet'!$B$10,Paramètres!$A$1:$I$89,3,0)*VLOOKUP('Données projet'!$B$10,Paramètres!$A$1:$I$89,5,0)</f>
        <v>49.634</v>
      </c>
      <c r="AK14" s="13">
        <f t="shared" si="35"/>
        <v>14.519198189037462</v>
      </c>
      <c r="AL14" s="20">
        <f t="shared" si="4"/>
        <v>111.73348684590691</v>
      </c>
      <c r="AM14" s="59">
        <f t="shared" si="5"/>
        <v>405.06682017924021</v>
      </c>
      <c r="AN14" s="59">
        <f ca="1">AVERAGE(OFFSET($AM$3,0,0,'Données projet'!$E$10+1,1))-AVERAGE(OFFSET($H$3,0,0,'Données projet'!$E$10+1,1))</f>
        <v>148.39628895278571</v>
      </c>
      <c r="AO14" s="59">
        <f t="shared" si="36"/>
        <v>361.07991692964788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2.5115384616666665</v>
      </c>
      <c r="BD14" s="12">
        <f>IF('Données projet'!$A$88&gt;35,BD13+BC14-BL13,IF(A14&lt;'Données projet'!$A$88,$BA$205^A14,IF(A14='Données projet'!$A$88,'Données projet'!$B$88,BD13+BC14-BL13)))</f>
        <v>4.8781565352394285</v>
      </c>
      <c r="BE14" s="13">
        <f>BD14*VLOOKUP('Données projet'!$B$11,Paramètres!$A$1:$I$89,3,0)*VLOOKUP('Données projet'!$B$11,Paramètres!$A$1:$I$89,5,0)</f>
        <v>4.4137560330846348</v>
      </c>
      <c r="BF14" s="13">
        <f t="shared" si="37"/>
        <v>1.7112154793573418</v>
      </c>
      <c r="BG14" s="20">
        <f t="shared" si="7"/>
        <v>10.667658717503109</v>
      </c>
      <c r="BH14" s="59">
        <f t="shared" si="8"/>
        <v>304.00099205083643</v>
      </c>
      <c r="BI14" s="59">
        <f ca="1">AVERAGE(OFFSET($BH$3,0,0,'Données projet'!$E$11+1,1))-AVERAGE(OFFSET($H$3,0,0,'Données projet'!$E$11+1,1))</f>
        <v>465.85201723964195</v>
      </c>
      <c r="BJ14" s="59">
        <f t="shared" si="38"/>
        <v>110.67325286443491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5.8</v>
      </c>
      <c r="BY14" s="12">
        <f>IF('Données projet'!$A$114&gt;35,BY13+BX14-CG13,IF(A14&lt;'Données projet'!$A$114,$BV$205^A14,IF(A14='Données projet'!$A$114,'Données projet'!$B$114,BY13+BX14-CG13)))</f>
        <v>23.8</v>
      </c>
      <c r="BZ14" s="13">
        <f>BY14*VLOOKUP('Données projet'!$B$12,Paramètres!$A$1:$I$89,3,0)*VLOOKUP('Données projet'!$B$12,Paramètres!$A$1:$I$89,5,0)</f>
        <v>20.791680000000003</v>
      </c>
      <c r="CA14" s="13">
        <f t="shared" si="39"/>
        <v>6.7303755760501467</v>
      </c>
      <c r="CB14" s="20">
        <f t="shared" si="10"/>
        <v>47.934246794954014</v>
      </c>
      <c r="CC14" s="59">
        <f t="shared" si="11"/>
        <v>341.26758012828731</v>
      </c>
      <c r="CD14" s="59">
        <f ca="1">AVERAGE(OFFSET($CC$3,0,0,'Données projet'!$E$12+1,1))-AVERAGE(OFFSET($H$3,0,0,'Données projet'!$E$12+1,1))</f>
        <v>201.70120933876507</v>
      </c>
      <c r="CE14" s="59">
        <f t="shared" si="40"/>
        <v>188.1234063307752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0.6</v>
      </c>
      <c r="CT14" s="12">
        <f>IF('Données projet'!$A$140&gt;35,CT13+CS14-DB13,IF(A14&lt;'Données projet'!$A$140,$CQ$205^A14,IF(A14='Données projet'!$A$140,'Données projet'!$B$140,CT13+CS14-DB13)))</f>
        <v>5.0093092101266317</v>
      </c>
      <c r="CU14" s="17">
        <f>CT14*VLOOKUP('Données projet'!$B$13,Paramètres!$A$1:$I$89,3,0)*VLOOKUP('Données projet'!$B$13,Paramètres!$A$1:$I$89,5,0)</f>
        <v>3.6728255128648462</v>
      </c>
      <c r="CV14" s="13">
        <f t="shared" si="41"/>
        <v>1.4547431701137148</v>
      </c>
      <c r="CW14" s="20">
        <f t="shared" si="13"/>
        <v>8.9305154561876599</v>
      </c>
      <c r="CX14" s="59">
        <f t="shared" si="14"/>
        <v>302.26384878952098</v>
      </c>
      <c r="CY14" s="59">
        <f ca="1">AVERAGE(OFFSET($CX$3,0,0,'Données projet'!$E$13+1,1))-AVERAGE(OFFSET($H$3,0,0,'Données projet'!$E$13+1,1))</f>
        <v>141.13780344922503</v>
      </c>
      <c r="CZ14" s="59">
        <f t="shared" si="42"/>
        <v>144.12010599544237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>
        <f>VLOOKUP(A15,'Données projet'!$A$61:$I$81,2,0)</f>
        <v>106</v>
      </c>
      <c r="AG15" s="12">
        <f>VLOOKUP(A15,'Données projet'!$A$61:$I$81,9,0)</f>
        <v>23</v>
      </c>
      <c r="AH15" s="12">
        <f t="array" ref="AH15">INDEX(AG:AG,MIN(IF(ISNUMBER(AG15:AG211),ROW(AG15:AG211),"")))</f>
        <v>23</v>
      </c>
      <c r="AI15" s="13">
        <f>IF('Données projet'!$A$62&gt;35,AI14+AH15-AQ14,IF(A15&lt;'Données projet'!$A$62,$AF$205^A15,IF(A15='Données projet'!$A$62,'Données projet'!$B$62,AI14+AH15-AQ14)))</f>
        <v>106</v>
      </c>
      <c r="AJ15" s="13">
        <f>AI15*VLOOKUP('Données projet'!$B$10,Paramètres!$A$1:$I$89,3,0)*VLOOKUP('Données projet'!$B$10,Paramètres!$A$1:$I$89,5,0)</f>
        <v>63.388000000000012</v>
      </c>
      <c r="AK15" s="13">
        <f t="shared" si="35"/>
        <v>18.022104085041263</v>
      </c>
      <c r="AL15" s="20">
        <f t="shared" si="4"/>
        <v>141.78926461478019</v>
      </c>
      <c r="AM15" s="59">
        <f t="shared" si="5"/>
        <v>435.12259794811348</v>
      </c>
      <c r="AN15" s="59">
        <f ca="1">AVERAGE(OFFSET($AM$3,0,0,'Données projet'!$E$10+1,1))-AVERAGE(OFFSET($H$3,0,0,'Données projet'!$E$10+1,1))</f>
        <v>148.39628895278571</v>
      </c>
      <c r="AO15" s="59">
        <f t="shared" si="36"/>
        <v>361.07991692964788</v>
      </c>
      <c r="AP15" s="15">
        <f>IF(ISNA(VLOOKUP(A15,'Données projet'!$A$61:$I$81,3,0)),0,VLOOKUP(A15,'Données projet'!$A$61:$I$81,3,0))</f>
        <v>1</v>
      </c>
      <c r="AQ15" s="15">
        <f>IF(ISNA(VLOOKUP(A15,'Données projet'!$A$61:$I$81,4,0)),0,VLOOKUP(A15,'Données projet'!$A$61:$I$81,4,0))</f>
        <v>34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1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23.020547073308105</v>
      </c>
      <c r="AX15" s="21">
        <f t="shared" si="6"/>
        <v>23.020547073308105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2.5115384616666665</v>
      </c>
      <c r="BD15" s="12">
        <f>IF('Données projet'!$A$88&gt;35,BD14+BC15-BL14,IF(A15&lt;'Données projet'!$A$88,$BA$205^A15,IF(A15='Données projet'!$A$88,'Données projet'!$B$88,BD14+BC15-BL14)))</f>
        <v>5.6340984974657715</v>
      </c>
      <c r="BE15" s="13">
        <f>BD15*VLOOKUP('Données projet'!$B$11,Paramètres!$A$1:$I$89,3,0)*VLOOKUP('Données projet'!$B$11,Paramètres!$A$1:$I$89,5,0)</f>
        <v>5.0977323205070295</v>
      </c>
      <c r="BF15" s="13">
        <f t="shared" si="37"/>
        <v>1.9435262289421678</v>
      </c>
      <c r="BG15" s="20">
        <f t="shared" si="7"/>
        <v>12.263525306957353</v>
      </c>
      <c r="BH15" s="59">
        <f t="shared" si="8"/>
        <v>305.59685864029069</v>
      </c>
      <c r="BI15" s="59">
        <f ca="1">AVERAGE(OFFSET($BH$3,0,0,'Données projet'!$E$11+1,1))-AVERAGE(OFFSET($H$3,0,0,'Données projet'!$E$11+1,1))</f>
        <v>465.85201723964195</v>
      </c>
      <c r="BJ15" s="59">
        <f t="shared" si="38"/>
        <v>110.67325286443491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5.8</v>
      </c>
      <c r="BY15" s="12">
        <f>IF('Données projet'!$A$114&gt;35,BY14+BX15-CG14,IF(A15&lt;'Données projet'!$A$114,$BV$205^A15,IF(A15='Données projet'!$A$114,'Données projet'!$B$114,BY14+BX15-CG14)))</f>
        <v>29.6</v>
      </c>
      <c r="BZ15" s="13">
        <f>BY15*VLOOKUP('Données projet'!$B$12,Paramètres!$A$1:$I$89,3,0)*VLOOKUP('Données projet'!$B$12,Paramètres!$A$1:$I$89,5,0)</f>
        <v>25.858560000000008</v>
      </c>
      <c r="CA15" s="13">
        <f t="shared" si="39"/>
        <v>8.1607346448714608</v>
      </c>
      <c r="CB15" s="20">
        <f t="shared" si="10"/>
        <v>59.250271506484466</v>
      </c>
      <c r="CC15" s="59">
        <f t="shared" si="11"/>
        <v>352.58360483981778</v>
      </c>
      <c r="CD15" s="59">
        <f ca="1">AVERAGE(OFFSET($CC$3,0,0,'Données projet'!$E$12+1,1))-AVERAGE(OFFSET($H$3,0,0,'Données projet'!$E$12+1,1))</f>
        <v>201.70120933876507</v>
      </c>
      <c r="CE15" s="59">
        <f t="shared" si="40"/>
        <v>188.1234063307752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0.6</v>
      </c>
      <c r="CT15" s="12">
        <f>IF('Données projet'!$A$140&gt;35,CT14+CS15-DB14,IF(A15&lt;'Données projet'!$A$140,$CQ$205^A15,IF(A15='Données projet'!$A$140,'Données projet'!$B$140,CT14+CS15-DB14)))</f>
        <v>5.799546134795289</v>
      </c>
      <c r="CU15" s="17">
        <f>CT15*VLOOKUP('Données projet'!$B$13,Paramètres!$A$1:$I$89,3,0)*VLOOKUP('Données projet'!$B$13,Paramètres!$A$1:$I$89,5,0)</f>
        <v>4.2522272260319056</v>
      </c>
      <c r="CV15" s="13">
        <f t="shared" si="41"/>
        <v>1.6557607078411023</v>
      </c>
      <c r="CW15" s="20">
        <f t="shared" si="13"/>
        <v>10.289745651495487</v>
      </c>
      <c r="CX15" s="59">
        <f t="shared" si="14"/>
        <v>303.62307898482879</v>
      </c>
      <c r="CY15" s="59">
        <f ca="1">AVERAGE(OFFSET($CX$3,0,0,'Données projet'!$E$13+1,1))-AVERAGE(OFFSET($H$3,0,0,'Données projet'!$E$13+1,1))</f>
        <v>141.13780344922503</v>
      </c>
      <c r="CZ15" s="59">
        <f t="shared" si="42"/>
        <v>144.12010599544237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>
        <f>VLOOKUP(A16,'Données projet'!$A$61:$I$81,2,0)</f>
        <v>89</v>
      </c>
      <c r="AG16" s="12">
        <f>VLOOKUP(A16,'Données projet'!$A$61:$I$81,9,0)</f>
        <v>17</v>
      </c>
      <c r="AH16" s="12">
        <f t="array" ref="AH16">INDEX(AG:AG,MIN(IF(ISNUMBER(AG16:AG212),ROW(AG16:AG212),"")))</f>
        <v>17</v>
      </c>
      <c r="AI16" s="13">
        <f>IF('Données projet'!$A$62&gt;35,AI15+AH16-AQ15,IF(A16&lt;'Données projet'!$A$62,$AF$205^A16,IF(A16='Données projet'!$A$62,'Données projet'!$B$62,AI15+AH16-AQ15)))</f>
        <v>89</v>
      </c>
      <c r="AJ16" s="13">
        <f>AI16*VLOOKUP('Données projet'!$B$10,Paramètres!$A$1:$I$89,3,0)*VLOOKUP('Données projet'!$B$10,Paramètres!$A$1:$I$89,5,0)</f>
        <v>53.222000000000008</v>
      </c>
      <c r="AK16" s="13">
        <f t="shared" si="35"/>
        <v>15.442806897867877</v>
      </c>
      <c r="AL16" s="20">
        <f t="shared" si="4"/>
        <v>119.59120534711991</v>
      </c>
      <c r="AM16" s="59">
        <f t="shared" si="5"/>
        <v>412.92453868045322</v>
      </c>
      <c r="AN16" s="59">
        <f ca="1">AVERAGE(OFFSET($AM$3,0,0,'Données projet'!$E$10+1,1))-AVERAGE(OFFSET($H$3,0,0,'Données projet'!$E$10+1,1))</f>
        <v>148.39628895278571</v>
      </c>
      <c r="AO16" s="59">
        <f t="shared" si="36"/>
        <v>361.07991692964788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16.277984942160291</v>
      </c>
      <c r="AX16" s="21">
        <f t="shared" si="6"/>
        <v>16.277984942160291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2.5115384616666665</v>
      </c>
      <c r="BD16" s="12">
        <f>IF('Données projet'!$A$88&gt;35,BD15+BC16-BL15,IF(A16&lt;'Données projet'!$A$88,$BA$205^A16,IF(A16='Données projet'!$A$88,'Données projet'!$B$88,BD15+BC16-BL15)))</f>
        <v>6.5071847633089641</v>
      </c>
      <c r="BE16" s="13">
        <f>BD16*VLOOKUP('Données projet'!$B$11,Paramètres!$A$1:$I$89,3,0)*VLOOKUP('Données projet'!$B$11,Paramètres!$A$1:$I$89,5,0)</f>
        <v>5.8877007738419502</v>
      </c>
      <c r="BF16" s="13">
        <f t="shared" si="37"/>
        <v>2.2073749613372775</v>
      </c>
      <c r="BG16" s="20">
        <f t="shared" si="7"/>
        <v>14.098923572103821</v>
      </c>
      <c r="BH16" s="59">
        <f t="shared" si="8"/>
        <v>307.43225690543716</v>
      </c>
      <c r="BI16" s="59">
        <f ca="1">AVERAGE(OFFSET($BH$3,0,0,'Données projet'!$E$11+1,1))-AVERAGE(OFFSET($H$3,0,0,'Données projet'!$E$11+1,1))</f>
        <v>465.85201723964195</v>
      </c>
      <c r="BJ16" s="59">
        <f t="shared" si="38"/>
        <v>110.67325286443491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5.8</v>
      </c>
      <c r="BY16" s="12">
        <f>IF('Données projet'!$A$114&gt;35,BY15+BX16-CG15,IF(A16&lt;'Données projet'!$A$114,$BV$205^A16,IF(A16='Données projet'!$A$114,'Données projet'!$B$114,BY15+BX16-CG15)))</f>
        <v>35.4</v>
      </c>
      <c r="BZ16" s="13">
        <f>BY16*VLOOKUP('Données projet'!$B$12,Paramètres!$A$1:$I$89,3,0)*VLOOKUP('Données projet'!$B$12,Paramètres!$A$1:$I$89,5,0)</f>
        <v>30.925440000000002</v>
      </c>
      <c r="CA16" s="13">
        <f t="shared" si="39"/>
        <v>9.5586196975402125</v>
      </c>
      <c r="CB16" s="20">
        <f t="shared" si="10"/>
        <v>70.509737306549212</v>
      </c>
      <c r="CC16" s="59">
        <f t="shared" si="11"/>
        <v>363.84307063988251</v>
      </c>
      <c r="CD16" s="59">
        <f ca="1">AVERAGE(OFFSET($CC$3,0,0,'Données projet'!$E$12+1,1))-AVERAGE(OFFSET($H$3,0,0,'Données projet'!$E$12+1,1))</f>
        <v>201.70120933876507</v>
      </c>
      <c r="CE16" s="59">
        <f t="shared" si="40"/>
        <v>188.1234063307752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0.6</v>
      </c>
      <c r="CT16" s="12">
        <f>IF('Données projet'!$A$140&gt;35,CT15+CS16-DB15,IF(A16&lt;'Données projet'!$A$140,$CQ$205^A16,IF(A16='Données projet'!$A$140,'Données projet'!$B$140,CT15+CS16-DB15)))</f>
        <v>6.7144458364886441</v>
      </c>
      <c r="CU16" s="17">
        <f>CT16*VLOOKUP('Données projet'!$B$13,Paramètres!$A$1:$I$89,3,0)*VLOOKUP('Données projet'!$B$13,Paramètres!$A$1:$I$89,5,0)</f>
        <v>4.9230316873134736</v>
      </c>
      <c r="CV16" s="13">
        <f t="shared" si="41"/>
        <v>1.8845550045896882</v>
      </c>
      <c r="CW16" s="20">
        <f t="shared" si="13"/>
        <v>11.856546821731341</v>
      </c>
      <c r="CX16" s="59">
        <f t="shared" si="14"/>
        <v>305.18988015506466</v>
      </c>
      <c r="CY16" s="59">
        <f ca="1">AVERAGE(OFFSET($CX$3,0,0,'Données projet'!$E$13+1,1))-AVERAGE(OFFSET($H$3,0,0,'Données projet'!$E$13+1,1))</f>
        <v>141.13780344922503</v>
      </c>
      <c r="CZ16" s="59">
        <f t="shared" si="42"/>
        <v>144.12010599544237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>
        <f>VLOOKUP(A17,'Données projet'!$A$61:$I$81,2,0)</f>
        <v>110</v>
      </c>
      <c r="AG17" s="12">
        <f>VLOOKUP(A17,'Données projet'!$A$61:$I$81,9,0)</f>
        <v>21</v>
      </c>
      <c r="AH17" s="12">
        <f t="array" ref="AH17">INDEX(AG:AG,MIN(IF(ISNUMBER(AG17:AG213),ROW(AG17:AG213),"")))</f>
        <v>21</v>
      </c>
      <c r="AI17" s="13">
        <f>IF('Données projet'!$A$62&gt;35,AI16+AH17-AQ16,IF(A17&lt;'Données projet'!$A$62,$AF$205^A17,IF(A17='Données projet'!$A$62,'Données projet'!$B$62,AI16+AH17-AQ16)))</f>
        <v>110</v>
      </c>
      <c r="AJ17" s="13">
        <f>AI17*VLOOKUP('Données projet'!$B$10,Paramètres!$A$1:$I$89,3,0)*VLOOKUP('Données projet'!$B$10,Paramètres!$A$1:$I$89,5,0)</f>
        <v>65.78</v>
      </c>
      <c r="AK17" s="13">
        <f t="shared" si="35"/>
        <v>18.621720661480644</v>
      </c>
      <c r="AL17" s="20">
        <f t="shared" si="4"/>
        <v>146.99966348541213</v>
      </c>
      <c r="AM17" s="59">
        <f t="shared" si="5"/>
        <v>440.33299681874541</v>
      </c>
      <c r="AN17" s="59">
        <f ca="1">AVERAGE(OFFSET($AM$3,0,0,'Données projet'!$E$10+1,1))-AVERAGE(OFFSET($H$3,0,0,'Données projet'!$E$10+1,1))</f>
        <v>148.39628895278571</v>
      </c>
      <c r="AO17" s="59">
        <f t="shared" si="36"/>
        <v>361.07991692964788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11.510273536654053</v>
      </c>
      <c r="AX17" s="21">
        <f t="shared" si="6"/>
        <v>11.510273536654053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2.5115384616666665</v>
      </c>
      <c r="BD17" s="12">
        <f>IF('Données projet'!$A$88&gt;35,BD16+BC17-BL16,IF(A17&lt;'Données projet'!$A$88,$BA$205^A17,IF(A17='Données projet'!$A$88,'Données projet'!$B$88,BD16+BC17-BL16)))</f>
        <v>7.5155685621908308</v>
      </c>
      <c r="BE17" s="13">
        <f>BD17*VLOOKUP('Données projet'!$B$11,Paramètres!$A$1:$I$89,3,0)*VLOOKUP('Données projet'!$B$11,Paramètres!$A$1:$I$89,5,0)</f>
        <v>6.8000864350702628</v>
      </c>
      <c r="BF17" s="13">
        <f t="shared" si="37"/>
        <v>2.5070432018768174</v>
      </c>
      <c r="BG17" s="20">
        <f t="shared" si="7"/>
        <v>16.209917451016164</v>
      </c>
      <c r="BH17" s="59">
        <f t="shared" si="8"/>
        <v>309.54325078434948</v>
      </c>
      <c r="BI17" s="59">
        <f ca="1">AVERAGE(OFFSET($BH$3,0,0,'Données projet'!$E$11+1,1))-AVERAGE(OFFSET($H$3,0,0,'Données projet'!$E$11+1,1))</f>
        <v>465.85201723964195</v>
      </c>
      <c r="BJ17" s="59">
        <f t="shared" si="38"/>
        <v>110.67325286443491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5.8</v>
      </c>
      <c r="BY17" s="12">
        <f>IF('Données projet'!$A$114&gt;35,BY16+BX17-CG16,IF(A17&lt;'Données projet'!$A$114,$BV$205^A17,IF(A17='Données projet'!$A$114,'Données projet'!$B$114,BY16+BX17-CG16)))</f>
        <v>41.199999999999996</v>
      </c>
      <c r="BZ17" s="13">
        <f>BY17*VLOOKUP('Données projet'!$B$12,Paramètres!$A$1:$I$89,3,0)*VLOOKUP('Données projet'!$B$12,Paramètres!$A$1:$I$89,5,0)</f>
        <v>35.992319999999999</v>
      </c>
      <c r="CA17" s="13">
        <f t="shared" si="39"/>
        <v>10.929972788578748</v>
      </c>
      <c r="CB17" s="20">
        <f t="shared" si="10"/>
        <v>81.722993273441304</v>
      </c>
      <c r="CC17" s="59">
        <f t="shared" si="11"/>
        <v>375.05632660677463</v>
      </c>
      <c r="CD17" s="59">
        <f ca="1">AVERAGE(OFFSET($CC$3,0,0,'Données projet'!$E$12+1,1))-AVERAGE(OFFSET($H$3,0,0,'Données projet'!$E$12+1,1))</f>
        <v>201.70120933876507</v>
      </c>
      <c r="CE17" s="59">
        <f t="shared" si="40"/>
        <v>188.1234063307752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0.6</v>
      </c>
      <c r="CT17" s="12">
        <f>IF('Données projet'!$A$140&gt;35,CT16+CS17-DB16,IF(A17&lt;'Données projet'!$A$140,$CQ$205^A17,IF(A17='Données projet'!$A$140,'Données projet'!$B$140,CT16+CS17-DB16)))</f>
        <v>7.7736743261084582</v>
      </c>
      <c r="CU17" s="17">
        <f>CT17*VLOOKUP('Données projet'!$B$13,Paramètres!$A$1:$I$89,3,0)*VLOOKUP('Données projet'!$B$13,Paramètres!$A$1:$I$89,5,0)</f>
        <v>5.6996580159027213</v>
      </c>
      <c r="CV17" s="13">
        <f t="shared" si="41"/>
        <v>2.1449642744299671</v>
      </c>
      <c r="CW17" s="20">
        <f t="shared" si="13"/>
        <v>13.662717155662767</v>
      </c>
      <c r="CX17" s="59">
        <f t="shared" si="14"/>
        <v>306.9960504889961</v>
      </c>
      <c r="CY17" s="59">
        <f ca="1">AVERAGE(OFFSET($CX$3,0,0,'Données projet'!$E$13+1,1))-AVERAGE(OFFSET($H$3,0,0,'Données projet'!$E$13+1,1))</f>
        <v>141.13780344922503</v>
      </c>
      <c r="CZ17" s="59">
        <f t="shared" si="42"/>
        <v>144.12010599544237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131</v>
      </c>
      <c r="AG18" s="12">
        <f>VLOOKUP(A18,'Données projet'!$A$61:$I$81,9,0)</f>
        <v>21</v>
      </c>
      <c r="AH18" s="12">
        <f t="array" ref="AH18">INDEX(AG:AG,MIN(IF(ISNUMBER(AG18:AG214),ROW(AG18:AG214),"")))</f>
        <v>21</v>
      </c>
      <c r="AI18" s="13">
        <f>IF('Données projet'!$A$62&gt;35,AI17+AH18-AQ17,IF(A18&lt;'Données projet'!$A$62,$AF$205^A18,IF(A18='Données projet'!$A$62,'Données projet'!$B$62,AI17+AH18-AQ17)))</f>
        <v>131</v>
      </c>
      <c r="AJ18" s="13">
        <f>AI18*VLOOKUP('Données projet'!$B$10,Paramètres!$A$1:$I$89,3,0)*VLOOKUP('Données projet'!$B$10,Paramètres!$A$1:$I$89,5,0)</f>
        <v>78.338000000000008</v>
      </c>
      <c r="AK18" s="13">
        <f t="shared" si="35"/>
        <v>21.730321306378922</v>
      </c>
      <c r="AL18" s="20">
        <f t="shared" si="4"/>
        <v>174.28565960860999</v>
      </c>
      <c r="AM18" s="59">
        <f t="shared" si="5"/>
        <v>467.6189929419433</v>
      </c>
      <c r="AN18" s="59">
        <f ca="1">AVERAGE(OFFSET($AM$3,0,0,'Données projet'!$E$10+1,1))-AVERAGE(OFFSET($H$3,0,0,'Données projet'!$E$10+1,1))</f>
        <v>148.39628895278571</v>
      </c>
      <c r="AO18" s="59">
        <f t="shared" si="36"/>
        <v>361.07991692964788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8.1389924710801456</v>
      </c>
      <c r="AX18" s="21">
        <f t="shared" si="6"/>
        <v>8.1389924710801456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2.5115384616666665</v>
      </c>
      <c r="BD18" s="12">
        <f>IF('Données projet'!$A$88&gt;35,BD17+BC18-BL17,IF(A18&lt;'Données projet'!$A$88,$BA$205^A18,IF(A18='Données projet'!$A$88,'Données projet'!$B$88,BD17+BC18-BL17)))</f>
        <v>8.6802162329057069</v>
      </c>
      <c r="BE18" s="13">
        <f>BD18*VLOOKUP('Données projet'!$B$11,Paramètres!$A$1:$I$89,3,0)*VLOOKUP('Données projet'!$B$11,Paramètres!$A$1:$I$89,5,0)</f>
        <v>7.8538596475330831</v>
      </c>
      <c r="BF18" s="13">
        <f t="shared" si="37"/>
        <v>2.8473937261066919</v>
      </c>
      <c r="BG18" s="20">
        <f t="shared" si="7"/>
        <v>18.638016292422606</v>
      </c>
      <c r="BH18" s="59">
        <f t="shared" si="8"/>
        <v>311.97134962575592</v>
      </c>
      <c r="BI18" s="59">
        <f ca="1">AVERAGE(OFFSET($BH$3,0,0,'Données projet'!$E$11+1,1))-AVERAGE(OFFSET($H$3,0,0,'Données projet'!$E$11+1,1))</f>
        <v>465.85201723964195</v>
      </c>
      <c r="BJ18" s="59">
        <f t="shared" si="38"/>
        <v>110.67325286443491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>
        <f>VLOOKUP(A18,'Données projet'!$A$113:$I$133,2,0)</f>
        <v>47</v>
      </c>
      <c r="BW18" s="12">
        <f>VLOOKUP(A18,'Données projet'!$A$113:$I$133,9,0)</f>
        <v>5.8</v>
      </c>
      <c r="BX18" s="12">
        <f t="array" ref="BX18">INDEX(BW:BW,MIN(IF(ISNUMBER(BW18:BW214),ROW(BW18:BW214),"")))</f>
        <v>5.8</v>
      </c>
      <c r="BY18" s="12">
        <f>IF('Données projet'!$A$114&gt;35,BY17+BX18-CG17,IF(A18&lt;'Données projet'!$A$114,$BV$205^A18,IF(A18='Données projet'!$A$114,'Données projet'!$B$114,BY17+BX18-CG17)))</f>
        <v>46.999999999999993</v>
      </c>
      <c r="BZ18" s="13">
        <f>BY18*VLOOKUP('Données projet'!$B$12,Paramètres!$A$1:$I$89,3,0)*VLOOKUP('Données projet'!$B$12,Paramètres!$A$1:$I$89,5,0)</f>
        <v>41.059200000000004</v>
      </c>
      <c r="CA18" s="13">
        <f t="shared" si="39"/>
        <v>12.278959527914743</v>
      </c>
      <c r="CB18" s="20">
        <f t="shared" si="10"/>
        <v>92.897294511118176</v>
      </c>
      <c r="CC18" s="59">
        <f t="shared" si="11"/>
        <v>386.23062784445148</v>
      </c>
      <c r="CD18" s="59">
        <f ca="1">AVERAGE(OFFSET($CC$3,0,0,'Données projet'!$E$12+1,1))-AVERAGE(OFFSET($H$3,0,0,'Données projet'!$E$12+1,1))</f>
        <v>201.70120933876507</v>
      </c>
      <c r="CE18" s="59">
        <f t="shared" si="40"/>
        <v>188.1234063307752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>
        <f>VLOOKUP(A18,'Données projet'!$A$139:$I$159,2,0)</f>
        <v>9</v>
      </c>
      <c r="CR18" s="12">
        <f>VLOOKUP(A18,'Données projet'!$A$139:$I$159,9,0)</f>
        <v>0.6</v>
      </c>
      <c r="CS18" s="12">
        <f t="array" ref="CS18">INDEX(CR:CR,MIN(IF(ISNUMBER(CR18:CR214),ROW(CR18:CR214),"")))</f>
        <v>0.6</v>
      </c>
      <c r="CT18" s="12">
        <f>IF('Données projet'!$A$140&gt;35,CT17+CS18-DB17,IF(A18&lt;'Données projet'!$A$140,$CQ$205^A18,IF(A18='Données projet'!$A$140,'Données projet'!$B$140,CT17+CS18-DB17)))</f>
        <v>9</v>
      </c>
      <c r="CU18" s="17">
        <f>CT18*VLOOKUP('Données projet'!$B$13,Paramètres!$A$1:$I$89,3,0)*VLOOKUP('Données projet'!$B$13,Paramètres!$A$1:$I$89,5,0)</f>
        <v>6.5987999999999998</v>
      </c>
      <c r="CV18" s="13">
        <f t="shared" si="41"/>
        <v>2.4413570988248194</v>
      </c>
      <c r="CW18" s="20">
        <f t="shared" si="13"/>
        <v>15.744940280453227</v>
      </c>
      <c r="CX18" s="59">
        <f t="shared" si="14"/>
        <v>309.07827361378656</v>
      </c>
      <c r="CY18" s="59">
        <f ca="1">AVERAGE(OFFSET($CX$3,0,0,'Données projet'!$E$13+1,1))-AVERAGE(OFFSET($H$3,0,0,'Données projet'!$E$13+1,1))</f>
        <v>141.13780344922503</v>
      </c>
      <c r="CZ18" s="59">
        <f t="shared" si="42"/>
        <v>144.12010599544237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>
        <f>VLOOKUP(A19,'Données projet'!$A$61:$I$81,2,0)</f>
        <v>153</v>
      </c>
      <c r="AG19" s="12">
        <f>VLOOKUP(A19,'Données projet'!$A$61:$I$81,9,0)</f>
        <v>22</v>
      </c>
      <c r="AH19" s="12">
        <f t="array" ref="AH19">INDEX(AG:AG,MIN(IF(ISNUMBER(AG19:AG215),ROW(AG19:AG215),"")))</f>
        <v>22</v>
      </c>
      <c r="AI19" s="13">
        <f>IF('Données projet'!$A$62&gt;35,AI18+AH19-AQ18,IF(A19&lt;'Données projet'!$A$62,$AF$205^A19,IF(A19='Données projet'!$A$62,'Données projet'!$B$62,AI18+AH19-AQ18)))</f>
        <v>153</v>
      </c>
      <c r="AJ19" s="13">
        <f>AI19*VLOOKUP('Données projet'!$B$10,Paramètres!$A$1:$I$89,3,0)*VLOOKUP('Données projet'!$B$10,Paramètres!$A$1:$I$89,5,0)</f>
        <v>91.494000000000014</v>
      </c>
      <c r="AK19" s="13">
        <f t="shared" si="35"/>
        <v>24.925195840896542</v>
      </c>
      <c r="AL19" s="20">
        <f t="shared" si="4"/>
        <v>202.76343275622813</v>
      </c>
      <c r="AM19" s="59">
        <f t="shared" si="5"/>
        <v>496.09676608956147</v>
      </c>
      <c r="AN19" s="59">
        <f ca="1">AVERAGE(OFFSET($AM$3,0,0,'Données projet'!$E$10+1,1))-AVERAGE(OFFSET($H$3,0,0,'Données projet'!$E$10+1,1))</f>
        <v>148.39628895278571</v>
      </c>
      <c r="AO19" s="59">
        <f t="shared" si="36"/>
        <v>361.07991692964788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5.7551367683270263</v>
      </c>
      <c r="AX19" s="21">
        <f t="shared" si="6"/>
        <v>5.7551367683270263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2.5115384616666665</v>
      </c>
      <c r="BD19" s="12">
        <f>IF('Données projet'!$A$88&gt;35,BD18+BC19-BL18,IF(A19&lt;'Données projet'!$A$88,$BA$205^A19,IF(A19='Données projet'!$A$88,'Données projet'!$B$88,BD18+BC19-BL18)))</f>
        <v>10.025343156211713</v>
      </c>
      <c r="BE19" s="13">
        <f>BD19*VLOOKUP('Données projet'!$B$11,Paramètres!$A$1:$I$89,3,0)*VLOOKUP('Données projet'!$B$11,Paramètres!$A$1:$I$89,5,0)</f>
        <v>9.0709304877403572</v>
      </c>
      <c r="BF19" s="13">
        <f t="shared" si="37"/>
        <v>3.2339494690008594</v>
      </c>
      <c r="BG19" s="20">
        <f t="shared" si="7"/>
        <v>21.430999257990951</v>
      </c>
      <c r="BH19" s="59">
        <f t="shared" si="8"/>
        <v>314.76433259132426</v>
      </c>
      <c r="BI19" s="59">
        <f ca="1">AVERAGE(OFFSET($BH$3,0,0,'Données projet'!$E$11+1,1))-AVERAGE(OFFSET($H$3,0,0,'Données projet'!$E$11+1,1))</f>
        <v>465.85201723964195</v>
      </c>
      <c r="BJ19" s="59">
        <f t="shared" si="38"/>
        <v>110.67325286443491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8</v>
      </c>
      <c r="BY19" s="12">
        <f>IF('Données projet'!$A$114&gt;35,BY18+BX19-CG18,IF(A19&lt;'Données projet'!$A$114,$BV$205^A19,IF(A19='Données projet'!$A$114,'Données projet'!$B$114,BY18+BX19-CG18)))</f>
        <v>54.999999999999993</v>
      </c>
      <c r="BZ19" s="13">
        <f>BY19*VLOOKUP('Données projet'!$B$12,Paramètres!$A$1:$I$89,3,0)*VLOOKUP('Données projet'!$B$12,Paramètres!$A$1:$I$89,5,0)</f>
        <v>48.048000000000002</v>
      </c>
      <c r="CA19" s="13">
        <f t="shared" si="39"/>
        <v>14.108484750160615</v>
      </c>
      <c r="CB19" s="20">
        <f t="shared" si="10"/>
        <v>108.25587760652974</v>
      </c>
      <c r="CC19" s="59">
        <f t="shared" si="11"/>
        <v>401.58921093986305</v>
      </c>
      <c r="CD19" s="59">
        <f ca="1">AVERAGE(OFFSET($CC$3,0,0,'Données projet'!$E$12+1,1))-AVERAGE(OFFSET($H$3,0,0,'Données projet'!$E$12+1,1))</f>
        <v>201.70120933876507</v>
      </c>
      <c r="CE19" s="59">
        <f t="shared" si="40"/>
        <v>188.1234063307752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9.6</v>
      </c>
      <c r="CT19" s="12">
        <f>IF('Données projet'!$A$140&gt;35,CT18+CS19-DB18,IF(A19&lt;'Données projet'!$A$140,$CQ$205^A19,IF(A19='Données projet'!$A$140,'Données projet'!$B$140,CT18+CS19-DB18)))</f>
        <v>18.600000000000001</v>
      </c>
      <c r="CU19" s="17">
        <f>CT19*VLOOKUP('Données projet'!$B$13,Paramètres!$A$1:$I$89,3,0)*VLOOKUP('Données projet'!$B$13,Paramètres!$A$1:$I$89,5,0)</f>
        <v>13.637520000000002</v>
      </c>
      <c r="CV19" s="13">
        <f t="shared" si="41"/>
        <v>4.6366494723377283</v>
      </c>
      <c r="CW19" s="20">
        <f t="shared" si="13"/>
        <v>31.827511830988218</v>
      </c>
      <c r="CX19" s="59">
        <f t="shared" si="14"/>
        <v>325.16084516432153</v>
      </c>
      <c r="CY19" s="59">
        <f ca="1">AVERAGE(OFFSET($CX$3,0,0,'Données projet'!$E$13+1,1))-AVERAGE(OFFSET($H$3,0,0,'Données projet'!$E$13+1,1))</f>
        <v>141.13780344922503</v>
      </c>
      <c r="CZ19" s="59">
        <f t="shared" si="42"/>
        <v>144.12010599544237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>
        <f>VLOOKUP(A20,'Données projet'!$A$61:$I$81,2,0)</f>
        <v>176</v>
      </c>
      <c r="AG20" s="12">
        <f>VLOOKUP(A20,'Données projet'!$A$61:$I$81,9,0)</f>
        <v>23</v>
      </c>
      <c r="AH20" s="12">
        <f t="array" ref="AH20">INDEX(AG:AG,MIN(IF(ISNUMBER(AG20:AG216),ROW(AG20:AG216),"")))</f>
        <v>23</v>
      </c>
      <c r="AI20" s="13">
        <f>IF('Données projet'!$A$62&gt;35,AI19+AH20-AQ19,IF(A20&lt;'Données projet'!$A$62,$AF$205^A20,IF(A20='Données projet'!$A$62,'Données projet'!$B$62,AI19+AH20-AQ19)))</f>
        <v>176</v>
      </c>
      <c r="AJ20" s="13">
        <f>AI20*VLOOKUP('Données projet'!$B$10,Paramètres!$A$1:$I$89,3,0)*VLOOKUP('Données projet'!$B$10,Paramètres!$A$1:$I$89,5,0)</f>
        <v>105.24800000000002</v>
      </c>
      <c r="AK20" s="13">
        <f t="shared" si="35"/>
        <v>28.208515027560551</v>
      </c>
      <c r="AL20" s="20">
        <f t="shared" si="4"/>
        <v>232.43676367300131</v>
      </c>
      <c r="AM20" s="59">
        <f t="shared" si="5"/>
        <v>525.77009700633459</v>
      </c>
      <c r="AN20" s="59">
        <f ca="1">AVERAGE(OFFSET($AM$3,0,0,'Données projet'!$E$10+1,1))-AVERAGE(OFFSET($H$3,0,0,'Données projet'!$E$10+1,1))</f>
        <v>148.39628895278571</v>
      </c>
      <c r="AO20" s="59">
        <f t="shared" si="36"/>
        <v>361.07991692964788</v>
      </c>
      <c r="AP20" s="15">
        <f>IF(ISNA(VLOOKUP(A20,'Données projet'!$A$61:$I$81,3,0)),0,VLOOKUP(A20,'Données projet'!$A$61:$I$81,3,0))</f>
        <v>2</v>
      </c>
      <c r="AQ20" s="15">
        <f>IF(ISNA(VLOOKUP(A20,'Données projet'!$A$61:$I$81,4,0)),0,VLOOKUP(A20,'Données projet'!$A$61:$I$81,4,0))</f>
        <v>43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0.45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15.289636188000259</v>
      </c>
      <c r="AW20" s="21">
        <f>EXP(-LN(2)/2)*AW19+(1-EXP(-LN(2)/2))/(LN(2)/2)*AQ20*AT20*VLOOKUP('Données projet'!$B$10,Paramètres!$A$1:$I$89,3,0)*0.475*44/12</f>
        <v>4.0694962355400728</v>
      </c>
      <c r="AX20" s="21">
        <f t="shared" si="6"/>
        <v>19.359132423540331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2.5115384616666665</v>
      </c>
      <c r="BD20" s="12">
        <f>IF('Données projet'!$A$88&gt;35,BD19+BC20-BL19,IF(A20&lt;'Données projet'!$A$88,$BA$205^A20,IF(A20='Données projet'!$A$88,'Données projet'!$B$88,BD19+BC20-BL19)))</f>
        <v>11.578917241576145</v>
      </c>
      <c r="BE20" s="13">
        <f>BD20*VLOOKUP('Données projet'!$B$11,Paramètres!$A$1:$I$89,3,0)*VLOOKUP('Données projet'!$B$11,Paramètres!$A$1:$I$89,5,0)</f>
        <v>10.476604320178096</v>
      </c>
      <c r="BF20" s="13">
        <f t="shared" si="37"/>
        <v>3.6729831467146621</v>
      </c>
      <c r="BG20" s="20">
        <f t="shared" si="7"/>
        <v>24.643864838171552</v>
      </c>
      <c r="BH20" s="59">
        <f t="shared" si="8"/>
        <v>317.97719817150488</v>
      </c>
      <c r="BI20" s="59">
        <f ca="1">AVERAGE(OFFSET($BH$3,0,0,'Données projet'!$E$11+1,1))-AVERAGE(OFFSET($H$3,0,0,'Données projet'!$E$11+1,1))</f>
        <v>465.85201723964195</v>
      </c>
      <c r="BJ20" s="59">
        <f t="shared" si="38"/>
        <v>110.67325286443491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8</v>
      </c>
      <c r="BY20" s="12">
        <f>IF('Données projet'!$A$114&gt;35,BY19+BX20-CG19,IF(A20&lt;'Données projet'!$A$114,$BV$205^A20,IF(A20='Données projet'!$A$114,'Données projet'!$B$114,BY19+BX20-CG19)))</f>
        <v>62.999999999999993</v>
      </c>
      <c r="BZ20" s="13">
        <f>BY20*VLOOKUP('Données projet'!$B$12,Paramètres!$A$1:$I$89,3,0)*VLOOKUP('Données projet'!$B$12,Paramètres!$A$1:$I$89,5,0)</f>
        <v>55.036800000000007</v>
      </c>
      <c r="CA20" s="13">
        <f t="shared" si="39"/>
        <v>15.907180538864345</v>
      </c>
      <c r="CB20" s="20">
        <f t="shared" si="10"/>
        <v>123.56076610518875</v>
      </c>
      <c r="CC20" s="59">
        <f t="shared" si="11"/>
        <v>416.89409943852206</v>
      </c>
      <c r="CD20" s="59">
        <f ca="1">AVERAGE(OFFSET($CC$3,0,0,'Données projet'!$E$12+1,1))-AVERAGE(OFFSET($H$3,0,0,'Données projet'!$E$12+1,1))</f>
        <v>201.70120933876507</v>
      </c>
      <c r="CE20" s="59">
        <f t="shared" si="40"/>
        <v>188.1234063307752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9.6</v>
      </c>
      <c r="CT20" s="12">
        <f>IF('Données projet'!$A$140&gt;35,CT19+CS20-DB19,IF(A20&lt;'Données projet'!$A$140,$CQ$205^A20,IF(A20='Données projet'!$A$140,'Données projet'!$B$140,CT19+CS20-DB19)))</f>
        <v>28.200000000000003</v>
      </c>
      <c r="CU20" s="17">
        <f>CT20*VLOOKUP('Données projet'!$B$13,Paramètres!$A$1:$I$89,3,0)*VLOOKUP('Données projet'!$B$13,Paramètres!$A$1:$I$89,5,0)</f>
        <v>20.676240000000004</v>
      </c>
      <c r="CV20" s="13">
        <f t="shared" si="41"/>
        <v>6.6973460495067982</v>
      </c>
      <c r="CW20" s="20">
        <f t="shared" si="13"/>
        <v>47.675662369557671</v>
      </c>
      <c r="CX20" s="59">
        <f t="shared" si="14"/>
        <v>341.00899570289096</v>
      </c>
      <c r="CY20" s="59">
        <f ca="1">AVERAGE(OFFSET($CX$3,0,0,'Données projet'!$E$13+1,1))-AVERAGE(OFFSET($H$3,0,0,'Données projet'!$E$13+1,1))</f>
        <v>141.13780344922503</v>
      </c>
      <c r="CZ20" s="59">
        <f t="shared" si="42"/>
        <v>144.12010599544237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>
        <f>VLOOKUP(A21,'Données projet'!$A$61:$I$81,2,0)</f>
        <v>151</v>
      </c>
      <c r="AG21" s="12">
        <f>VLOOKUP(A21,'Données projet'!$A$61:$I$81,9,0)</f>
        <v>18</v>
      </c>
      <c r="AH21" s="12">
        <f t="array" ref="AH21">INDEX(AG:AG,MIN(IF(ISNUMBER(AG21:AG217),ROW(AG21:AG217),"")))</f>
        <v>18</v>
      </c>
      <c r="AI21" s="13">
        <f>IF('Données projet'!$A$62&gt;35,AI20+AH21-AQ20,IF(A21&lt;'Données projet'!$A$62,$AF$205^A21,IF(A21='Données projet'!$A$62,'Données projet'!$B$62,AI20+AH21-AQ20)))</f>
        <v>151</v>
      </c>
      <c r="AJ21" s="13">
        <f>AI21*VLOOKUP('Données projet'!$B$10,Paramètres!$A$1:$I$89,3,0)*VLOOKUP('Données projet'!$B$10,Paramètres!$A$1:$I$89,5,0)</f>
        <v>90.298000000000016</v>
      </c>
      <c r="AK21" s="13">
        <f t="shared" si="35"/>
        <v>24.637081585210524</v>
      </c>
      <c r="AL21" s="20">
        <f t="shared" si="4"/>
        <v>200.17860042757502</v>
      </c>
      <c r="AM21" s="59">
        <f t="shared" si="5"/>
        <v>493.51193376090833</v>
      </c>
      <c r="AN21" s="59">
        <f ca="1">AVERAGE(OFFSET($AM$3,0,0,'Données projet'!$E$10+1,1))-AVERAGE(OFFSET($H$3,0,0,'Données projet'!$E$10+1,1))</f>
        <v>148.39628895278571</v>
      </c>
      <c r="AO21" s="59">
        <f t="shared" si="36"/>
        <v>361.07991692964788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14.871540282392369</v>
      </c>
      <c r="AW21" s="21">
        <f>EXP(-LN(2)/2)*AW20+(1-EXP(-LN(2)/2))/(LN(2)/2)*AQ21*AT21*VLOOKUP('Données projet'!$B$10,Paramètres!$A$1:$I$89,3,0)*0.475*44/12</f>
        <v>2.8775683841635131</v>
      </c>
      <c r="AX21" s="21">
        <f t="shared" si="6"/>
        <v>17.74910866655588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2.5115384616666665</v>
      </c>
      <c r="BD21" s="12">
        <f>IF('Données projet'!$A$88&gt;35,BD20+BC21-BL20,IF(A21&lt;'Données projet'!$A$88,$BA$205^A21,IF(A21='Données projet'!$A$88,'Données projet'!$B$88,BD20+BC21-BL20)))</f>
        <v>13.373240436582819</v>
      </c>
      <c r="BE21" s="13">
        <f>BD21*VLOOKUP('Données projet'!$B$11,Paramètres!$A$1:$I$89,3,0)*VLOOKUP('Données projet'!$B$11,Paramètres!$A$1:$I$89,5,0)</f>
        <v>12.100107947020135</v>
      </c>
      <c r="BF21" s="13">
        <f t="shared" si="37"/>
        <v>4.1716190451850093</v>
      </c>
      <c r="BG21" s="20">
        <f t="shared" si="7"/>
        <v>28.339924511423959</v>
      </c>
      <c r="BH21" s="59">
        <f t="shared" si="8"/>
        <v>321.67325784475725</v>
      </c>
      <c r="BI21" s="59">
        <f ca="1">AVERAGE(OFFSET($BH$3,0,0,'Données projet'!$E$11+1,1))-AVERAGE(OFFSET($H$3,0,0,'Données projet'!$E$11+1,1))</f>
        <v>465.85201723964195</v>
      </c>
      <c r="BJ21" s="59">
        <f t="shared" si="38"/>
        <v>110.67325286443491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8</v>
      </c>
      <c r="BY21" s="12">
        <f>IF('Données projet'!$A$114&gt;35,BY20+BX21-CG20,IF(A21&lt;'Données projet'!$A$114,$BV$205^A21,IF(A21='Données projet'!$A$114,'Données projet'!$B$114,BY20+BX21-CG20)))</f>
        <v>71</v>
      </c>
      <c r="BZ21" s="13">
        <f>BY21*VLOOKUP('Données projet'!$B$12,Paramètres!$A$1:$I$89,3,0)*VLOOKUP('Données projet'!$B$12,Paramètres!$A$1:$I$89,5,0)</f>
        <v>62.025600000000011</v>
      </c>
      <c r="CA21" s="13">
        <f t="shared" si="39"/>
        <v>17.679410406677221</v>
      </c>
      <c r="CB21" s="20">
        <f t="shared" si="10"/>
        <v>138.8195597916295</v>
      </c>
      <c r="CC21" s="59">
        <f t="shared" si="11"/>
        <v>432.15289312496282</v>
      </c>
      <c r="CD21" s="59">
        <f ca="1">AVERAGE(OFFSET($CC$3,0,0,'Données projet'!$E$12+1,1))-AVERAGE(OFFSET($H$3,0,0,'Données projet'!$E$12+1,1))</f>
        <v>201.70120933876507</v>
      </c>
      <c r="CE21" s="59">
        <f t="shared" si="40"/>
        <v>188.1234063307752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9.6</v>
      </c>
      <c r="CT21" s="12">
        <f>IF('Données projet'!$A$140&gt;35,CT20+CS21-DB20,IF(A21&lt;'Données projet'!$A$140,$CQ$205^A21,IF(A21='Données projet'!$A$140,'Données projet'!$B$140,CT20+CS21-DB20)))</f>
        <v>37.800000000000004</v>
      </c>
      <c r="CU21" s="17">
        <f>CT21*VLOOKUP('Données projet'!$B$13,Paramètres!$A$1:$I$89,3,0)*VLOOKUP('Données projet'!$B$13,Paramètres!$A$1:$I$89,5,0)</f>
        <v>27.714960000000005</v>
      </c>
      <c r="CV21" s="13">
        <f t="shared" si="41"/>
        <v>8.6762964320028821</v>
      </c>
      <c r="CW21" s="20">
        <f t="shared" si="13"/>
        <v>63.381438285738369</v>
      </c>
      <c r="CX21" s="59">
        <f t="shared" si="14"/>
        <v>356.71477161907171</v>
      </c>
      <c r="CY21" s="59">
        <f ca="1">AVERAGE(OFFSET($CX$3,0,0,'Données projet'!$E$13+1,1))-AVERAGE(OFFSET($H$3,0,0,'Données projet'!$E$13+1,1))</f>
        <v>141.13780344922503</v>
      </c>
      <c r="CZ21" s="59">
        <f t="shared" si="42"/>
        <v>144.12010599544237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>
        <f>VLOOKUP(A22,'Données projet'!$A$61:$I$81,2,0)</f>
        <v>171</v>
      </c>
      <c r="AG22" s="12">
        <f>VLOOKUP(A22,'Données projet'!$A$61:$I$81,9,0)</f>
        <v>20</v>
      </c>
      <c r="AH22" s="12">
        <f t="array" ref="AH22">INDEX(AG:AG,MIN(IF(ISNUMBER(AG22:AG218),ROW(AG22:AG218),"")))</f>
        <v>20</v>
      </c>
      <c r="AI22" s="13">
        <f>IF('Données projet'!$A$62&gt;35,AI21+AH22-AQ21,IF(A22&lt;'Données projet'!$A$62,$AF$205^A22,IF(A22='Données projet'!$A$62,'Données projet'!$B$62,AI21+AH22-AQ21)))</f>
        <v>171</v>
      </c>
      <c r="AJ22" s="13">
        <f>AI22*VLOOKUP('Données projet'!$B$10,Paramètres!$A$1:$I$89,3,0)*VLOOKUP('Données projet'!$B$10,Paramètres!$A$1:$I$89,5,0)</f>
        <v>102.258</v>
      </c>
      <c r="AK22" s="13">
        <f t="shared" si="35"/>
        <v>27.499233847895859</v>
      </c>
      <c r="AL22" s="20">
        <f t="shared" si="4"/>
        <v>225.99384895175194</v>
      </c>
      <c r="AM22" s="59">
        <f t="shared" si="5"/>
        <v>519.3271822850852</v>
      </c>
      <c r="AN22" s="59">
        <f ca="1">AVERAGE(OFFSET($AM$3,0,0,'Données projet'!$E$10+1,1))-AVERAGE(OFFSET($H$3,0,0,'Données projet'!$E$10+1,1))</f>
        <v>148.39628895278571</v>
      </c>
      <c r="AO22" s="59">
        <f t="shared" si="36"/>
        <v>361.07991692964788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14.464877231310036</v>
      </c>
      <c r="AW22" s="21">
        <f>EXP(-LN(2)/2)*AW21+(1-EXP(-LN(2)/2))/(LN(2)/2)*AQ22*AT22*VLOOKUP('Données projet'!$B$10,Paramètres!$A$1:$I$89,3,0)*0.475*44/12</f>
        <v>2.0347481177700364</v>
      </c>
      <c r="AX22" s="21">
        <f t="shared" si="6"/>
        <v>16.499625349080073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2.5115384616666665</v>
      </c>
      <c r="BD22" s="12">
        <f>IF('Données projet'!$A$88&gt;35,BD21+BC22-BL21,IF(A22&lt;'Données projet'!$A$88,$BA$205^A22,IF(A22='Données projet'!$A$88,'Données projet'!$B$88,BD21+BC22-BL21)))</f>
        <v>15.445620349758135</v>
      </c>
      <c r="BE22" s="13">
        <f>BD22*VLOOKUP('Données projet'!$B$11,Paramètres!$A$1:$I$89,3,0)*VLOOKUP('Données projet'!$B$11,Paramètres!$A$1:$I$89,5,0)</f>
        <v>13.975197292461161</v>
      </c>
      <c r="BF22" s="13">
        <f t="shared" si="37"/>
        <v>4.7379486273211082</v>
      </c>
      <c r="BG22" s="20">
        <f t="shared" si="7"/>
        <v>32.592062476954119</v>
      </c>
      <c r="BH22" s="59">
        <f t="shared" si="8"/>
        <v>325.92539581028745</v>
      </c>
      <c r="BI22" s="59">
        <f ca="1">AVERAGE(OFFSET($BH$3,0,0,'Données projet'!$E$11+1,1))-AVERAGE(OFFSET($H$3,0,0,'Données projet'!$E$11+1,1))</f>
        <v>465.85201723964195</v>
      </c>
      <c r="BJ22" s="59">
        <f t="shared" si="38"/>
        <v>110.67325286443491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8</v>
      </c>
      <c r="BY22" s="12">
        <f>IF('Données projet'!$A$114&gt;35,BY21+BX22-CG21,IF(A22&lt;'Données projet'!$A$114,$BV$205^A22,IF(A22='Données projet'!$A$114,'Données projet'!$B$114,BY21+BX22-CG21)))</f>
        <v>79</v>
      </c>
      <c r="BZ22" s="13">
        <f>BY22*VLOOKUP('Données projet'!$B$12,Paramètres!$A$1:$I$89,3,0)*VLOOKUP('Données projet'!$B$12,Paramètres!$A$1:$I$89,5,0)</f>
        <v>69.014400000000009</v>
      </c>
      <c r="CA22" s="13">
        <f t="shared" si="39"/>
        <v>19.428496726251055</v>
      </c>
      <c r="CB22" s="20">
        <f t="shared" si="10"/>
        <v>154.03804513155393</v>
      </c>
      <c r="CC22" s="59">
        <f t="shared" si="11"/>
        <v>447.37137846488724</v>
      </c>
      <c r="CD22" s="59">
        <f ca="1">AVERAGE(OFFSET($CC$3,0,0,'Données projet'!$E$12+1,1))-AVERAGE(OFFSET($H$3,0,0,'Données projet'!$E$12+1,1))</f>
        <v>201.70120933876507</v>
      </c>
      <c r="CE22" s="59">
        <f t="shared" si="40"/>
        <v>188.1234063307752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9.6</v>
      </c>
      <c r="CT22" s="12">
        <f>IF('Données projet'!$A$140&gt;35,CT21+CS22-DB21,IF(A22&lt;'Données projet'!$A$140,$CQ$205^A22,IF(A22='Données projet'!$A$140,'Données projet'!$B$140,CT21+CS22-DB21)))</f>
        <v>47.400000000000006</v>
      </c>
      <c r="CU22" s="17">
        <f>CT22*VLOOKUP('Données projet'!$B$13,Paramètres!$A$1:$I$89,3,0)*VLOOKUP('Données projet'!$B$13,Paramètres!$A$1:$I$89,5,0)</f>
        <v>34.753680000000003</v>
      </c>
      <c r="CV22" s="13">
        <f t="shared" si="41"/>
        <v>10.596937427931278</v>
      </c>
      <c r="CW22" s="20">
        <f t="shared" si="13"/>
        <v>78.985658686980315</v>
      </c>
      <c r="CX22" s="59">
        <f t="shared" si="14"/>
        <v>372.31899202031366</v>
      </c>
      <c r="CY22" s="59">
        <f ca="1">AVERAGE(OFFSET($CX$3,0,0,'Données projet'!$E$13+1,1))-AVERAGE(OFFSET($H$3,0,0,'Données projet'!$E$13+1,1))</f>
        <v>141.13780344922503</v>
      </c>
      <c r="CZ22" s="59">
        <f t="shared" si="42"/>
        <v>144.12010599544237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192</v>
      </c>
      <c r="AG23" s="12">
        <f>VLOOKUP(A23,'Données projet'!$A$61:$I$81,9,0)</f>
        <v>21</v>
      </c>
      <c r="AH23" s="12">
        <f t="array" ref="AH23">INDEX(AG:AG,MIN(IF(ISNUMBER(AG23:AG219),ROW(AG23:AG219),"")))</f>
        <v>21</v>
      </c>
      <c r="AI23" s="13">
        <f>IF('Données projet'!$A$62&gt;35,AI22+AH23-AQ22,IF(A23&lt;'Données projet'!$A$62,$AF$205^A23,IF(A23='Données projet'!$A$62,'Données projet'!$B$62,AI22+AH23-AQ22)))</f>
        <v>192</v>
      </c>
      <c r="AJ23" s="13">
        <f>AI23*VLOOKUP('Données projet'!$B$10,Paramètres!$A$1:$I$89,3,0)*VLOOKUP('Données projet'!$B$10,Paramètres!$A$1:$I$89,5,0)</f>
        <v>114.81600000000002</v>
      </c>
      <c r="AK23" s="13">
        <f t="shared" si="35"/>
        <v>30.462826482209831</v>
      </c>
      <c r="AL23" s="20">
        <f t="shared" si="4"/>
        <v>253.02728945651543</v>
      </c>
      <c r="AM23" s="59">
        <f t="shared" si="5"/>
        <v>546.36062278984878</v>
      </c>
      <c r="AN23" s="59">
        <f ca="1">AVERAGE(OFFSET($AM$3,0,0,'Données projet'!$E$10+1,1))-AVERAGE(OFFSET($H$3,0,0,'Données projet'!$E$10+1,1))</f>
        <v>148.39628895278571</v>
      </c>
      <c r="AO23" s="59">
        <f t="shared" si="36"/>
        <v>361.07991692964788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14.06933440274503</v>
      </c>
      <c r="AW23" s="21">
        <f>EXP(-LN(2)/2)*AW22+(1-EXP(-LN(2)/2))/(LN(2)/2)*AQ23*AT23*VLOOKUP('Données projet'!$B$10,Paramètres!$A$1:$I$89,3,0)*0.475*44/12</f>
        <v>1.4387841920817566</v>
      </c>
      <c r="AX23" s="21">
        <f t="shared" si="6"/>
        <v>15.508118594826787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2.5115384616666665</v>
      </c>
      <c r="BD23" s="12">
        <f>IF('Données projet'!$A$88&gt;35,BD22+BC23-BL22,IF(A23&lt;'Données projet'!$A$88,$BA$205^A23,IF(A23='Données projet'!$A$88,'Données projet'!$B$88,BD22+BC23-BL22)))</f>
        <v>17.839145951212871</v>
      </c>
      <c r="BE23" s="13">
        <f>BD23*VLOOKUP('Données projet'!$B$11,Paramètres!$A$1:$I$89,3,0)*VLOOKUP('Données projet'!$B$11,Paramètres!$A$1:$I$89,5,0)</f>
        <v>16.140859256657404</v>
      </c>
      <c r="BF23" s="13">
        <f t="shared" si="37"/>
        <v>5.381161834766341</v>
      </c>
      <c r="BG23" s="20">
        <f t="shared" si="7"/>
        <v>37.484186734229688</v>
      </c>
      <c r="BH23" s="59">
        <f t="shared" si="8"/>
        <v>330.81752006756301</v>
      </c>
      <c r="BI23" s="59">
        <f ca="1">AVERAGE(OFFSET($BH$3,0,0,'Données projet'!$E$11+1,1))-AVERAGE(OFFSET($H$3,0,0,'Données projet'!$E$11+1,1))</f>
        <v>465.85201723964195</v>
      </c>
      <c r="BJ23" s="59">
        <f t="shared" si="38"/>
        <v>110.67325286443491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87</v>
      </c>
      <c r="BW23" s="12">
        <f>VLOOKUP(A23,'Données projet'!$A$113:$I$133,9,0)</f>
        <v>8</v>
      </c>
      <c r="BX23" s="12">
        <f t="array" ref="BX23">INDEX(BW:BW,MIN(IF(ISNUMBER(BW23:BW219),ROW(BW23:BW219),"")))</f>
        <v>8</v>
      </c>
      <c r="BY23" s="12">
        <f>IF('Données projet'!$A$114&gt;35,BY22+BX23-CG22,IF(A23&lt;'Données projet'!$A$114,$BV$205^A23,IF(A23='Données projet'!$A$114,'Données projet'!$B$114,BY22+BX23-CG22)))</f>
        <v>87</v>
      </c>
      <c r="BZ23" s="13">
        <f>BY23*VLOOKUP('Données projet'!$B$12,Paramètres!$A$1:$I$89,3,0)*VLOOKUP('Données projet'!$B$12,Paramètres!$A$1:$I$89,5,0)</f>
        <v>76.003200000000007</v>
      </c>
      <c r="CA23" s="13">
        <f t="shared" si="39"/>
        <v>21.157049992000456</v>
      </c>
      <c r="CB23" s="20">
        <f t="shared" si="10"/>
        <v>169.22076873606747</v>
      </c>
      <c r="CC23" s="59">
        <f t="shared" si="11"/>
        <v>462.55410206940076</v>
      </c>
      <c r="CD23" s="59">
        <f ca="1">AVERAGE(OFFSET($CC$3,0,0,'Données projet'!$E$12+1,1))-AVERAGE(OFFSET($H$3,0,0,'Données projet'!$E$12+1,1))</f>
        <v>201.70120933876507</v>
      </c>
      <c r="CE23" s="59">
        <f t="shared" si="40"/>
        <v>188.1234063307752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29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57</v>
      </c>
      <c r="CR23" s="12">
        <f>VLOOKUP(A23,'Données projet'!$A$139:$I$159,9,0)</f>
        <v>9.6</v>
      </c>
      <c r="CS23" s="12">
        <f t="array" ref="CS23">INDEX(CR:CR,MIN(IF(ISNUMBER(CR23:CR219),ROW(CR23:CR219),"")))</f>
        <v>9.6</v>
      </c>
      <c r="CT23" s="12">
        <f>IF('Données projet'!$A$140&gt;35,CT22+CS23-DB22,IF(A23&lt;'Données projet'!$A$140,$CQ$205^A23,IF(A23='Données projet'!$A$140,'Données projet'!$B$140,CT22+CS23-DB22)))</f>
        <v>57.000000000000007</v>
      </c>
      <c r="CU23" s="17">
        <f>CT23*VLOOKUP('Données projet'!$B$13,Paramètres!$A$1:$I$89,3,0)*VLOOKUP('Données projet'!$B$13,Paramètres!$A$1:$I$89,5,0)</f>
        <v>41.792400000000008</v>
      </c>
      <c r="CV23" s="13">
        <f t="shared" si="41"/>
        <v>12.472503937619972</v>
      </c>
      <c r="CW23" s="20">
        <f t="shared" si="13"/>
        <v>94.511374358021442</v>
      </c>
      <c r="CX23" s="59">
        <f t="shared" si="14"/>
        <v>387.84470769135476</v>
      </c>
      <c r="CY23" s="59">
        <f ca="1">AVERAGE(OFFSET($CX$3,0,0,'Données projet'!$E$13+1,1))-AVERAGE(OFFSET($H$3,0,0,'Données projet'!$E$13+1,1))</f>
        <v>141.13780344922503</v>
      </c>
      <c r="CZ23" s="59">
        <f t="shared" si="42"/>
        <v>144.12010599544237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21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>
        <f>VLOOKUP(A24,'Données projet'!$A$61:$I$81,2,0)</f>
        <v>212</v>
      </c>
      <c r="AG24" s="12">
        <f>VLOOKUP(A24,'Données projet'!$A$61:$I$81,9,0)</f>
        <v>20</v>
      </c>
      <c r="AH24" s="12">
        <f t="array" ref="AH24">INDEX(AG:AG,MIN(IF(ISNUMBER(AG24:AG220),ROW(AG24:AG220),"")))</f>
        <v>20</v>
      </c>
      <c r="AI24" s="13">
        <f>IF('Données projet'!$A$62&gt;35,AI23+AH24-AQ23,IF(A24&lt;'Données projet'!$A$62,$AF$205^A24,IF(A24='Données projet'!$A$62,'Données projet'!$B$62,AI23+AH24-AQ23)))</f>
        <v>212</v>
      </c>
      <c r="AJ24" s="13">
        <f>AI24*VLOOKUP('Données projet'!$B$10,Paramètres!$A$1:$I$89,3,0)*VLOOKUP('Données projet'!$B$10,Paramètres!$A$1:$I$89,5,0)</f>
        <v>126.77600000000002</v>
      </c>
      <c r="AK24" s="13">
        <f t="shared" si="35"/>
        <v>33.250302273150254</v>
      </c>
      <c r="AL24" s="20">
        <f t="shared" si="4"/>
        <v>278.7124764590701</v>
      </c>
      <c r="AM24" s="59">
        <f t="shared" si="5"/>
        <v>572.04580979240336</v>
      </c>
      <c r="AN24" s="59">
        <f ca="1">AVERAGE(OFFSET($AM$3,0,0,'Données projet'!$E$10+1,1))-AVERAGE(OFFSET($H$3,0,0,'Données projet'!$E$10+1,1))</f>
        <v>148.39628895278571</v>
      </c>
      <c r="AO24" s="59">
        <f t="shared" si="36"/>
        <v>361.07991692964788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13.684607713627827</v>
      </c>
      <c r="AW24" s="21">
        <f>EXP(-LN(2)/2)*AW23+(1-EXP(-LN(2)/2))/(LN(2)/2)*AQ24*AT24*VLOOKUP('Données projet'!$B$10,Paramètres!$A$1:$I$89,3,0)*0.475*44/12</f>
        <v>1.0173740588850182</v>
      </c>
      <c r="AX24" s="21">
        <f t="shared" si="6"/>
        <v>14.701981772512845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2.5115384616666665</v>
      </c>
      <c r="BD24" s="12">
        <f>IF('Données projet'!$A$88&gt;35,BD23+BC24-BL23,IF(A24&lt;'Données projet'!$A$88,$BA$205^A24,IF(A24='Données projet'!$A$88,'Données projet'!$B$88,BD23+BC24-BL23)))</f>
        <v>20.603583479485028</v>
      </c>
      <c r="BE24" s="13">
        <f>BD24*VLOOKUP('Données projet'!$B$11,Paramètres!$A$1:$I$89,3,0)*VLOOKUP('Données projet'!$B$11,Paramètres!$A$1:$I$89,5,0)</f>
        <v>18.642122332238053</v>
      </c>
      <c r="BF24" s="13">
        <f t="shared" si="37"/>
        <v>6.111696214890876</v>
      </c>
      <c r="BG24" s="20">
        <f t="shared" si="7"/>
        <v>43.112900636249549</v>
      </c>
      <c r="BH24" s="59">
        <f t="shared" si="8"/>
        <v>336.44623396958286</v>
      </c>
      <c r="BI24" s="59">
        <f ca="1">AVERAGE(OFFSET($BH$3,0,0,'Données projet'!$E$11+1,1))-AVERAGE(OFFSET($H$3,0,0,'Données projet'!$E$11+1,1))</f>
        <v>465.85201723964195</v>
      </c>
      <c r="BJ24" s="59">
        <f t="shared" si="38"/>
        <v>110.67325286443491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8</v>
      </c>
      <c r="BY24" s="12">
        <f>IF('Données projet'!$A$114&gt;35,BY23+BX24-CG23,IF(A24&lt;'Données projet'!$A$114,$BV$205^A24,IF(A24='Données projet'!$A$114,'Données projet'!$B$114,BY23+BX24-CG23)))</f>
        <v>66</v>
      </c>
      <c r="BZ24" s="13">
        <f>BY24*VLOOKUP('Données projet'!$B$12,Paramètres!$A$1:$I$89,3,0)*VLOOKUP('Données projet'!$B$12,Paramètres!$A$1:$I$89,5,0)</f>
        <v>57.657600000000002</v>
      </c>
      <c r="CA24" s="13">
        <f t="shared" si="39"/>
        <v>16.574671209026025</v>
      </c>
      <c r="CB24" s="20">
        <f t="shared" si="10"/>
        <v>129.28787235572034</v>
      </c>
      <c r="CC24" s="59">
        <f t="shared" si="11"/>
        <v>422.62120568905368</v>
      </c>
      <c r="CD24" s="59">
        <f ca="1">AVERAGE(OFFSET($CC$3,0,0,'Données projet'!$E$12+1,1))-AVERAGE(OFFSET($H$3,0,0,'Données projet'!$E$12+1,1))</f>
        <v>201.70120933876507</v>
      </c>
      <c r="CE24" s="59">
        <f t="shared" si="40"/>
        <v>188.1234063307752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10</v>
      </c>
      <c r="CT24" s="12">
        <f>IF('Données projet'!$A$140&gt;35,CT23+CS24-DB23,IF(A24&lt;'Données projet'!$A$140,$CQ$205^A24,IF(A24='Données projet'!$A$140,'Données projet'!$B$140,CT23+CS24-DB23)))</f>
        <v>46</v>
      </c>
      <c r="CU24" s="17">
        <f>CT24*VLOOKUP('Données projet'!$B$13,Paramètres!$A$1:$I$89,3,0)*VLOOKUP('Données projet'!$B$13,Paramètres!$A$1:$I$89,5,0)</f>
        <v>33.727199999999996</v>
      </c>
      <c r="CV24" s="13">
        <f t="shared" si="41"/>
        <v>10.319899009829582</v>
      </c>
      <c r="CW24" s="20">
        <f t="shared" si="13"/>
        <v>76.715364108786517</v>
      </c>
      <c r="CX24" s="59">
        <f t="shared" si="14"/>
        <v>370.04869744211982</v>
      </c>
      <c r="CY24" s="59">
        <f ca="1">AVERAGE(OFFSET($CX$3,0,0,'Données projet'!$E$13+1,1))-AVERAGE(OFFSET($H$3,0,0,'Données projet'!$E$13+1,1))</f>
        <v>141.13780344922503</v>
      </c>
      <c r="CZ24" s="59">
        <f t="shared" si="42"/>
        <v>144.12010599544237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>
        <f>VLOOKUP(A25,'Données projet'!$A$61:$I$81,2,0)</f>
        <v>232</v>
      </c>
      <c r="AG25" s="12">
        <f>VLOOKUP(A25,'Données projet'!$A$61:$I$81,9,0)</f>
        <v>20</v>
      </c>
      <c r="AH25" s="12">
        <f t="array" ref="AH25">INDEX(AG:AG,MIN(IF(ISNUMBER(AG25:AG221),ROW(AG25:AG221),"")))</f>
        <v>20</v>
      </c>
      <c r="AI25" s="13">
        <f>IF('Données projet'!$A$62&gt;35,AI24+AH25-AQ24,IF(A25&lt;'Données projet'!$A$62,$AF$205^A25,IF(A25='Données projet'!$A$62,'Données projet'!$B$62,AI24+AH25-AQ24)))</f>
        <v>232</v>
      </c>
      <c r="AJ25" s="13">
        <f>AI25*VLOOKUP('Données projet'!$B$10,Paramètres!$A$1:$I$89,3,0)*VLOOKUP('Données projet'!$B$10,Paramètres!$A$1:$I$89,5,0)</f>
        <v>138.73599999999999</v>
      </c>
      <c r="AK25" s="13">
        <f t="shared" si="35"/>
        <v>36.007288175538044</v>
      </c>
      <c r="AL25" s="20">
        <f t="shared" si="4"/>
        <v>304.34456023906205</v>
      </c>
      <c r="AM25" s="59">
        <f t="shared" si="5"/>
        <v>597.67789357239531</v>
      </c>
      <c r="AN25" s="59">
        <f ca="1">AVERAGE(OFFSET($AM$3,0,0,'Données projet'!$E$10+1,1))-AVERAGE(OFFSET($H$3,0,0,'Données projet'!$E$10+1,1))</f>
        <v>148.39628895278571</v>
      </c>
      <c r="AO25" s="59">
        <f t="shared" si="36"/>
        <v>361.07991692964788</v>
      </c>
      <c r="AP25" s="15">
        <f>IF(ISNA(VLOOKUP(A25,'Données projet'!$A$61:$I$81,3,0)),0,VLOOKUP(A25,'Données projet'!$A$61:$I$81,3,0))</f>
        <v>3</v>
      </c>
      <c r="AQ25" s="15">
        <f>IF(ISNA(VLOOKUP(A25,'Données projet'!$A$61:$I$81,4,0)),0,VLOOKUP(A25,'Données projet'!$A$61:$I$81,4,0))</f>
        <v>56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0.45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33.222485733917239</v>
      </c>
      <c r="AW25" s="21">
        <f>EXP(-LN(2)/2)*AW24+(1-EXP(-LN(2)/2))/(LN(2)/2)*AQ25*AT25*VLOOKUP('Données projet'!$B$10,Paramètres!$A$1:$I$89,3,0)*0.475*44/12</f>
        <v>0.71939209604087828</v>
      </c>
      <c r="AX25" s="21">
        <f t="shared" si="6"/>
        <v>33.941877829958116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2.5115384616666665</v>
      </c>
      <c r="BD25" s="12">
        <f>IF('Données projet'!$A$88&gt;35,BD24+BC25-BL24,IF(A25&lt;'Données projet'!$A$88,$BA$205^A25,IF(A25='Données projet'!$A$88,'Données projet'!$B$88,BD24+BC25-BL24)))</f>
        <v>23.796411182299146</v>
      </c>
      <c r="BE25" s="13">
        <f>BD25*VLOOKUP('Données projet'!$B$11,Paramètres!$A$1:$I$89,3,0)*VLOOKUP('Données projet'!$B$11,Paramètres!$A$1:$I$89,5,0)</f>
        <v>21.530992837744268</v>
      </c>
      <c r="BF25" s="13">
        <f t="shared" si="37"/>
        <v>6.9414062929280762</v>
      </c>
      <c r="BG25" s="20">
        <f t="shared" si="7"/>
        <v>49.589428485920998</v>
      </c>
      <c r="BH25" s="59">
        <f t="shared" si="8"/>
        <v>342.92276181925433</v>
      </c>
      <c r="BI25" s="59">
        <f ca="1">AVERAGE(OFFSET($BH$3,0,0,'Données projet'!$E$11+1,1))-AVERAGE(OFFSET($H$3,0,0,'Données projet'!$E$11+1,1))</f>
        <v>465.85201723964195</v>
      </c>
      <c r="BJ25" s="59">
        <f t="shared" si="38"/>
        <v>110.67325286443491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8</v>
      </c>
      <c r="BY25" s="12">
        <f>IF('Données projet'!$A$114&gt;35,BY24+BX25-CG24,IF(A25&lt;'Données projet'!$A$114,$BV$205^A25,IF(A25='Données projet'!$A$114,'Données projet'!$B$114,BY24+BX25-CG24)))</f>
        <v>74</v>
      </c>
      <c r="BZ25" s="13">
        <f>BY25*VLOOKUP('Données projet'!$B$12,Paramètres!$A$1:$I$89,3,0)*VLOOKUP('Données projet'!$B$12,Paramètres!$A$1:$I$89,5,0)</f>
        <v>64.646400000000014</v>
      </c>
      <c r="CA25" s="13">
        <f t="shared" si="39"/>
        <v>18.337876695493666</v>
      </c>
      <c r="CB25" s="20">
        <f t="shared" si="10"/>
        <v>144.53094857798482</v>
      </c>
      <c r="CC25" s="59">
        <f t="shared" si="11"/>
        <v>437.86428191131813</v>
      </c>
      <c r="CD25" s="59">
        <f ca="1">AVERAGE(OFFSET($CC$3,0,0,'Données projet'!$E$12+1,1))-AVERAGE(OFFSET($H$3,0,0,'Données projet'!$E$12+1,1))</f>
        <v>201.70120933876507</v>
      </c>
      <c r="CE25" s="59">
        <f t="shared" si="40"/>
        <v>188.1234063307752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10</v>
      </c>
      <c r="CT25" s="12">
        <f>IF('Données projet'!$A$140&gt;35,CT24+CS25-DB24,IF(A25&lt;'Données projet'!$A$140,$CQ$205^A25,IF(A25='Données projet'!$A$140,'Données projet'!$B$140,CT24+CS25-DB24)))</f>
        <v>56</v>
      </c>
      <c r="CU25" s="17">
        <f>CT25*VLOOKUP('Données projet'!$B$13,Paramètres!$A$1:$I$89,3,0)*VLOOKUP('Données projet'!$B$13,Paramètres!$A$1:$I$89,5,0)</f>
        <v>41.059200000000004</v>
      </c>
      <c r="CV25" s="13">
        <f t="shared" si="41"/>
        <v>12.278959527914743</v>
      </c>
      <c r="CW25" s="20">
        <f t="shared" si="13"/>
        <v>92.897294511118176</v>
      </c>
      <c r="CX25" s="59">
        <f t="shared" si="14"/>
        <v>386.23062784445148</v>
      </c>
      <c r="CY25" s="59">
        <f ca="1">AVERAGE(OFFSET($CX$3,0,0,'Données projet'!$E$13+1,1))-AVERAGE(OFFSET($H$3,0,0,'Données projet'!$E$13+1,1))</f>
        <v>141.13780344922503</v>
      </c>
      <c r="CZ25" s="59">
        <f t="shared" si="42"/>
        <v>144.12010599544237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>
        <f>VLOOKUP(A26,'Données projet'!$A$61:$I$81,2,0)</f>
        <v>192</v>
      </c>
      <c r="AG26" s="12">
        <f>VLOOKUP(A26,'Données projet'!$A$61:$I$81,9,0)</f>
        <v>16</v>
      </c>
      <c r="AH26" s="12">
        <f t="array" ref="AH26">INDEX(AG:AG,MIN(IF(ISNUMBER(AG26:AG222),ROW(AG26:AG222),"")))</f>
        <v>16</v>
      </c>
      <c r="AI26" s="13">
        <f>IF('Données projet'!$A$62&gt;35,AI25+AH26-AQ25,IF(A26&lt;'Données projet'!$A$62,$AF$205^A26,IF(A26='Données projet'!$A$62,'Données projet'!$B$62,AI25+AH26-AQ25)))</f>
        <v>192</v>
      </c>
      <c r="AJ26" s="13">
        <f>AI26*VLOOKUP('Données projet'!$B$10,Paramètres!$A$1:$I$89,3,0)*VLOOKUP('Données projet'!$B$10,Paramètres!$A$1:$I$89,5,0)</f>
        <v>114.81600000000002</v>
      </c>
      <c r="AK26" s="13">
        <f t="shared" si="35"/>
        <v>30.462826482209831</v>
      </c>
      <c r="AL26" s="20">
        <f t="shared" si="4"/>
        <v>253.02728945651543</v>
      </c>
      <c r="AM26" s="59">
        <f t="shared" si="5"/>
        <v>546.36062278984878</v>
      </c>
      <c r="AN26" s="59">
        <f ca="1">AVERAGE(OFFSET($AM$3,0,0,'Données projet'!$E$10+1,1))-AVERAGE(OFFSET($H$3,0,0,'Données projet'!$E$10+1,1))</f>
        <v>148.39628895278571</v>
      </c>
      <c r="AO26" s="59">
        <f t="shared" si="36"/>
        <v>361.07991692964788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32.314015114428678</v>
      </c>
      <c r="AW26" s="21">
        <f>EXP(-LN(2)/2)*AW25+(1-EXP(-LN(2)/2))/(LN(2)/2)*AQ26*AT26*VLOOKUP('Données projet'!$B$10,Paramètres!$A$1:$I$89,3,0)*0.475*44/12</f>
        <v>0.5086870294425091</v>
      </c>
      <c r="AX26" s="21">
        <f t="shared" si="6"/>
        <v>32.82270214387119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2.5115384616666665</v>
      </c>
      <c r="BD26" s="12">
        <f>IF('Données projet'!$A$88&gt;35,BD25+BC26-BL25,IF(A26&lt;'Données projet'!$A$88,$BA$205^A26,IF(A26='Données projet'!$A$88,'Données projet'!$B$88,BD25+BC26-BL25)))</f>
        <v>27.4840144055953</v>
      </c>
      <c r="BE26" s="13">
        <f>BD26*VLOOKUP('Données projet'!$B$11,Paramètres!$A$1:$I$89,3,0)*VLOOKUP('Données projet'!$B$11,Paramètres!$A$1:$I$89,5,0)</f>
        <v>24.867536234182626</v>
      </c>
      <c r="BF26" s="13">
        <f t="shared" si="37"/>
        <v>7.8837559376896813</v>
      </c>
      <c r="BG26" s="20">
        <f t="shared" si="7"/>
        <v>57.041833866010933</v>
      </c>
      <c r="BH26" s="59">
        <f t="shared" si="8"/>
        <v>350.37516719934422</v>
      </c>
      <c r="BI26" s="59">
        <f ca="1">AVERAGE(OFFSET($BH$3,0,0,'Données projet'!$E$11+1,1))-AVERAGE(OFFSET($H$3,0,0,'Données projet'!$E$11+1,1))</f>
        <v>465.85201723964195</v>
      </c>
      <c r="BJ26" s="59">
        <f t="shared" si="38"/>
        <v>110.67325286443491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8</v>
      </c>
      <c r="BY26" s="12">
        <f>IF('Données projet'!$A$114&gt;35,BY25+BX26-CG25,IF(A26&lt;'Données projet'!$A$114,$BV$205^A26,IF(A26='Données projet'!$A$114,'Données projet'!$B$114,BY25+BX26-CG25)))</f>
        <v>82</v>
      </c>
      <c r="BZ26" s="13">
        <f>BY26*VLOOKUP('Données projet'!$B$12,Paramètres!$A$1:$I$89,3,0)*VLOOKUP('Données projet'!$B$12,Paramètres!$A$1:$I$89,5,0)</f>
        <v>71.635200000000012</v>
      </c>
      <c r="CA26" s="13">
        <f t="shared" si="39"/>
        <v>20.078988020012648</v>
      </c>
      <c r="CB26" s="20">
        <f t="shared" si="10"/>
        <v>159.73554413485536</v>
      </c>
      <c r="CC26" s="59">
        <f t="shared" si="11"/>
        <v>453.0688774681887</v>
      </c>
      <c r="CD26" s="59">
        <f ca="1">AVERAGE(OFFSET($CC$3,0,0,'Données projet'!$E$12+1,1))-AVERAGE(OFFSET($H$3,0,0,'Données projet'!$E$12+1,1))</f>
        <v>201.70120933876507</v>
      </c>
      <c r="CE26" s="59">
        <f t="shared" si="40"/>
        <v>188.1234063307752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10</v>
      </c>
      <c r="CT26" s="12">
        <f>IF('Données projet'!$A$140&gt;35,CT25+CS26-DB25,IF(A26&lt;'Données projet'!$A$140,$CQ$205^A26,IF(A26='Données projet'!$A$140,'Données projet'!$B$140,CT25+CS26-DB25)))</f>
        <v>66</v>
      </c>
      <c r="CU26" s="17">
        <f>CT26*VLOOKUP('Données projet'!$B$13,Paramètres!$A$1:$I$89,3,0)*VLOOKUP('Données projet'!$B$13,Paramètres!$A$1:$I$89,5,0)</f>
        <v>48.391199999999998</v>
      </c>
      <c r="CV26" s="13">
        <f t="shared" si="41"/>
        <v>14.197492524785988</v>
      </c>
      <c r="CW26" s="20">
        <f t="shared" si="13"/>
        <v>109.00863948066892</v>
      </c>
      <c r="CX26" s="59">
        <f t="shared" si="14"/>
        <v>402.34197281400225</v>
      </c>
      <c r="CY26" s="59">
        <f ca="1">AVERAGE(OFFSET($CX$3,0,0,'Données projet'!$E$13+1,1))-AVERAGE(OFFSET($H$3,0,0,'Données projet'!$E$13+1,1))</f>
        <v>141.13780344922503</v>
      </c>
      <c r="CZ26" s="59">
        <f t="shared" si="42"/>
        <v>144.12010599544237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209</v>
      </c>
      <c r="AG27" s="12">
        <f>VLOOKUP(A27,'Données projet'!$A$61:$I$81,9,0)</f>
        <v>17</v>
      </c>
      <c r="AH27" s="12">
        <f t="array" ref="AH27">INDEX(AG:AG,MIN(IF(ISNUMBER(AG27:AG223),ROW(AG27:AG223),"")))</f>
        <v>17</v>
      </c>
      <c r="AI27" s="13">
        <f>IF('Données projet'!$A$62&gt;35,AI26+AH27-AQ26,IF(A27&lt;'Données projet'!$A$62,$AF$205^A27,IF(A27='Données projet'!$A$62,'Données projet'!$B$62,AI26+AH27-AQ26)))</f>
        <v>209</v>
      </c>
      <c r="AJ27" s="13">
        <f>AI27*VLOOKUP('Données projet'!$B$10,Paramètres!$A$1:$I$89,3,0)*VLOOKUP('Données projet'!$B$10,Paramètres!$A$1:$I$89,5,0)</f>
        <v>124.982</v>
      </c>
      <c r="AK27" s="13">
        <f t="shared" si="35"/>
        <v>32.834203796212122</v>
      </c>
      <c r="AL27" s="20">
        <f t="shared" si="4"/>
        <v>274.86322161173604</v>
      </c>
      <c r="AM27" s="59">
        <f t="shared" si="5"/>
        <v>568.19655494506935</v>
      </c>
      <c r="AN27" s="59">
        <f ca="1">AVERAGE(OFFSET($AM$3,0,0,'Données projet'!$E$10+1,1))-AVERAGE(OFFSET($H$3,0,0,'Données projet'!$E$10+1,1))</f>
        <v>148.39628895278571</v>
      </c>
      <c r="AO27" s="59">
        <f t="shared" si="36"/>
        <v>361.07991692964788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31.430386671804424</v>
      </c>
      <c r="AW27" s="21">
        <f>EXP(-LN(2)/2)*AW26+(1-EXP(-LN(2)/2))/(LN(2)/2)*AQ27*AT27*VLOOKUP('Données projet'!$B$10,Paramètres!$A$1:$I$89,3,0)*0.475*44/12</f>
        <v>0.35969604802043914</v>
      </c>
      <c r="AX27" s="21">
        <f t="shared" si="6"/>
        <v>31.790082719824863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2.5115384616666665</v>
      </c>
      <c r="BD27" s="12">
        <f>IF('Données projet'!$A$88&gt;35,BD26+BC27-BL26,IF(A27&lt;'Données projet'!$A$88,$BA$205^A27,IF(A27='Données projet'!$A$88,'Données projet'!$B$88,BD26+BC27-BL26)))</f>
        <v>31.743065879146062</v>
      </c>
      <c r="BE27" s="13">
        <f>BD27*VLOOKUP('Données projet'!$B$11,Paramètres!$A$1:$I$89,3,0)*VLOOKUP('Données projet'!$B$11,Paramètres!$A$1:$I$89,5,0)</f>
        <v>28.721126007451357</v>
      </c>
      <c r="BF27" s="13">
        <f t="shared" si="37"/>
        <v>8.9540368424161478</v>
      </c>
      <c r="BG27" s="20">
        <f t="shared" si="7"/>
        <v>65.617575296852564</v>
      </c>
      <c r="BH27" s="59">
        <f t="shared" si="8"/>
        <v>358.95090863018589</v>
      </c>
      <c r="BI27" s="59">
        <f ca="1">AVERAGE(OFFSET($BH$3,0,0,'Données projet'!$E$11+1,1))-AVERAGE(OFFSET($H$3,0,0,'Données projet'!$E$11+1,1))</f>
        <v>465.85201723964195</v>
      </c>
      <c r="BJ27" s="59">
        <f t="shared" si="38"/>
        <v>110.67325286443491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8</v>
      </c>
      <c r="BY27" s="12">
        <f>IF('Données projet'!$A$114&gt;35,BY26+BX27-CG26,IF(A27&lt;'Données projet'!$A$114,$BV$205^A27,IF(A27='Données projet'!$A$114,'Données projet'!$B$114,BY26+BX27-CG26)))</f>
        <v>90</v>
      </c>
      <c r="BZ27" s="13">
        <f>BY27*VLOOKUP('Données projet'!$B$12,Paramètres!$A$1:$I$89,3,0)*VLOOKUP('Données projet'!$B$12,Paramètres!$A$1:$I$89,5,0)</f>
        <v>78.624000000000009</v>
      </c>
      <c r="CA27" s="13">
        <f t="shared" si="39"/>
        <v>21.800406010684462</v>
      </c>
      <c r="CB27" s="20">
        <f t="shared" si="10"/>
        <v>174.90584046860877</v>
      </c>
      <c r="CC27" s="59">
        <f t="shared" si="11"/>
        <v>468.23917380194212</v>
      </c>
      <c r="CD27" s="59">
        <f ca="1">AVERAGE(OFFSET($CC$3,0,0,'Données projet'!$E$12+1,1))-AVERAGE(OFFSET($H$3,0,0,'Données projet'!$E$12+1,1))</f>
        <v>201.70120933876507</v>
      </c>
      <c r="CE27" s="59">
        <f t="shared" si="40"/>
        <v>188.1234063307752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10</v>
      </c>
      <c r="CT27" s="12">
        <f>IF('Données projet'!$A$140&gt;35,CT26+CS27-DB26,IF(A27&lt;'Données projet'!$A$140,$CQ$205^A27,IF(A27='Données projet'!$A$140,'Données projet'!$B$140,CT26+CS27-DB26)))</f>
        <v>76</v>
      </c>
      <c r="CU27" s="17">
        <f>CT27*VLOOKUP('Données projet'!$B$13,Paramètres!$A$1:$I$89,3,0)*VLOOKUP('Données projet'!$B$13,Paramètres!$A$1:$I$89,5,0)</f>
        <v>55.723199999999999</v>
      </c>
      <c r="CV27" s="13">
        <f t="shared" si="41"/>
        <v>16.082350294695448</v>
      </c>
      <c r="CW27" s="20">
        <f t="shared" si="13"/>
        <v>125.0613334299279</v>
      </c>
      <c r="CX27" s="59">
        <f t="shared" si="14"/>
        <v>418.39466676326123</v>
      </c>
      <c r="CY27" s="59">
        <f ca="1">AVERAGE(OFFSET($CX$3,0,0,'Données projet'!$E$13+1,1))-AVERAGE(OFFSET($H$3,0,0,'Données projet'!$E$13+1,1))</f>
        <v>141.13780344922503</v>
      </c>
      <c r="CZ27" s="59">
        <f t="shared" si="42"/>
        <v>144.12010599544237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226</v>
      </c>
      <c r="AG28" s="12">
        <f>VLOOKUP(A28,'Données projet'!$A$61:$I$81,9,0)</f>
        <v>17</v>
      </c>
      <c r="AH28" s="12">
        <f t="array" ref="AH28">INDEX(AG:AG,MIN(IF(ISNUMBER(AG28:AG224),ROW(AG28:AG224),"")))</f>
        <v>17</v>
      </c>
      <c r="AI28" s="13">
        <f>IF('Données projet'!$A$62&gt;35,AI27+AH28-AQ27,IF(A28&lt;'Données projet'!$A$62,$AF$205^A28,IF(A28='Données projet'!$A$62,'Données projet'!$B$62,AI27+AH28-AQ27)))</f>
        <v>226</v>
      </c>
      <c r="AJ28" s="13">
        <f>AI28*VLOOKUP('Données projet'!$B$10,Paramètres!$A$1:$I$89,3,0)*VLOOKUP('Données projet'!$B$10,Paramètres!$A$1:$I$89,5,0)</f>
        <v>135.14800000000002</v>
      </c>
      <c r="AK28" s="13">
        <f t="shared" si="35"/>
        <v>35.183208974998173</v>
      </c>
      <c r="AL28" s="20">
        <f t="shared" si="4"/>
        <v>296.66018896478852</v>
      </c>
      <c r="AM28" s="59">
        <f t="shared" si="5"/>
        <v>589.99352229812189</v>
      </c>
      <c r="AN28" s="59">
        <f ca="1">AVERAGE(OFFSET($AM$3,0,0,'Données projet'!$E$10+1,1))-AVERAGE(OFFSET($H$3,0,0,'Données projet'!$E$10+1,1))</f>
        <v>148.39628895278571</v>
      </c>
      <c r="AO28" s="59">
        <f t="shared" si="36"/>
        <v>361.07991692964788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30.570921095411734</v>
      </c>
      <c r="AW28" s="21">
        <f>EXP(-LN(2)/2)*AW27+(1-EXP(-LN(2)/2))/(LN(2)/2)*AQ28*AT28*VLOOKUP('Données projet'!$B$10,Paramètres!$A$1:$I$89,3,0)*0.475*44/12</f>
        <v>0.25434351472125455</v>
      </c>
      <c r="AX28" s="21">
        <f t="shared" si="6"/>
        <v>30.82526461013299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2.5115384616666665</v>
      </c>
      <c r="BD28" s="12">
        <f>IF('Données projet'!$A$88&gt;35,BD27+BC28-BL27,IF(A28&lt;'Données projet'!$A$88,$BA$205^A28,IF(A28='Données projet'!$A$88,'Données projet'!$B$88,BD27+BC28-BL27)))</f>
        <v>36.662119897691205</v>
      </c>
      <c r="BE28" s="13">
        <f>BD28*VLOOKUP('Données projet'!$B$11,Paramètres!$A$1:$I$89,3,0)*VLOOKUP('Données projet'!$B$11,Paramètres!$A$1:$I$89,5,0)</f>
        <v>33.171886083430998</v>
      </c>
      <c r="BF28" s="13">
        <f t="shared" si="37"/>
        <v>10.169616666093907</v>
      </c>
      <c r="BG28" s="20">
        <f t="shared" si="7"/>
        <v>75.486450622089208</v>
      </c>
      <c r="BH28" s="59">
        <f t="shared" si="8"/>
        <v>368.81978395542251</v>
      </c>
      <c r="BI28" s="59">
        <f ca="1">AVERAGE(OFFSET($BH$3,0,0,'Données projet'!$E$11+1,1))-AVERAGE(OFFSET($H$3,0,0,'Données projet'!$E$11+1,1))</f>
        <v>465.85201723964195</v>
      </c>
      <c r="BJ28" s="59">
        <f t="shared" si="38"/>
        <v>110.67325286443491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98</v>
      </c>
      <c r="BW28" s="12">
        <f>VLOOKUP(A28,'Données projet'!$A$113:$I$133,9,0)</f>
        <v>8</v>
      </c>
      <c r="BX28" s="12">
        <f t="array" ref="BX28">INDEX(BW:BW,MIN(IF(ISNUMBER(BW28:BW224),ROW(BW28:BW224),"")))</f>
        <v>8</v>
      </c>
      <c r="BY28" s="12">
        <f>IF('Données projet'!$A$114&gt;35,BY27+BX28-CG27,IF(A28&lt;'Données projet'!$A$114,$BV$205^A28,IF(A28='Données projet'!$A$114,'Données projet'!$B$114,BY27+BX28-CG27)))</f>
        <v>98</v>
      </c>
      <c r="BZ28" s="13">
        <f>BY28*VLOOKUP('Données projet'!$B$12,Paramètres!$A$1:$I$89,3,0)*VLOOKUP('Données projet'!$B$12,Paramètres!$A$1:$I$89,5,0)</f>
        <v>85.612800000000007</v>
      </c>
      <c r="CA28" s="13">
        <f t="shared" si="39"/>
        <v>23.504080242391282</v>
      </c>
      <c r="CB28" s="20">
        <f t="shared" si="10"/>
        <v>190.04523308883151</v>
      </c>
      <c r="CC28" s="59">
        <f t="shared" si="11"/>
        <v>483.37856642216479</v>
      </c>
      <c r="CD28" s="59">
        <f ca="1">AVERAGE(OFFSET($CC$3,0,0,'Données projet'!$E$12+1,1))-AVERAGE(OFFSET($H$3,0,0,'Données projet'!$E$12+1,1))</f>
        <v>201.70120933876507</v>
      </c>
      <c r="CE28" s="59">
        <f t="shared" si="40"/>
        <v>188.1234063307752</v>
      </c>
      <c r="CF28" s="15">
        <f>IF(ISNA(VLOOKUP(A28,'Données projet'!$A$113:$I$133,3,0)),0,VLOOKUP(A28,'Données projet'!$A$113:$I$133,3,0))</f>
        <v>2</v>
      </c>
      <c r="CG28" s="15">
        <f>IF(ISNA(VLOOKUP(A28,'Données projet'!$A$113:$I$133,4,0)),0,VLOOKUP(A28,'Données projet'!$A$113:$I$133,4,0))</f>
        <v>19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>
        <f>VLOOKUP(A28,'Données projet'!$A$139:$I$159,2,0)</f>
        <v>86</v>
      </c>
      <c r="CR28" s="12">
        <f>VLOOKUP(A28,'Données projet'!$A$139:$I$159,9,0)</f>
        <v>10</v>
      </c>
      <c r="CS28" s="12">
        <f t="array" ref="CS28">INDEX(CR:CR,MIN(IF(ISNUMBER(CR28:CR224),ROW(CR28:CR224),"")))</f>
        <v>10</v>
      </c>
      <c r="CT28" s="12">
        <f>IF('Données projet'!$A$140&gt;35,CT27+CS28-DB27,IF(A28&lt;'Données projet'!$A$140,$CQ$205^A28,IF(A28='Données projet'!$A$140,'Données projet'!$B$140,CT27+CS28-DB27)))</f>
        <v>86</v>
      </c>
      <c r="CU28" s="17">
        <f>CT28*VLOOKUP('Données projet'!$B$13,Paramètres!$A$1:$I$89,3,0)*VLOOKUP('Données projet'!$B$13,Paramètres!$A$1:$I$89,5,0)</f>
        <v>63.055199999999992</v>
      </c>
      <c r="CV28" s="13">
        <f t="shared" si="41"/>
        <v>17.938472483677142</v>
      </c>
      <c r="CW28" s="20">
        <f t="shared" si="13"/>
        <v>141.06397957573768</v>
      </c>
      <c r="CX28" s="59">
        <f t="shared" si="14"/>
        <v>434.39731290907099</v>
      </c>
      <c r="CY28" s="59">
        <f ca="1">AVERAGE(OFFSET($CX$3,0,0,'Données projet'!$E$13+1,1))-AVERAGE(OFFSET($H$3,0,0,'Données projet'!$E$13+1,1))</f>
        <v>141.13780344922503</v>
      </c>
      <c r="CZ28" s="59">
        <f t="shared" si="42"/>
        <v>144.12010599544237</v>
      </c>
      <c r="DA28" s="15">
        <f>IF(ISNA(VLOOKUP(A28,'Données projet'!$A$139:$I$159,3,0)),0,VLOOKUP(A28,'Données projet'!$A$139:$I$159,3,0))</f>
        <v>2</v>
      </c>
      <c r="DB28" s="15">
        <f>IF(ISNA(VLOOKUP(A28,'Données projet'!$A$139:$I$159,4,0)),0,VLOOKUP(A28,'Données projet'!$A$139:$I$159,4,0))</f>
        <v>21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>
        <f>VLOOKUP(A29,'Données projet'!$A$61:$I$81,2,0)</f>
        <v>244</v>
      </c>
      <c r="AG29" s="12">
        <f>VLOOKUP(A29,'Données projet'!$A$61:$I$81,9,0)</f>
        <v>18</v>
      </c>
      <c r="AH29" s="12">
        <f t="array" ref="AH29">INDEX(AG:AG,MIN(IF(ISNUMBER(AG29:AG225),ROW(AG29:AG225),"")))</f>
        <v>18</v>
      </c>
      <c r="AI29" s="13">
        <f>IF('Données projet'!$A$62&gt;35,AI28+AH29-AQ28,IF(A29&lt;'Données projet'!$A$62,$AF$205^A29,IF(A29='Données projet'!$A$62,'Données projet'!$B$62,AI28+AH29-AQ28)))</f>
        <v>244</v>
      </c>
      <c r="AJ29" s="13">
        <f>AI29*VLOOKUP('Données projet'!$B$10,Paramètres!$A$1:$I$89,3,0)*VLOOKUP('Données projet'!$B$10,Paramètres!$A$1:$I$89,5,0)</f>
        <v>145.91200000000001</v>
      </c>
      <c r="AK29" s="13">
        <f t="shared" si="35"/>
        <v>37.648084239987625</v>
      </c>
      <c r="AL29" s="20">
        <f t="shared" si="4"/>
        <v>319.70048005131179</v>
      </c>
      <c r="AM29" s="59">
        <f t="shared" si="5"/>
        <v>613.0338133846451</v>
      </c>
      <c r="AN29" s="59">
        <f ca="1">AVERAGE(OFFSET($AM$3,0,0,'Données projet'!$E$10+1,1))-AVERAGE(OFFSET($H$3,0,0,'Données projet'!$E$10+1,1))</f>
        <v>148.39628895278571</v>
      </c>
      <c r="AO29" s="59">
        <f t="shared" si="36"/>
        <v>361.07991692964788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29.73495765040283</v>
      </c>
      <c r="AW29" s="21">
        <f>EXP(-LN(2)/2)*AW28+(1-EXP(-LN(2)/2))/(LN(2)/2)*AQ29*AT29*VLOOKUP('Données projet'!$B$10,Paramètres!$A$1:$I$89,3,0)*0.475*44/12</f>
        <v>0.17984802401021957</v>
      </c>
      <c r="AX29" s="21">
        <f t="shared" si="6"/>
        <v>29.914805674413049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2.5115384616666665</v>
      </c>
      <c r="BD29" s="12">
        <f>IF('Données projet'!$A$88&gt;35,BD28+BC29-BL28,IF(A29&lt;'Données projet'!$A$88,$BA$205^A29,IF(A29='Données projet'!$A$88,'Données projet'!$B$88,BD28+BC29-BL28)))</f>
        <v>42.343453543840354</v>
      </c>
      <c r="BE29" s="13">
        <f>BD29*VLOOKUP('Données projet'!$B$11,Paramètres!$A$1:$I$89,3,0)*VLOOKUP('Données projet'!$B$11,Paramètres!$A$1:$I$89,5,0)</f>
        <v>38.312356766466749</v>
      </c>
      <c r="BF29" s="13">
        <f t="shared" si="37"/>
        <v>11.550220861877524</v>
      </c>
      <c r="BG29" s="20">
        <f t="shared" si="7"/>
        <v>86.84398936936627</v>
      </c>
      <c r="BH29" s="59">
        <f t="shared" si="8"/>
        <v>380.1773227026996</v>
      </c>
      <c r="BI29" s="59">
        <f ca="1">AVERAGE(OFFSET($BH$3,0,0,'Données projet'!$E$11+1,1))-AVERAGE(OFFSET($H$3,0,0,'Données projet'!$E$11+1,1))</f>
        <v>465.85201723964195</v>
      </c>
      <c r="BJ29" s="59">
        <f t="shared" si="38"/>
        <v>110.67325286443491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8</v>
      </c>
      <c r="BY29" s="12">
        <f>IF('Données projet'!$A$114&gt;35,BY28+BX29-CG28,IF(A29&lt;'Données projet'!$A$114,$BV$205^A29,IF(A29='Données projet'!$A$114,'Données projet'!$B$114,BY28+BX29-CG28)))</f>
        <v>87</v>
      </c>
      <c r="BZ29" s="13">
        <f>BY29*VLOOKUP('Données projet'!$B$12,Paramètres!$A$1:$I$89,3,0)*VLOOKUP('Données projet'!$B$12,Paramètres!$A$1:$I$89,5,0)</f>
        <v>76.003200000000007</v>
      </c>
      <c r="CA29" s="13">
        <f t="shared" si="39"/>
        <v>21.157049992000456</v>
      </c>
      <c r="CB29" s="20">
        <f t="shared" si="10"/>
        <v>169.22076873606747</v>
      </c>
      <c r="CC29" s="59">
        <f t="shared" si="11"/>
        <v>462.55410206940076</v>
      </c>
      <c r="CD29" s="59">
        <f ca="1">AVERAGE(OFFSET($CC$3,0,0,'Données projet'!$E$12+1,1))-AVERAGE(OFFSET($H$3,0,0,'Données projet'!$E$12+1,1))</f>
        <v>201.70120933876507</v>
      </c>
      <c r="CE29" s="59">
        <f t="shared" si="40"/>
        <v>188.1234063307752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9.8000000000000007</v>
      </c>
      <c r="CT29" s="12">
        <f>IF('Données projet'!$A$140&gt;35,CT28+CS29-DB28,IF(A29&lt;'Données projet'!$A$140,$CQ$205^A29,IF(A29='Données projet'!$A$140,'Données projet'!$B$140,CT28+CS29-DB28)))</f>
        <v>74.8</v>
      </c>
      <c r="CU29" s="17">
        <f>CT29*VLOOKUP('Données projet'!$B$13,Paramètres!$A$1:$I$89,3,0)*VLOOKUP('Données projet'!$B$13,Paramètres!$A$1:$I$89,5,0)</f>
        <v>54.843359999999997</v>
      </c>
      <c r="CV29" s="13">
        <f t="shared" si="41"/>
        <v>15.857768705098096</v>
      </c>
      <c r="CW29" s="20">
        <f t="shared" si="13"/>
        <v>123.13779916137918</v>
      </c>
      <c r="CX29" s="59">
        <f t="shared" si="14"/>
        <v>416.47113249471249</v>
      </c>
      <c r="CY29" s="59">
        <f ca="1">AVERAGE(OFFSET($CX$3,0,0,'Données projet'!$E$13+1,1))-AVERAGE(OFFSET($H$3,0,0,'Données projet'!$E$13+1,1))</f>
        <v>141.13780344922503</v>
      </c>
      <c r="CZ29" s="59">
        <f t="shared" si="42"/>
        <v>144.12010599544237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>
        <f>VLOOKUP(A30,'Données projet'!$A$61:$I$81,2,0)</f>
        <v>261</v>
      </c>
      <c r="AG30" s="12">
        <f>VLOOKUP(A30,'Données projet'!$A$61:$I$81,9,0)</f>
        <v>17</v>
      </c>
      <c r="AH30" s="12">
        <f t="array" ref="AH30">INDEX(AG:AG,MIN(IF(ISNUMBER(AG30:AG226),ROW(AG30:AG226),"")))</f>
        <v>17</v>
      </c>
      <c r="AI30" s="13">
        <f>IF('Données projet'!$A$62&gt;35,AI29+AH30-AQ29,IF(A30&lt;'Données projet'!$A$62,$AF$205^A30,IF(A30='Données projet'!$A$62,'Données projet'!$B$62,AI29+AH30-AQ29)))</f>
        <v>261</v>
      </c>
      <c r="AJ30" s="13">
        <f>AI30*VLOOKUP('Données projet'!$B$10,Paramètres!$A$1:$I$89,3,0)*VLOOKUP('Données projet'!$B$10,Paramètres!$A$1:$I$89,5,0)</f>
        <v>156.078</v>
      </c>
      <c r="AK30" s="13">
        <f t="shared" si="35"/>
        <v>39.956623674978466</v>
      </c>
      <c r="AL30" s="20">
        <f t="shared" si="4"/>
        <v>341.42696956725416</v>
      </c>
      <c r="AM30" s="59">
        <f t="shared" si="5"/>
        <v>634.76030290058748</v>
      </c>
      <c r="AN30" s="59">
        <f ca="1">AVERAGE(OFFSET($AM$3,0,0,'Données projet'!$E$10+1,1))-AVERAGE(OFFSET($H$3,0,0,'Données projet'!$E$10+1,1))</f>
        <v>148.39628895278571</v>
      </c>
      <c r="AO30" s="59">
        <f t="shared" si="36"/>
        <v>361.07991692964788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28.921853669759102</v>
      </c>
      <c r="AW30" s="21">
        <f>EXP(-LN(2)/2)*AW29+(1-EXP(-LN(2)/2))/(LN(2)/2)*AQ30*AT30*VLOOKUP('Données projet'!$B$10,Paramètres!$A$1:$I$89,3,0)*0.475*44/12</f>
        <v>0.12717175736062727</v>
      </c>
      <c r="AX30" s="21">
        <f t="shared" si="6"/>
        <v>29.04902542711973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2.5115384616666665</v>
      </c>
      <c r="BD30" s="12">
        <f>IF('Données projet'!$A$88&gt;35,BD29+BC30-BL29,IF(A30&lt;'Données projet'!$A$88,$BA$205^A30,IF(A30='Données projet'!$A$88,'Données projet'!$B$88,BD29+BC30-BL29)))</f>
        <v>48.90519323549205</v>
      </c>
      <c r="BE30" s="13">
        <f>BD30*VLOOKUP('Données projet'!$B$11,Paramètres!$A$1:$I$89,3,0)*VLOOKUP('Données projet'!$B$11,Paramètres!$A$1:$I$89,5,0)</f>
        <v>44.249418839473208</v>
      </c>
      <c r="BF30" s="13">
        <f t="shared" si="37"/>
        <v>13.118252765902122</v>
      </c>
      <c r="BG30" s="20">
        <f t="shared" si="7"/>
        <v>99.915361379362025</v>
      </c>
      <c r="BH30" s="59">
        <f t="shared" si="8"/>
        <v>393.24869471269534</v>
      </c>
      <c r="BI30" s="59">
        <f ca="1">AVERAGE(OFFSET($BH$3,0,0,'Données projet'!$E$11+1,1))-AVERAGE(OFFSET($H$3,0,0,'Données projet'!$E$11+1,1))</f>
        <v>465.85201723964195</v>
      </c>
      <c r="BJ30" s="59">
        <f t="shared" si="38"/>
        <v>110.67325286443491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8</v>
      </c>
      <c r="BY30" s="12">
        <f>IF('Données projet'!$A$114&gt;35,BY29+BX30-CG29,IF(A30&lt;'Données projet'!$A$114,$BV$205^A30,IF(A30='Données projet'!$A$114,'Données projet'!$B$114,BY29+BX30-CG29)))</f>
        <v>95</v>
      </c>
      <c r="BZ30" s="13">
        <f>BY30*VLOOKUP('Données projet'!$B$12,Paramètres!$A$1:$I$89,3,0)*VLOOKUP('Données projet'!$B$12,Paramètres!$A$1:$I$89,5,0)</f>
        <v>82.992000000000004</v>
      </c>
      <c r="CA30" s="13">
        <f t="shared" si="39"/>
        <v>22.867173045817324</v>
      </c>
      <c r="CB30" s="20">
        <f t="shared" si="10"/>
        <v>184.37139305479852</v>
      </c>
      <c r="CC30" s="59">
        <f t="shared" si="11"/>
        <v>477.7047263881318</v>
      </c>
      <c r="CD30" s="59">
        <f ca="1">AVERAGE(OFFSET($CC$3,0,0,'Données projet'!$E$12+1,1))-AVERAGE(OFFSET($H$3,0,0,'Données projet'!$E$12+1,1))</f>
        <v>201.70120933876507</v>
      </c>
      <c r="CE30" s="59">
        <f t="shared" si="40"/>
        <v>188.1234063307752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9.8000000000000007</v>
      </c>
      <c r="CT30" s="12">
        <f>IF('Données projet'!$A$140&gt;35,CT29+CS30-DB29,IF(A30&lt;'Données projet'!$A$140,$CQ$205^A30,IF(A30='Données projet'!$A$140,'Données projet'!$B$140,CT29+CS30-DB29)))</f>
        <v>84.6</v>
      </c>
      <c r="CU30" s="17">
        <f>CT30*VLOOKUP('Données projet'!$B$13,Paramètres!$A$1:$I$89,3,0)*VLOOKUP('Données projet'!$B$13,Paramètres!$A$1:$I$89,5,0)</f>
        <v>62.028719999999993</v>
      </c>
      <c r="CV30" s="13">
        <f t="shared" si="41"/>
        <v>17.680196195475162</v>
      </c>
      <c r="CW30" s="20">
        <f t="shared" si="13"/>
        <v>138.82636237378588</v>
      </c>
      <c r="CX30" s="59">
        <f t="shared" si="14"/>
        <v>432.15969570711923</v>
      </c>
      <c r="CY30" s="59">
        <f ca="1">AVERAGE(OFFSET($CX$3,0,0,'Données projet'!$E$13+1,1))-AVERAGE(OFFSET($H$3,0,0,'Données projet'!$E$13+1,1))</f>
        <v>141.13780344922503</v>
      </c>
      <c r="CZ30" s="59">
        <f t="shared" si="42"/>
        <v>144.12010599544237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>
        <f>VLOOKUP(A31,'Données projet'!$A$61:$I$81,2,0)</f>
        <v>277</v>
      </c>
      <c r="AG31" s="12">
        <f>VLOOKUP(A31,'Données projet'!$A$61:$I$81,9,0)</f>
        <v>16</v>
      </c>
      <c r="AH31" s="12">
        <f t="array" ref="AH31">INDEX(AG:AG,MIN(IF(ISNUMBER(AG31:AG227),ROW(AG31:AG227),"")))</f>
        <v>16</v>
      </c>
      <c r="AI31" s="13">
        <f>IF('Données projet'!$A$62&gt;35,AI30+AH31-AQ30,IF(A31&lt;'Données projet'!$A$62,$AF$205^A31,IF(A31='Données projet'!$A$62,'Données projet'!$B$62,AI30+AH31-AQ30)))</f>
        <v>277</v>
      </c>
      <c r="AJ31" s="13">
        <f>AI31*VLOOKUP('Données projet'!$B$10,Paramètres!$A$1:$I$89,3,0)*VLOOKUP('Données projet'!$B$10,Paramètres!$A$1:$I$89,5,0)</f>
        <v>165.64600000000002</v>
      </c>
      <c r="AK31" s="13">
        <f t="shared" si="35"/>
        <v>42.113404814327666</v>
      </c>
      <c r="AL31" s="20">
        <f t="shared" si="4"/>
        <v>361.84763005162068</v>
      </c>
      <c r="AM31" s="59">
        <f t="shared" si="5"/>
        <v>655.180963384954</v>
      </c>
      <c r="AN31" s="59">
        <f ca="1">AVERAGE(OFFSET($AM$3,0,0,'Données projet'!$E$10+1,1))-AVERAGE(OFFSET($H$3,0,0,'Données projet'!$E$10+1,1))</f>
        <v>148.39628895278571</v>
      </c>
      <c r="AO31" s="59">
        <f t="shared" si="36"/>
        <v>361.07991692964788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28.130984060225355</v>
      </c>
      <c r="AW31" s="21">
        <f>EXP(-LN(2)/2)*AW30+(1-EXP(-LN(2)/2))/(LN(2)/2)*AQ31*AT31*VLOOKUP('Données projet'!$B$10,Paramètres!$A$1:$I$89,3,0)*0.475*44/12</f>
        <v>8.9924012005109785E-2</v>
      </c>
      <c r="AX31" s="21">
        <f t="shared" si="6"/>
        <v>28.220908072230465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2.5115384616666665</v>
      </c>
      <c r="BD31" s="12">
        <f>IF('Données projet'!$A$88&gt;35,BD30+BC31-BL30,IF(A31&lt;'Données projet'!$A$88,$BA$205^A31,IF(A31='Données projet'!$A$88,'Données projet'!$B$88,BD30+BC31-BL30)))</f>
        <v>56.483770812991168</v>
      </c>
      <c r="BE31" s="13">
        <f>BD31*VLOOKUP('Données projet'!$B$11,Paramètres!$A$1:$I$89,3,0)*VLOOKUP('Données projet'!$B$11,Paramètres!$A$1:$I$89,5,0)</f>
        <v>51.1065158315944</v>
      </c>
      <c r="BF31" s="13">
        <f t="shared" si="37"/>
        <v>14.899157140630228</v>
      </c>
      <c r="BG31" s="20">
        <f t="shared" si="7"/>
        <v>114.95988042662457</v>
      </c>
      <c r="BH31" s="59">
        <f t="shared" si="8"/>
        <v>408.29321375995789</v>
      </c>
      <c r="BI31" s="59">
        <f ca="1">AVERAGE(OFFSET($BH$3,0,0,'Données projet'!$E$11+1,1))-AVERAGE(OFFSET($H$3,0,0,'Données projet'!$E$11+1,1))</f>
        <v>465.85201723964195</v>
      </c>
      <c r="BJ31" s="59">
        <f t="shared" si="38"/>
        <v>110.67325286443491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8</v>
      </c>
      <c r="BY31" s="12">
        <f>IF('Données projet'!$A$114&gt;35,BY30+BX31-CG30,IF(A31&lt;'Données projet'!$A$114,$BV$205^A31,IF(A31='Données projet'!$A$114,'Données projet'!$B$114,BY30+BX31-CG30)))</f>
        <v>103</v>
      </c>
      <c r="BZ31" s="13">
        <f>BY31*VLOOKUP('Données projet'!$B$12,Paramètres!$A$1:$I$89,3,0)*VLOOKUP('Données projet'!$B$12,Paramètres!$A$1:$I$89,5,0)</f>
        <v>89.980800000000016</v>
      </c>
      <c r="CA31" s="13">
        <f t="shared" si="39"/>
        <v>24.560594358746648</v>
      </c>
      <c r="CB31" s="20">
        <f t="shared" si="10"/>
        <v>199.49292850815041</v>
      </c>
      <c r="CC31" s="59">
        <f t="shared" si="11"/>
        <v>492.82626184148376</v>
      </c>
      <c r="CD31" s="59">
        <f ca="1">AVERAGE(OFFSET($CC$3,0,0,'Données projet'!$E$12+1,1))-AVERAGE(OFFSET($H$3,0,0,'Données projet'!$E$12+1,1))</f>
        <v>201.70120933876507</v>
      </c>
      <c r="CE31" s="59">
        <f t="shared" si="40"/>
        <v>188.1234063307752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9.8000000000000007</v>
      </c>
      <c r="CT31" s="12">
        <f>IF('Données projet'!$A$140&gt;35,CT30+CS31-DB30,IF(A31&lt;'Données projet'!$A$140,$CQ$205^A31,IF(A31='Données projet'!$A$140,'Données projet'!$B$140,CT30+CS31-DB30)))</f>
        <v>94.399999999999991</v>
      </c>
      <c r="CU31" s="17">
        <f>CT31*VLOOKUP('Données projet'!$B$13,Paramètres!$A$1:$I$89,3,0)*VLOOKUP('Données projet'!$B$13,Paramètres!$A$1:$I$89,5,0)</f>
        <v>69.214079999999996</v>
      </c>
      <c r="CV31" s="13">
        <f t="shared" si="41"/>
        <v>19.478157867807194</v>
      </c>
      <c r="CW31" s="20">
        <f t="shared" si="13"/>
        <v>154.47231428643084</v>
      </c>
      <c r="CX31" s="59">
        <f t="shared" si="14"/>
        <v>447.80564761976416</v>
      </c>
      <c r="CY31" s="59">
        <f ca="1">AVERAGE(OFFSET($CX$3,0,0,'Données projet'!$E$13+1,1))-AVERAGE(OFFSET($H$3,0,0,'Données projet'!$E$13+1,1))</f>
        <v>141.13780344922503</v>
      </c>
      <c r="CZ31" s="59">
        <f t="shared" si="42"/>
        <v>144.12010599544237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>
        <f>VLOOKUP(A32,'Données projet'!$A$61:$I$81,2,0)</f>
        <v>293</v>
      </c>
      <c r="AG32" s="12">
        <f>VLOOKUP(A32,'Données projet'!$A$61:$I$81,9,0)</f>
        <v>16</v>
      </c>
      <c r="AH32" s="12">
        <f t="array" ref="AH32">INDEX(AG:AG,MIN(IF(ISNUMBER(AG32:AG228),ROW(AG32:AG228),"")))</f>
        <v>16</v>
      </c>
      <c r="AI32" s="13">
        <f>IF('Données projet'!$A$62&gt;35,AI31+AH32-AQ31,IF(A32&lt;'Données projet'!$A$62,$AF$205^A32,IF(A32='Données projet'!$A$62,'Données projet'!$B$62,AI31+AH32-AQ31)))</f>
        <v>293</v>
      </c>
      <c r="AJ32" s="13">
        <f>AI32*VLOOKUP('Données projet'!$B$10,Paramètres!$A$1:$I$89,3,0)*VLOOKUP('Données projet'!$B$10,Paramètres!$A$1:$I$89,5,0)</f>
        <v>175.214</v>
      </c>
      <c r="AK32" s="13">
        <f t="shared" si="35"/>
        <v>44.255725061661991</v>
      </c>
      <c r="AL32" s="20">
        <f t="shared" si="4"/>
        <v>382.24310448239459</v>
      </c>
      <c r="AM32" s="59">
        <f t="shared" si="5"/>
        <v>675.5764378157279</v>
      </c>
      <c r="AN32" s="59">
        <f ca="1">AVERAGE(OFFSET($AM$3,0,0,'Données projet'!$E$10+1,1))-AVERAGE(OFFSET($H$3,0,0,'Données projet'!$E$10+1,1))</f>
        <v>148.39628895278571</v>
      </c>
      <c r="AO32" s="59">
        <f t="shared" si="36"/>
        <v>361.07991692964788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27.361740821754335</v>
      </c>
      <c r="AW32" s="21">
        <f>EXP(-LN(2)/2)*AW31+(1-EXP(-LN(2)/2))/(LN(2)/2)*AQ32*AT32*VLOOKUP('Données projet'!$B$10,Paramètres!$A$1:$I$89,3,0)*0.475*44/12</f>
        <v>6.3585878680313637E-2</v>
      </c>
      <c r="AX32" s="21">
        <f t="shared" si="6"/>
        <v>27.425326700434649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2.5115384616666665</v>
      </c>
      <c r="BD32" s="12">
        <f>IF('Données projet'!$A$88&gt;35,BD31+BC32-BL31,IF(A32&lt;'Données projet'!$A$88,$BA$205^A32,IF(A32='Données projet'!$A$88,'Données projet'!$B$88,BD31+BC32-BL31)))</f>
        <v>65.236760233044663</v>
      </c>
      <c r="BE32" s="13">
        <f>BD32*VLOOKUP('Données projet'!$B$11,Paramètres!$A$1:$I$89,3,0)*VLOOKUP('Données projet'!$B$11,Paramètres!$A$1:$I$89,5,0)</f>
        <v>59.026220658858804</v>
      </c>
      <c r="BF32" s="13">
        <f t="shared" si="37"/>
        <v>16.921833072022469</v>
      </c>
      <c r="BG32" s="20">
        <f t="shared" si="7"/>
        <v>132.2761935812849</v>
      </c>
      <c r="BH32" s="59">
        <f t="shared" si="8"/>
        <v>425.60952691461819</v>
      </c>
      <c r="BI32" s="59">
        <f ca="1">AVERAGE(OFFSET($BH$3,0,0,'Données projet'!$E$11+1,1))-AVERAGE(OFFSET($H$3,0,0,'Données projet'!$E$11+1,1))</f>
        <v>465.85201723964195</v>
      </c>
      <c r="BJ32" s="59">
        <f t="shared" si="38"/>
        <v>110.67325286443491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8</v>
      </c>
      <c r="BY32" s="12">
        <f>IF('Données projet'!$A$114&gt;35,BY31+BX32-CG31,IF(A32&lt;'Données projet'!$A$114,$BV$205^A32,IF(A32='Données projet'!$A$114,'Données projet'!$B$114,BY31+BX32-CG31)))</f>
        <v>111</v>
      </c>
      <c r="BZ32" s="13">
        <f>BY32*VLOOKUP('Données projet'!$B$12,Paramètres!$A$1:$I$89,3,0)*VLOOKUP('Données projet'!$B$12,Paramètres!$A$1:$I$89,5,0)</f>
        <v>96.969600000000014</v>
      </c>
      <c r="CA32" s="13">
        <f t="shared" si="39"/>
        <v>26.238758642904337</v>
      </c>
      <c r="CB32" s="20">
        <f t="shared" si="10"/>
        <v>214.58789130305843</v>
      </c>
      <c r="CC32" s="59">
        <f t="shared" si="11"/>
        <v>507.92122463639174</v>
      </c>
      <c r="CD32" s="59">
        <f ca="1">AVERAGE(OFFSET($CC$3,0,0,'Données projet'!$E$12+1,1))-AVERAGE(OFFSET($H$3,0,0,'Données projet'!$E$12+1,1))</f>
        <v>201.70120933876507</v>
      </c>
      <c r="CE32" s="59">
        <f t="shared" si="40"/>
        <v>188.1234063307752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9.8000000000000007</v>
      </c>
      <c r="CT32" s="12">
        <f>IF('Données projet'!$A$140&gt;35,CT31+CS32-DB31,IF(A32&lt;'Données projet'!$A$140,$CQ$205^A32,IF(A32='Données projet'!$A$140,'Données projet'!$B$140,CT31+CS32-DB31)))</f>
        <v>104.19999999999999</v>
      </c>
      <c r="CU32" s="17">
        <f>CT32*VLOOKUP('Données projet'!$B$13,Paramètres!$A$1:$I$89,3,0)*VLOOKUP('Données projet'!$B$13,Paramètres!$A$1:$I$89,5,0)</f>
        <v>76.399439999999984</v>
      </c>
      <c r="CV32" s="13">
        <f t="shared" si="41"/>
        <v>21.254482911552948</v>
      </c>
      <c r="CW32" s="20">
        <f t="shared" si="13"/>
        <v>170.08058240428804</v>
      </c>
      <c r="CX32" s="59">
        <f t="shared" si="14"/>
        <v>463.41391573762132</v>
      </c>
      <c r="CY32" s="59">
        <f ca="1">AVERAGE(OFFSET($CX$3,0,0,'Données projet'!$E$13+1,1))-AVERAGE(OFFSET($H$3,0,0,'Données projet'!$E$13+1,1))</f>
        <v>141.13780344922503</v>
      </c>
      <c r="CZ32" s="59">
        <f t="shared" si="42"/>
        <v>144.12010599544237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309</v>
      </c>
      <c r="AG33" s="12">
        <f>VLOOKUP(A33,'Données projet'!$A$61:$I$81,9,0)</f>
        <v>16</v>
      </c>
      <c r="AH33" s="12">
        <f t="array" ref="AH33">INDEX(AG:AG,MIN(IF(ISNUMBER(AG33:AG229),ROW(AG33:AG229),"")))</f>
        <v>16</v>
      </c>
      <c r="AI33" s="13">
        <f>IF('Données projet'!$A$62&gt;35,AI32+AH33-AQ32,IF(A33&lt;'Données projet'!$A$62,$AF$205^A33,IF(A33='Données projet'!$A$62,'Données projet'!$B$62,AI32+AH33-AQ32)))</f>
        <v>309</v>
      </c>
      <c r="AJ33" s="13">
        <f>AI33*VLOOKUP('Données projet'!$B$10,Paramètres!$A$1:$I$89,3,0)*VLOOKUP('Données projet'!$B$10,Paramètres!$A$1:$I$89,5,0)</f>
        <v>184.78200000000004</v>
      </c>
      <c r="AK33" s="13">
        <f t="shared" si="35"/>
        <v>46.384464109944147</v>
      </c>
      <c r="AL33" s="20">
        <f t="shared" si="4"/>
        <v>402.61492499148608</v>
      </c>
      <c r="AM33" s="59">
        <f t="shared" si="5"/>
        <v>695.94825832481934</v>
      </c>
      <c r="AN33" s="59">
        <f ca="1">AVERAGE(OFFSET($AM$3,0,0,'Données projet'!$E$10+1,1))-AVERAGE(OFFSET($H$3,0,0,'Données projet'!$E$10+1,1))</f>
        <v>148.39628895278571</v>
      </c>
      <c r="AO33" s="59">
        <f t="shared" si="36"/>
        <v>361.07991692964788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309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0.45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136.48556937293114</v>
      </c>
      <c r="AW33" s="21">
        <f>EXP(-LN(2)/2)*AW32+(1-EXP(-LN(2)/2))/(LN(2)/2)*AQ33*AT33*VLOOKUP('Données projet'!$B$10,Paramètres!$A$1:$I$89,3,0)*0.475*44/12</f>
        <v>4.4962006002554893E-2</v>
      </c>
      <c r="AX33" s="21">
        <f t="shared" si="6"/>
        <v>136.53053137893369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75.346153849999993</v>
      </c>
      <c r="BB33" s="12">
        <f>VLOOKUP(A33,'Données projet'!$A$87:$I$107,9,0)</f>
        <v>2.5115384616666665</v>
      </c>
      <c r="BC33" s="12">
        <f t="array" ref="BC33">INDEX(BB:BB,MIN(IF(ISNUMBER(BB33:BB229),ROW(BB33:BB229),"")))</f>
        <v>2.5115384616666665</v>
      </c>
      <c r="BD33" s="12">
        <f>IF('Données projet'!$A$88&gt;35,BD32+BC33-BL32,IF(A33&lt;'Données projet'!$A$88,$BA$205^A33,IF(A33='Données projet'!$A$88,'Données projet'!$B$88,BD32+BC33-BL32)))</f>
        <v>75.346153849999993</v>
      </c>
      <c r="BE33" s="13">
        <f>BD33*VLOOKUP('Données projet'!$B$11,Paramètres!$A$1:$I$89,3,0)*VLOOKUP('Données projet'!$B$11,Paramètres!$A$1:$I$89,5,0)</f>
        <v>68.173200003479991</v>
      </c>
      <c r="BF33" s="13">
        <f t="shared" si="37"/>
        <v>19.219102920695935</v>
      </c>
      <c r="BG33" s="20">
        <f t="shared" si="7"/>
        <v>152.20826092627306</v>
      </c>
      <c r="BH33" s="59">
        <f t="shared" si="8"/>
        <v>445.54159425960637</v>
      </c>
      <c r="BI33" s="59">
        <f ca="1">AVERAGE(OFFSET($BH$3,0,0,'Données projet'!$E$11+1,1))-AVERAGE(OFFSET($H$3,0,0,'Données projet'!$E$11+1,1))</f>
        <v>465.85201723964195</v>
      </c>
      <c r="BJ33" s="59">
        <f t="shared" si="38"/>
        <v>110.67325286443491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119</v>
      </c>
      <c r="BW33" s="12">
        <f>VLOOKUP(A33,'Données projet'!$A$113:$I$133,9,0)</f>
        <v>8</v>
      </c>
      <c r="BX33" s="12">
        <f t="array" ref="BX33">INDEX(BW:BW,MIN(IF(ISNUMBER(BW33:BW229),ROW(BW33:BW229),"")))</f>
        <v>8</v>
      </c>
      <c r="BY33" s="12">
        <f>IF('Données projet'!$A$114&gt;35,BY32+BX33-CG32,IF(A33&lt;'Données projet'!$A$114,$BV$205^A33,IF(A33='Données projet'!$A$114,'Données projet'!$B$114,BY32+BX33-CG32)))</f>
        <v>119</v>
      </c>
      <c r="BZ33" s="13">
        <f>BY33*VLOOKUP('Données projet'!$B$12,Paramètres!$A$1:$I$89,3,0)*VLOOKUP('Données projet'!$B$12,Paramètres!$A$1:$I$89,5,0)</f>
        <v>103.9584</v>
      </c>
      <c r="CA33" s="13">
        <f t="shared" si="39"/>
        <v>27.902890560352166</v>
      </c>
      <c r="CB33" s="20">
        <f t="shared" si="10"/>
        <v>229.65841439261331</v>
      </c>
      <c r="CC33" s="59">
        <f t="shared" si="11"/>
        <v>522.99174772594665</v>
      </c>
      <c r="CD33" s="59">
        <f ca="1">AVERAGE(OFFSET($CC$3,0,0,'Données projet'!$E$12+1,1))-AVERAGE(OFFSET($H$3,0,0,'Données projet'!$E$12+1,1))</f>
        <v>201.70120933876507</v>
      </c>
      <c r="CE33" s="59">
        <f t="shared" si="40"/>
        <v>188.1234063307752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20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114</v>
      </c>
      <c r="CR33" s="12">
        <f>VLOOKUP(A33,'Données projet'!$A$139:$I$159,9,0)</f>
        <v>9.8000000000000007</v>
      </c>
      <c r="CS33" s="12">
        <f t="array" ref="CS33">INDEX(CR:CR,MIN(IF(ISNUMBER(CR33:CR229),ROW(CR33:CR229),"")))</f>
        <v>9.8000000000000007</v>
      </c>
      <c r="CT33" s="12">
        <f>IF('Données projet'!$A$140&gt;35,CT32+CS33-DB32,IF(A33&lt;'Données projet'!$A$140,$CQ$205^A33,IF(A33='Données projet'!$A$140,'Données projet'!$B$140,CT32+CS33-DB32)))</f>
        <v>113.99999999999999</v>
      </c>
      <c r="CU33" s="17">
        <f>CT33*VLOOKUP('Données projet'!$B$13,Paramètres!$A$1:$I$89,3,0)*VLOOKUP('Données projet'!$B$13,Paramètres!$A$1:$I$89,5,0)</f>
        <v>83.584799999999987</v>
      </c>
      <c r="CV33" s="13">
        <f t="shared" si="41"/>
        <v>23.011437736237617</v>
      </c>
      <c r="CW33" s="20">
        <f t="shared" si="13"/>
        <v>185.65511405728049</v>
      </c>
      <c r="CX33" s="59">
        <f t="shared" si="14"/>
        <v>478.98844739061383</v>
      </c>
      <c r="CY33" s="59">
        <f ca="1">AVERAGE(OFFSET($CX$3,0,0,'Données projet'!$E$13+1,1))-AVERAGE(OFFSET($H$3,0,0,'Données projet'!$E$13+1,1))</f>
        <v>141.13780344922503</v>
      </c>
      <c r="CZ33" s="59">
        <f t="shared" si="42"/>
        <v>144.12010599544237</v>
      </c>
      <c r="DA33" s="15">
        <f>IF(ISNA(VLOOKUP(A33,'Données projet'!$A$139:$I$159,3,0)),0,VLOOKUP(A33,'Données projet'!$A$139:$I$159,3,0))</f>
        <v>3</v>
      </c>
      <c r="DB33" s="15">
        <f>IF(ISNA(VLOOKUP(A33,'Données projet'!$A$139:$I$159,4,0)),0,VLOOKUP(A33,'Données projet'!$A$139:$I$159,4,0))</f>
        <v>21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>
        <f>AI34*VLOOKUP('Données projet'!$B$10,Paramètres!$A$1:$I$89,3,0)*VLOOKUP('Données projet'!$B$10,Paramètres!$A$1:$I$89,5,0)</f>
        <v>0</v>
      </c>
      <c r="AK34" s="13" t="e">
        <f t="shared" si="35"/>
        <v>#NUM!</v>
      </c>
      <c r="AL34" s="20" t="e">
        <f t="shared" si="4"/>
        <v>#NUM!</v>
      </c>
      <c r="AM34" s="59" t="e">
        <f t="shared" si="5"/>
        <v>#NUM!</v>
      </c>
      <c r="AN34" s="59">
        <f ca="1">AVERAGE(OFFSET($AM$3,0,0,'Données projet'!$E$10+1,1))-AVERAGE(OFFSET($H$3,0,0,'Données projet'!$E$10+1,1))</f>
        <v>148.39628895278571</v>
      </c>
      <c r="AO34" s="59">
        <f t="shared" si="36"/>
        <v>361.07991692964788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132.75336430096419</v>
      </c>
      <c r="AW34" s="21">
        <f>EXP(-LN(2)/2)*AW33+(1-EXP(-LN(2)/2))/(LN(2)/2)*AQ34*AT34*VLOOKUP('Données projet'!$B$10,Paramètres!$A$1:$I$89,3,0)*0.475*44/12</f>
        <v>3.1792939340156819E-2</v>
      </c>
      <c r="AX34" s="21">
        <f t="shared" si="6"/>
        <v>132.78515724030436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8.0511538458333352</v>
      </c>
      <c r="BD34" s="12">
        <f>IF('Données projet'!$A$88&gt;35,BD33+BC34-BL33,IF(A34&lt;'Données projet'!$A$88,$BA$205^A34,IF(A34='Données projet'!$A$88,'Données projet'!$B$88,BD33+BC34-BL33)))</f>
        <v>83.397307695833334</v>
      </c>
      <c r="BE34" s="13">
        <f>BD34*VLOOKUP('Données projet'!$B$11,Paramètres!$A$1:$I$89,3,0)*VLOOKUP('Données projet'!$B$11,Paramètres!$A$1:$I$89,5,0)</f>
        <v>75.457884003190003</v>
      </c>
      <c r="BF34" s="13">
        <f t="shared" si="37"/>
        <v>21.022863444231653</v>
      </c>
      <c r="BG34" s="20">
        <f t="shared" si="7"/>
        <v>168.03730180425939</v>
      </c>
      <c r="BH34" s="59">
        <f t="shared" si="8"/>
        <v>461.37063513759267</v>
      </c>
      <c r="BI34" s="59">
        <f ca="1">AVERAGE(OFFSET($BH$3,0,0,'Données projet'!$E$11+1,1))-AVERAGE(OFFSET($H$3,0,0,'Données projet'!$E$11+1,1))</f>
        <v>465.85201723964195</v>
      </c>
      <c r="BJ34" s="59">
        <f t="shared" si="38"/>
        <v>110.67325286443491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7.2</v>
      </c>
      <c r="BY34" s="12">
        <f>IF('Données projet'!$A$114&gt;35,BY33+BX34-CG33,IF(A34&lt;'Données projet'!$A$114,$BV$205^A34,IF(A34='Données projet'!$A$114,'Données projet'!$B$114,BY33+BX34-CG33)))</f>
        <v>106.2</v>
      </c>
      <c r="BZ34" s="13">
        <f>BY34*VLOOKUP('Données projet'!$B$12,Paramètres!$A$1:$I$89,3,0)*VLOOKUP('Données projet'!$B$12,Paramètres!$A$1:$I$89,5,0)</f>
        <v>92.776320000000013</v>
      </c>
      <c r="CA34" s="13">
        <f t="shared" si="39"/>
        <v>25.233617967655977</v>
      </c>
      <c r="CB34" s="20">
        <f t="shared" si="10"/>
        <v>205.53397529366751</v>
      </c>
      <c r="CC34" s="59">
        <f t="shared" si="11"/>
        <v>498.86730862700085</v>
      </c>
      <c r="CD34" s="59">
        <f ca="1">AVERAGE(OFFSET($CC$3,0,0,'Données projet'!$E$12+1,1))-AVERAGE(OFFSET($H$3,0,0,'Données projet'!$E$12+1,1))</f>
        <v>201.70120933876507</v>
      </c>
      <c r="CE34" s="59">
        <f t="shared" si="40"/>
        <v>188.1234063307752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8.6</v>
      </c>
      <c r="CT34" s="12">
        <f>IF('Données projet'!$A$140&gt;35,CT33+CS34-DB33,IF(A34&lt;'Données projet'!$A$140,$CQ$205^A34,IF(A34='Données projet'!$A$140,'Données projet'!$B$140,CT33+CS34-DB33)))</f>
        <v>101.59999999999998</v>
      </c>
      <c r="CU34" s="17">
        <f>CT34*VLOOKUP('Données projet'!$B$13,Paramètres!$A$1:$I$89,3,0)*VLOOKUP('Données projet'!$B$13,Paramètres!$A$1:$I$89,5,0)</f>
        <v>74.49311999999999</v>
      </c>
      <c r="CV34" s="13">
        <f t="shared" si="41"/>
        <v>20.785185634730134</v>
      </c>
      <c r="CW34" s="20">
        <f t="shared" si="13"/>
        <v>165.94304898048827</v>
      </c>
      <c r="CX34" s="59">
        <f t="shared" si="14"/>
        <v>459.27638231382161</v>
      </c>
      <c r="CY34" s="59">
        <f ca="1">AVERAGE(OFFSET($CX$3,0,0,'Données projet'!$E$13+1,1))-AVERAGE(OFFSET($H$3,0,0,'Données projet'!$E$13+1,1))</f>
        <v>141.13780344922503</v>
      </c>
      <c r="CZ34" s="59">
        <f t="shared" si="42"/>
        <v>144.12010599544237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>
        <f>AI35*VLOOKUP('Données projet'!$B$10,Paramètres!$A$1:$I$89,3,0)*VLOOKUP('Données projet'!$B$10,Paramètres!$A$1:$I$89,5,0)</f>
        <v>0</v>
      </c>
      <c r="AK35" s="13" t="e">
        <f t="shared" si="35"/>
        <v>#NUM!</v>
      </c>
      <c r="AL35" s="20" t="e">
        <f t="shared" si="4"/>
        <v>#NUM!</v>
      </c>
      <c r="AM35" s="59" t="e">
        <f t="shared" si="5"/>
        <v>#NUM!</v>
      </c>
      <c r="AN35" s="59">
        <f ca="1">AVERAGE(OFFSET($AM$3,0,0,'Données projet'!$E$10+1,1))-AVERAGE(OFFSET($H$3,0,0,'Données projet'!$E$10+1,1))</f>
        <v>148.39628895278571</v>
      </c>
      <c r="AO35" s="59">
        <f t="shared" si="36"/>
        <v>361.07991692964788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129.12321657295831</v>
      </c>
      <c r="AW35" s="21">
        <f>EXP(-LN(2)/2)*AW34+(1-EXP(-LN(2)/2))/(LN(2)/2)*AQ35*AT35*VLOOKUP('Données projet'!$B$10,Paramètres!$A$1:$I$89,3,0)*0.475*44/12</f>
        <v>2.2481003001277446E-2</v>
      </c>
      <c r="AX35" s="21">
        <f t="shared" si="6"/>
        <v>129.14569757595959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8.0511538458333352</v>
      </c>
      <c r="BD35" s="12">
        <f>IF('Données projet'!$A$88&gt;35,BD34+BC35-BL34,IF(A35&lt;'Données projet'!$A$88,$BA$205^A35,IF(A35='Données projet'!$A$88,'Données projet'!$B$88,BD34+BC35-BL34)))</f>
        <v>91.448461541666674</v>
      </c>
      <c r="BE35" s="13">
        <f>BD35*VLOOKUP('Données projet'!$B$11,Paramètres!$A$1:$I$89,3,0)*VLOOKUP('Données projet'!$B$11,Paramètres!$A$1:$I$89,5,0)</f>
        <v>82.742568002900001</v>
      </c>
      <c r="BF35" s="13">
        <f t="shared" si="37"/>
        <v>22.806435091035883</v>
      </c>
      <c r="BG35" s="20">
        <f t="shared" si="7"/>
        <v>183.83118038860502</v>
      </c>
      <c r="BH35" s="59">
        <f t="shared" si="8"/>
        <v>477.16451372193831</v>
      </c>
      <c r="BI35" s="59">
        <f ca="1">AVERAGE(OFFSET($BH$3,0,0,'Données projet'!$E$11+1,1))-AVERAGE(OFFSET($H$3,0,0,'Données projet'!$E$11+1,1))</f>
        <v>465.85201723964195</v>
      </c>
      <c r="BJ35" s="59">
        <f t="shared" si="38"/>
        <v>110.67325286443491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7.2</v>
      </c>
      <c r="BY35" s="12">
        <f>IF('Données projet'!$A$114&gt;35,BY34+BX35-CG34,IF(A35&lt;'Données projet'!$A$114,$BV$205^A35,IF(A35='Données projet'!$A$114,'Données projet'!$B$114,BY34+BX35-CG34)))</f>
        <v>113.4</v>
      </c>
      <c r="BZ35" s="13">
        <f>BY35*VLOOKUP('Données projet'!$B$12,Paramètres!$A$1:$I$89,3,0)*VLOOKUP('Données projet'!$B$12,Paramètres!$A$1:$I$89,5,0)</f>
        <v>99.066240000000022</v>
      </c>
      <c r="CA35" s="13">
        <f t="shared" si="39"/>
        <v>26.739420789378705</v>
      </c>
      <c r="CB35" s="20">
        <f t="shared" si="10"/>
        <v>219.11152587483457</v>
      </c>
      <c r="CC35" s="59">
        <f t="shared" si="11"/>
        <v>512.44485920816783</v>
      </c>
      <c r="CD35" s="59">
        <f ca="1">AVERAGE(OFFSET($CC$3,0,0,'Données projet'!$E$12+1,1))-AVERAGE(OFFSET($H$3,0,0,'Données projet'!$E$12+1,1))</f>
        <v>201.70120933876507</v>
      </c>
      <c r="CE35" s="59">
        <f t="shared" si="40"/>
        <v>188.1234063307752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8.6</v>
      </c>
      <c r="CT35" s="12">
        <f>IF('Données projet'!$A$140&gt;35,CT34+CS35-DB34,IF(A35&lt;'Données projet'!$A$140,$CQ$205^A35,IF(A35='Données projet'!$A$140,'Données projet'!$B$140,CT34+CS35-DB34)))</f>
        <v>110.19999999999997</v>
      </c>
      <c r="CU35" s="17">
        <f>CT35*VLOOKUP('Données projet'!$B$13,Paramètres!$A$1:$I$89,3,0)*VLOOKUP('Données projet'!$B$13,Paramètres!$A$1:$I$89,5,0)</f>
        <v>80.798639999999978</v>
      </c>
      <c r="CV35" s="13">
        <f t="shared" si="41"/>
        <v>22.332342724937131</v>
      </c>
      <c r="CW35" s="20">
        <f t="shared" si="13"/>
        <v>179.61979491259879</v>
      </c>
      <c r="CX35" s="59">
        <f t="shared" si="14"/>
        <v>472.95312824593213</v>
      </c>
      <c r="CY35" s="59">
        <f ca="1">AVERAGE(OFFSET($CX$3,0,0,'Données projet'!$E$13+1,1))-AVERAGE(OFFSET($H$3,0,0,'Données projet'!$E$13+1,1))</f>
        <v>141.13780344922503</v>
      </c>
      <c r="CZ35" s="59">
        <f t="shared" si="42"/>
        <v>144.12010599544237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>
        <f>AI36*VLOOKUP('Données projet'!$B$10,Paramètres!$A$1:$I$89,3,0)*VLOOKUP('Données projet'!$B$10,Paramètres!$A$1:$I$89,5,0)</f>
        <v>0</v>
      </c>
      <c r="AK36" s="13" t="e">
        <f t="shared" si="35"/>
        <v>#NUM!</v>
      </c>
      <c r="AL36" s="20" t="e">
        <f t="shared" si="4"/>
        <v>#NUM!</v>
      </c>
      <c r="AM36" s="59" t="e">
        <f t="shared" si="5"/>
        <v>#NUM!</v>
      </c>
      <c r="AN36" s="59">
        <f ca="1">AVERAGE(OFFSET($AM$3,0,0,'Données projet'!$E$10+1,1))-AVERAGE(OFFSET($H$3,0,0,'Données projet'!$E$10+1,1))</f>
        <v>148.39628895278571</v>
      </c>
      <c r="AO36" s="59">
        <f t="shared" si="36"/>
        <v>361.07991692964788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125.59233542547592</v>
      </c>
      <c r="AW36" s="21">
        <f>EXP(-LN(2)/2)*AW35+(1-EXP(-LN(2)/2))/(LN(2)/2)*AQ36*AT36*VLOOKUP('Données projet'!$B$10,Paramètres!$A$1:$I$89,3,0)*0.475*44/12</f>
        <v>1.5896469670078409E-2</v>
      </c>
      <c r="AX36" s="21">
        <f t="shared" si="6"/>
        <v>125.60823189514601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8.0511538458333352</v>
      </c>
      <c r="BD36" s="12">
        <f>IF('Données projet'!$A$88&gt;35,BD35+BC36-BL35,IF(A36&lt;'Données projet'!$A$88,$BA$205^A36,IF(A36='Données projet'!$A$88,'Données projet'!$B$88,BD35+BC36-BL35)))</f>
        <v>99.499615387500015</v>
      </c>
      <c r="BE36" s="13">
        <f>BD36*VLOOKUP('Données projet'!$B$11,Paramètres!$A$1:$I$89,3,0)*VLOOKUP('Données projet'!$B$11,Paramètres!$A$1:$I$89,5,0)</f>
        <v>90.027252002610012</v>
      </c>
      <c r="BF36" s="13">
        <f t="shared" si="37"/>
        <v>24.571797404897811</v>
      </c>
      <c r="BG36" s="20">
        <f t="shared" si="7"/>
        <v>199.59334438474278</v>
      </c>
      <c r="BH36" s="59">
        <f t="shared" si="8"/>
        <v>492.92667771807612</v>
      </c>
      <c r="BI36" s="59">
        <f ca="1">AVERAGE(OFFSET($BH$3,0,0,'Données projet'!$E$11+1,1))-AVERAGE(OFFSET($H$3,0,0,'Données projet'!$E$11+1,1))</f>
        <v>465.85201723964195</v>
      </c>
      <c r="BJ36" s="59">
        <f t="shared" si="38"/>
        <v>110.67325286443491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7.2</v>
      </c>
      <c r="BY36" s="12">
        <f>IF('Données projet'!$A$114&gt;35,BY35+BX36-CG35,IF(A36&lt;'Données projet'!$A$114,$BV$205^A36,IF(A36='Données projet'!$A$114,'Données projet'!$B$114,BY35+BX36-CG35)))</f>
        <v>120.60000000000001</v>
      </c>
      <c r="BZ36" s="13">
        <f>BY36*VLOOKUP('Données projet'!$B$12,Paramètres!$A$1:$I$89,3,0)*VLOOKUP('Données projet'!$B$12,Paramètres!$A$1:$I$89,5,0)</f>
        <v>105.35616000000003</v>
      </c>
      <c r="CA36" s="13">
        <f t="shared" si="39"/>
        <v>28.234128165723941</v>
      </c>
      <c r="CB36" s="20">
        <f t="shared" si="10"/>
        <v>232.66975188863589</v>
      </c>
      <c r="CC36" s="59">
        <f t="shared" si="11"/>
        <v>526.00308522196917</v>
      </c>
      <c r="CD36" s="59">
        <f ca="1">AVERAGE(OFFSET($CC$3,0,0,'Données projet'!$E$12+1,1))-AVERAGE(OFFSET($H$3,0,0,'Données projet'!$E$12+1,1))</f>
        <v>201.70120933876507</v>
      </c>
      <c r="CE36" s="59">
        <f t="shared" si="40"/>
        <v>188.1234063307752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8.6</v>
      </c>
      <c r="CT36" s="12">
        <f>IF('Données projet'!$A$140&gt;35,CT35+CS36-DB35,IF(A36&lt;'Données projet'!$A$140,$CQ$205^A36,IF(A36='Données projet'!$A$140,'Données projet'!$B$140,CT35+CS36-DB35)))</f>
        <v>118.79999999999997</v>
      </c>
      <c r="CU36" s="17">
        <f>CT36*VLOOKUP('Données projet'!$B$13,Paramètres!$A$1:$I$89,3,0)*VLOOKUP('Données projet'!$B$13,Paramètres!$A$1:$I$89,5,0)</f>
        <v>87.104159999999979</v>
      </c>
      <c r="CV36" s="13">
        <f t="shared" si="41"/>
        <v>23.865494318543401</v>
      </c>
      <c r="CW36" s="20">
        <f t="shared" si="13"/>
        <v>193.27214793812971</v>
      </c>
      <c r="CX36" s="59">
        <f t="shared" si="14"/>
        <v>486.60548127146302</v>
      </c>
      <c r="CY36" s="59">
        <f ca="1">AVERAGE(OFFSET($CX$3,0,0,'Données projet'!$E$13+1,1))-AVERAGE(OFFSET($H$3,0,0,'Données projet'!$E$13+1,1))</f>
        <v>141.13780344922503</v>
      </c>
      <c r="CZ36" s="59">
        <f t="shared" si="42"/>
        <v>144.12010599544237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>
        <f>AI37*VLOOKUP('Données projet'!$B$10,Paramètres!$A$1:$I$89,3,0)*VLOOKUP('Données projet'!$B$10,Paramètres!$A$1:$I$89,5,0)</f>
        <v>0</v>
      </c>
      <c r="AK37" s="13" t="e">
        <f t="shared" si="35"/>
        <v>#NUM!</v>
      </c>
      <c r="AL37" s="20" t="e">
        <f t="shared" si="4"/>
        <v>#NUM!</v>
      </c>
      <c r="AM37" s="59" t="e">
        <f t="shared" si="5"/>
        <v>#NUM!</v>
      </c>
      <c r="AN37" s="59">
        <f ca="1">AVERAGE(OFFSET($AM$3,0,0,'Données projet'!$E$10+1,1))-AVERAGE(OFFSET($H$3,0,0,'Données projet'!$E$10+1,1))</f>
        <v>148.39628895278571</v>
      </c>
      <c r="AO37" s="59">
        <f t="shared" si="36"/>
        <v>361.07991692964788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122.15800640865241</v>
      </c>
      <c r="AW37" s="21">
        <f>EXP(-LN(2)/2)*AW36+(1-EXP(-LN(2)/2))/(LN(2)/2)*AQ37*AT37*VLOOKUP('Données projet'!$B$10,Paramètres!$A$1:$I$89,3,0)*0.475*44/12</f>
        <v>1.1240501500638723E-2</v>
      </c>
      <c r="AX37" s="21">
        <f t="shared" si="6"/>
        <v>122.16924691015305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8.0511538458333352</v>
      </c>
      <c r="BD37" s="12">
        <f>IF('Données projet'!$A$88&gt;35,BD36+BC37-BL36,IF(A37&lt;'Données projet'!$A$88,$BA$205^A37,IF(A37='Données projet'!$A$88,'Données projet'!$B$88,BD36+BC37-BL36)))</f>
        <v>107.55076923333336</v>
      </c>
      <c r="BE37" s="13">
        <f>BD37*VLOOKUP('Données projet'!$B$11,Paramètres!$A$1:$I$89,3,0)*VLOOKUP('Données projet'!$B$11,Paramètres!$A$1:$I$89,5,0)</f>
        <v>97.31193600232001</v>
      </c>
      <c r="BF37" s="13">
        <f t="shared" si="37"/>
        <v>26.32059133482085</v>
      </c>
      <c r="BG37" s="20">
        <f t="shared" si="7"/>
        <v>215.32665177885363</v>
      </c>
      <c r="BH37" s="59">
        <f t="shared" si="8"/>
        <v>508.65998511218697</v>
      </c>
      <c r="BI37" s="59">
        <f ca="1">AVERAGE(OFFSET($BH$3,0,0,'Données projet'!$E$11+1,1))-AVERAGE(OFFSET($H$3,0,0,'Données projet'!$E$11+1,1))</f>
        <v>465.85201723964195</v>
      </c>
      <c r="BJ37" s="59">
        <f t="shared" si="38"/>
        <v>110.67325286443491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7.2</v>
      </c>
      <c r="BY37" s="12">
        <f>IF('Données projet'!$A$114&gt;35,BY36+BX37-CG36,IF(A37&lt;'Données projet'!$A$114,$BV$205^A37,IF(A37='Données projet'!$A$114,'Données projet'!$B$114,BY36+BX37-CG36)))</f>
        <v>127.80000000000001</v>
      </c>
      <c r="BZ37" s="13">
        <f>BY37*VLOOKUP('Données projet'!$B$12,Paramètres!$A$1:$I$89,3,0)*VLOOKUP('Données projet'!$B$12,Paramètres!$A$1:$I$89,5,0)</f>
        <v>111.64608000000003</v>
      </c>
      <c r="CA37" s="13">
        <f t="shared" si="39"/>
        <v>29.718477955114288</v>
      </c>
      <c r="CB37" s="20">
        <f t="shared" si="10"/>
        <v>246.20993843849078</v>
      </c>
      <c r="CC37" s="59">
        <f t="shared" si="11"/>
        <v>539.54327177182404</v>
      </c>
      <c r="CD37" s="59">
        <f ca="1">AVERAGE(OFFSET($CC$3,0,0,'Données projet'!$E$12+1,1))-AVERAGE(OFFSET($H$3,0,0,'Données projet'!$E$12+1,1))</f>
        <v>201.70120933876507</v>
      </c>
      <c r="CE37" s="59">
        <f t="shared" si="40"/>
        <v>188.1234063307752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8.6</v>
      </c>
      <c r="CT37" s="12">
        <f>IF('Données projet'!$A$140&gt;35,CT36+CS37-DB36,IF(A37&lt;'Données projet'!$A$140,$CQ$205^A37,IF(A37='Données projet'!$A$140,'Données projet'!$B$140,CT36+CS37-DB36)))</f>
        <v>127.39999999999996</v>
      </c>
      <c r="CU37" s="17">
        <f>CT37*VLOOKUP('Données projet'!$B$13,Paramètres!$A$1:$I$89,3,0)*VLOOKUP('Données projet'!$B$13,Paramètres!$A$1:$I$89,5,0)</f>
        <v>93.409679999999966</v>
      </c>
      <c r="CV37" s="13">
        <f t="shared" si="41"/>
        <v>25.385769584238624</v>
      </c>
      <c r="CW37" s="20">
        <f t="shared" si="13"/>
        <v>206.90207469254884</v>
      </c>
      <c r="CX37" s="59">
        <f t="shared" si="14"/>
        <v>500.23540802588218</v>
      </c>
      <c r="CY37" s="59">
        <f ca="1">AVERAGE(OFFSET($CX$3,0,0,'Données projet'!$E$13+1,1))-AVERAGE(OFFSET($H$3,0,0,'Données projet'!$E$13+1,1))</f>
        <v>141.13780344922503</v>
      </c>
      <c r="CZ37" s="59">
        <f t="shared" si="42"/>
        <v>144.12010599544237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>
        <f>AI38*VLOOKUP('Données projet'!$B$10,Paramètres!$A$1:$I$89,3,0)*VLOOKUP('Données projet'!$B$10,Paramètres!$A$1:$I$89,5,0)</f>
        <v>0</v>
      </c>
      <c r="AK38" s="13" t="e">
        <f t="shared" si="35"/>
        <v>#NUM!</v>
      </c>
      <c r="AL38" s="20" t="e">
        <f t="shared" si="4"/>
        <v>#NUM!</v>
      </c>
      <c r="AM38" s="59" t="e">
        <f t="shared" si="5"/>
        <v>#NUM!</v>
      </c>
      <c r="AN38" s="59">
        <f ca="1">AVERAGE(OFFSET($AM$3,0,0,'Données projet'!$E$10+1,1))-AVERAGE(OFFSET($H$3,0,0,'Données projet'!$E$10+1,1))</f>
        <v>148.39628895278571</v>
      </c>
      <c r="AO38" s="59">
        <f t="shared" si="36"/>
        <v>361.07991692964788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118.81758929939745</v>
      </c>
      <c r="AW38" s="21">
        <f>EXP(-LN(2)/2)*AW37+(1-EXP(-LN(2)/2))/(LN(2)/2)*AQ38*AT38*VLOOKUP('Données projet'!$B$10,Paramètres!$A$1:$I$89,3,0)*0.475*44/12</f>
        <v>7.9482348350392047E-3</v>
      </c>
      <c r="AX38" s="21">
        <f t="shared" si="6"/>
        <v>118.8255375342325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8.0511538458333352</v>
      </c>
      <c r="BD38" s="12">
        <f>IF('Données projet'!$A$88&gt;35,BD37+BC38-BL37,IF(A38&lt;'Données projet'!$A$88,$BA$205^A38,IF(A38='Données projet'!$A$88,'Données projet'!$B$88,BD37+BC38-BL37)))</f>
        <v>115.6019230791667</v>
      </c>
      <c r="BE38" s="13">
        <f>BD38*VLOOKUP('Données projet'!$B$11,Paramètres!$A$1:$I$89,3,0)*VLOOKUP('Données projet'!$B$11,Paramètres!$A$1:$I$89,5,0)</f>
        <v>104.59662000203002</v>
      </c>
      <c r="BF38" s="13">
        <f t="shared" si="37"/>
        <v>28.054198207933389</v>
      </c>
      <c r="BG38" s="20">
        <f t="shared" si="7"/>
        <v>231.03350838235292</v>
      </c>
      <c r="BH38" s="59">
        <f t="shared" si="8"/>
        <v>524.36684171568618</v>
      </c>
      <c r="BI38" s="59">
        <f ca="1">AVERAGE(OFFSET($BH$3,0,0,'Données projet'!$E$11+1,1))-AVERAGE(OFFSET($H$3,0,0,'Données projet'!$E$11+1,1))</f>
        <v>465.85201723964195</v>
      </c>
      <c r="BJ38" s="59">
        <f t="shared" si="38"/>
        <v>110.67325286443491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135</v>
      </c>
      <c r="BW38" s="12">
        <f>VLOOKUP(A38,'Données projet'!$A$113:$I$133,9,0)</f>
        <v>7.2</v>
      </c>
      <c r="BX38" s="12">
        <f t="array" ref="BX38">INDEX(BW:BW,MIN(IF(ISNUMBER(BW38:BW234),ROW(BW38:BW234),"")))</f>
        <v>7.2</v>
      </c>
      <c r="BY38" s="12">
        <f>IF('Données projet'!$A$114&gt;35,BY37+BX38-CG37,IF(A38&lt;'Données projet'!$A$114,$BV$205^A38,IF(A38='Données projet'!$A$114,'Données projet'!$B$114,BY37+BX38-CG37)))</f>
        <v>135</v>
      </c>
      <c r="BZ38" s="13">
        <f>BY38*VLOOKUP('Données projet'!$B$12,Paramètres!$A$1:$I$89,3,0)*VLOOKUP('Données projet'!$B$12,Paramètres!$A$1:$I$89,5,0)</f>
        <v>117.93600000000002</v>
      </c>
      <c r="CA38" s="13">
        <f t="shared" si="39"/>
        <v>31.1931201812605</v>
      </c>
      <c r="CB38" s="20">
        <f t="shared" si="10"/>
        <v>259.73321764902875</v>
      </c>
      <c r="CC38" s="59">
        <f t="shared" si="11"/>
        <v>553.06655098236206</v>
      </c>
      <c r="CD38" s="59">
        <f ca="1">AVERAGE(OFFSET($CC$3,0,0,'Données projet'!$E$12+1,1))-AVERAGE(OFFSET($H$3,0,0,'Données projet'!$E$12+1,1))</f>
        <v>201.70120933876507</v>
      </c>
      <c r="CE38" s="59">
        <f t="shared" si="40"/>
        <v>188.1234063307752</v>
      </c>
      <c r="CF38" s="15">
        <f>IF(ISNA(VLOOKUP(A38,'Données projet'!$A$113:$I$133,3,0)),0,VLOOKUP(A38,'Données projet'!$A$113:$I$133,3,0))</f>
        <v>4</v>
      </c>
      <c r="CG38" s="15">
        <f>IF(ISNA(VLOOKUP(A38,'Données projet'!$A$113:$I$133,4,0)),0,VLOOKUP(A38,'Données projet'!$A$113:$I$133,4,0))</f>
        <v>20</v>
      </c>
      <c r="CH38" s="16">
        <f>IF(ISNA(VLOOKUP(A38,'Données projet'!$A$113:$I$133,5,0)),0%,VLOOKUP(A38,'Données projet'!$A$113:$I$133,5,0)*VLOOKUP('Données projet'!$B$12,Paramètres!$A$1:$I$89,7,0))</f>
        <v>0.43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8.3053547426158723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8.3053547426158723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136</v>
      </c>
      <c r="CR38" s="12">
        <f>VLOOKUP(A38,'Données projet'!$A$139:$I$159,9,0)</f>
        <v>8.6</v>
      </c>
      <c r="CS38" s="12">
        <f t="array" ref="CS38">INDEX(CR:CR,MIN(IF(ISNUMBER(CR38:CR234),ROW(CR38:CR234),"")))</f>
        <v>8.6</v>
      </c>
      <c r="CT38" s="12">
        <f>IF('Données projet'!$A$140&gt;35,CT37+CS38-DB37,IF(A38&lt;'Données projet'!$A$140,$CQ$205^A38,IF(A38='Données projet'!$A$140,'Données projet'!$B$140,CT37+CS38-DB37)))</f>
        <v>135.99999999999997</v>
      </c>
      <c r="CU38" s="17">
        <f>CT38*VLOOKUP('Données projet'!$B$13,Paramètres!$A$1:$I$89,3,0)*VLOOKUP('Données projet'!$B$13,Paramètres!$A$1:$I$89,5,0)</f>
        <v>99.715199999999967</v>
      </c>
      <c r="CV38" s="13">
        <f t="shared" si="41"/>
        <v>26.894136617382159</v>
      </c>
      <c r="CW38" s="20">
        <f t="shared" si="13"/>
        <v>220.51126127527388</v>
      </c>
      <c r="CX38" s="59">
        <f t="shared" si="14"/>
        <v>513.84459460860717</v>
      </c>
      <c r="CY38" s="59">
        <f ca="1">AVERAGE(OFFSET($CX$3,0,0,'Données projet'!$E$13+1,1))-AVERAGE(OFFSET($H$3,0,0,'Données projet'!$E$13+1,1))</f>
        <v>141.13780344922503</v>
      </c>
      <c r="CZ38" s="59">
        <f t="shared" si="42"/>
        <v>144.12010599544237</v>
      </c>
      <c r="DA38" s="15">
        <f>IF(ISNA(VLOOKUP(A38,'Données projet'!$A$139:$I$159,3,0)),0,VLOOKUP(A38,'Données projet'!$A$139:$I$159,3,0))</f>
        <v>4</v>
      </c>
      <c r="DB38" s="15">
        <f>IF(ISNA(VLOOKUP(A38,'Données projet'!$A$139:$I$159,4,0)),0,VLOOKUP(A38,'Données projet'!$A$139:$I$159,4,0))</f>
        <v>21</v>
      </c>
      <c r="DC38" s="16">
        <f>IF(ISNA(VLOOKUP(A38,'Données projet'!$A$139:$I$159,5,0)),0%,VLOOKUP(A38,'Données projet'!$A$139:$I$159,5,0)*VLOOKUP('Données projet'!$B$13,Paramètres!$A$1:$I$89,7,0))</f>
        <v>0.43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7.3190938669302374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7.3190938669302374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>
        <f>AI39*VLOOKUP('Données projet'!$B$10,Paramètres!$A$1:$I$89,3,0)*VLOOKUP('Données projet'!$B$10,Paramètres!$A$1:$I$89,5,0)</f>
        <v>0</v>
      </c>
      <c r="AK39" s="13" t="e">
        <f t="shared" si="35"/>
        <v>#NUM!</v>
      </c>
      <c r="AL39" s="20" t="e">
        <f t="shared" si="4"/>
        <v>#NUM!</v>
      </c>
      <c r="AM39" s="59" t="e">
        <f t="shared" si="5"/>
        <v>#NUM!</v>
      </c>
      <c r="AN39" s="59">
        <f ca="1">AVERAGE(OFFSET($AM$3,0,0,'Données projet'!$E$10+1,1))-AVERAGE(OFFSET($H$3,0,0,'Données projet'!$E$10+1,1))</f>
        <v>148.39628895278571</v>
      </c>
      <c r="AO39" s="59">
        <f t="shared" si="36"/>
        <v>361.07991692964788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115.56851607165997</v>
      </c>
      <c r="AW39" s="21">
        <f>EXP(-LN(2)/2)*AW38+(1-EXP(-LN(2)/2))/(LN(2)/2)*AQ39*AT39*VLOOKUP('Données projet'!$B$10,Paramètres!$A$1:$I$89,3,0)*0.475*44/12</f>
        <v>5.6202507503193616E-3</v>
      </c>
      <c r="AX39" s="21">
        <f t="shared" si="6"/>
        <v>115.5741363224103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8.0511538458333352</v>
      </c>
      <c r="BD39" s="12">
        <f>IF('Données projet'!$A$88&gt;35,BD38+BC39-BL38,IF(A39&lt;'Données projet'!$A$88,$BA$205^A39,IF(A39='Données projet'!$A$88,'Données projet'!$B$88,BD38+BC39-BL38)))</f>
        <v>123.65307692500004</v>
      </c>
      <c r="BE39" s="13">
        <f>BD39*VLOOKUP('Données projet'!$B$11,Paramètres!$A$1:$I$89,3,0)*VLOOKUP('Données projet'!$B$11,Paramètres!$A$1:$I$89,5,0)</f>
        <v>111.88130400174003</v>
      </c>
      <c r="BF39" s="13">
        <f t="shared" si="37"/>
        <v>29.77379604943637</v>
      </c>
      <c r="BG39" s="20">
        <f t="shared" si="7"/>
        <v>246.71596592246559</v>
      </c>
      <c r="BH39" s="59">
        <f t="shared" si="8"/>
        <v>540.04929925579893</v>
      </c>
      <c r="BI39" s="59">
        <f ca="1">AVERAGE(OFFSET($BH$3,0,0,'Données projet'!$E$11+1,1))-AVERAGE(OFFSET($H$3,0,0,'Données projet'!$E$11+1,1))</f>
        <v>465.85201723964195</v>
      </c>
      <c r="BJ39" s="59">
        <f t="shared" si="38"/>
        <v>110.67325286443491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7</v>
      </c>
      <c r="BY39" s="12">
        <f>IF('Données projet'!$A$114&gt;35,BY38+BX39-CG38,IF(A39&lt;'Données projet'!$A$114,$BV$205^A39,IF(A39='Données projet'!$A$114,'Données projet'!$B$114,BY38+BX39-CG38)))</f>
        <v>122</v>
      </c>
      <c r="BZ39" s="13">
        <f>BY39*VLOOKUP('Données projet'!$B$12,Paramètres!$A$1:$I$89,3,0)*VLOOKUP('Données projet'!$B$12,Paramètres!$A$1:$I$89,5,0)</f>
        <v>106.57920000000001</v>
      </c>
      <c r="CA39" s="13">
        <f t="shared" si="39"/>
        <v>28.523541515222938</v>
      </c>
      <c r="CB39" s="20">
        <f t="shared" si="10"/>
        <v>235.30394147234665</v>
      </c>
      <c r="CC39" s="59">
        <f t="shared" si="11"/>
        <v>528.63727480567991</v>
      </c>
      <c r="CD39" s="59">
        <f ca="1">AVERAGE(OFFSET($CC$3,0,0,'Données projet'!$E$12+1,1))-AVERAGE(OFFSET($H$3,0,0,'Données projet'!$E$12+1,1))</f>
        <v>201.70120933876507</v>
      </c>
      <c r="CE39" s="59">
        <f t="shared" si="40"/>
        <v>188.1234063307752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8.1424918018793644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8.1424918018793644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7.6</v>
      </c>
      <c r="CT39" s="12">
        <f>IF('Données projet'!$A$140&gt;35,CT38+CS39-DB38,IF(A39&lt;'Données projet'!$A$140,$CQ$205^A39,IF(A39='Données projet'!$A$140,'Données projet'!$B$140,CT38+CS39-DB38)))</f>
        <v>122.59999999999997</v>
      </c>
      <c r="CU39" s="17">
        <f>CT39*VLOOKUP('Données projet'!$B$13,Paramètres!$A$1:$I$89,3,0)*VLOOKUP('Données projet'!$B$13,Paramètres!$A$1:$I$89,5,0)</f>
        <v>89.890319999999974</v>
      </c>
      <c r="CV39" s="13">
        <f t="shared" si="41"/>
        <v>24.538770941989274</v>
      </c>
      <c r="CW39" s="20">
        <f t="shared" si="13"/>
        <v>199.29733339063125</v>
      </c>
      <c r="CX39" s="59">
        <f t="shared" si="14"/>
        <v>492.63066672396457</v>
      </c>
      <c r="CY39" s="59">
        <f ca="1">AVERAGE(OFFSET($CX$3,0,0,'Données projet'!$E$13+1,1))-AVERAGE(OFFSET($H$3,0,0,'Données projet'!$E$13+1,1))</f>
        <v>141.13780344922503</v>
      </c>
      <c r="CZ39" s="59">
        <f t="shared" si="42"/>
        <v>144.12010599544237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7.1755709004061909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7.1755709004061909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>
        <f>AI40*VLOOKUP('Données projet'!$B$10,Paramètres!$A$1:$I$89,3,0)*VLOOKUP('Données projet'!$B$10,Paramètres!$A$1:$I$89,5,0)</f>
        <v>0</v>
      </c>
      <c r="AK40" s="13" t="e">
        <f t="shared" si="35"/>
        <v>#NUM!</v>
      </c>
      <c r="AL40" s="20" t="e">
        <f t="shared" si="4"/>
        <v>#NUM!</v>
      </c>
      <c r="AM40" s="59" t="e">
        <f t="shared" si="5"/>
        <v>#NUM!</v>
      </c>
      <c r="AN40" s="59">
        <f ca="1">AVERAGE(OFFSET($AM$3,0,0,'Données projet'!$E$10+1,1))-AVERAGE(OFFSET($H$3,0,0,'Données projet'!$E$10+1,1))</f>
        <v>148.39628895278571</v>
      </c>
      <c r="AO40" s="59">
        <f t="shared" si="36"/>
        <v>361.07991692964788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112.40828892219631</v>
      </c>
      <c r="AW40" s="21">
        <f>EXP(-LN(2)/2)*AW39+(1-EXP(-LN(2)/2))/(LN(2)/2)*AQ40*AT40*VLOOKUP('Données projet'!$B$10,Paramètres!$A$1:$I$89,3,0)*0.475*44/12</f>
        <v>3.9741174175196023E-3</v>
      </c>
      <c r="AX40" s="21">
        <f t="shared" si="6"/>
        <v>112.41226303961382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8.0511538458333352</v>
      </c>
      <c r="BD40" s="12">
        <f>IF('Données projet'!$A$88&gt;35,BD39+BC40-BL39,IF(A40&lt;'Données projet'!$A$88,$BA$205^A40,IF(A40='Données projet'!$A$88,'Données projet'!$B$88,BD39+BC40-BL39)))</f>
        <v>131.70423077083336</v>
      </c>
      <c r="BE40" s="13">
        <f>BD40*VLOOKUP('Données projet'!$B$11,Paramètres!$A$1:$I$89,3,0)*VLOOKUP('Données projet'!$B$11,Paramètres!$A$1:$I$89,5,0)</f>
        <v>119.16598800145002</v>
      </c>
      <c r="BF40" s="13">
        <f t="shared" si="37"/>
        <v>31.480400804874247</v>
      </c>
      <c r="BG40" s="20">
        <f t="shared" si="7"/>
        <v>262.37579383768139</v>
      </c>
      <c r="BH40" s="59">
        <f t="shared" si="8"/>
        <v>555.70912717101464</v>
      </c>
      <c r="BI40" s="59">
        <f ca="1">AVERAGE(OFFSET($BH$3,0,0,'Données projet'!$E$11+1,1))-AVERAGE(OFFSET($H$3,0,0,'Données projet'!$E$11+1,1))</f>
        <v>465.85201723964195</v>
      </c>
      <c r="BJ40" s="59">
        <f t="shared" si="38"/>
        <v>110.67325286443491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7</v>
      </c>
      <c r="BY40" s="12">
        <f>IF('Données projet'!$A$114&gt;35,BY39+BX40-CG39,IF(A40&lt;'Données projet'!$A$114,$BV$205^A40,IF(A40='Données projet'!$A$114,'Données projet'!$B$114,BY39+BX40-CG39)))</f>
        <v>129</v>
      </c>
      <c r="BZ40" s="13">
        <f>BY40*VLOOKUP('Données projet'!$B$12,Paramètres!$A$1:$I$89,3,0)*VLOOKUP('Données projet'!$B$12,Paramètres!$A$1:$I$89,5,0)</f>
        <v>112.69440000000002</v>
      </c>
      <c r="CA40" s="13">
        <f t="shared" si="39"/>
        <v>29.964909381330632</v>
      </c>
      <c r="CB40" s="20">
        <f t="shared" si="10"/>
        <v>248.46496383915087</v>
      </c>
      <c r="CC40" s="59">
        <f t="shared" si="11"/>
        <v>541.79829717248413</v>
      </c>
      <c r="CD40" s="59">
        <f ca="1">AVERAGE(OFFSET($CC$3,0,0,'Données projet'!$E$12+1,1))-AVERAGE(OFFSET($H$3,0,0,'Données projet'!$E$12+1,1))</f>
        <v>201.70120933876507</v>
      </c>
      <c r="CE40" s="59">
        <f t="shared" si="40"/>
        <v>188.1234063307752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7.9828225040741154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7.9828225040741154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7.6</v>
      </c>
      <c r="CT40" s="12">
        <f>IF('Données projet'!$A$140&gt;35,CT39+CS40-DB39,IF(A40&lt;'Données projet'!$A$140,$CQ$205^A40,IF(A40='Données projet'!$A$140,'Données projet'!$B$140,CT39+CS40-DB39)))</f>
        <v>130.19999999999996</v>
      </c>
      <c r="CU40" s="17">
        <f>CT40*VLOOKUP('Données projet'!$B$13,Paramètres!$A$1:$I$89,3,0)*VLOOKUP('Données projet'!$B$13,Paramètres!$A$1:$I$89,5,0)</f>
        <v>95.462639999999979</v>
      </c>
      <c r="CV40" s="13">
        <f t="shared" si="41"/>
        <v>25.878130159770908</v>
      </c>
      <c r="CW40" s="20">
        <f t="shared" si="13"/>
        <v>211.33517469493427</v>
      </c>
      <c r="CX40" s="59">
        <f t="shared" si="14"/>
        <v>504.66850802826758</v>
      </c>
      <c r="CY40" s="59">
        <f ca="1">AVERAGE(OFFSET($CX$3,0,0,'Données projet'!$E$13+1,1))-AVERAGE(OFFSET($H$3,0,0,'Données projet'!$E$13+1,1))</f>
        <v>141.13780344922503</v>
      </c>
      <c r="CZ40" s="59">
        <f t="shared" si="42"/>
        <v>144.12010599544237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7.0348623317153152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7.0348623317153152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>
        <f>AI41*VLOOKUP('Données projet'!$B$10,Paramètres!$A$1:$I$89,3,0)*VLOOKUP('Données projet'!$B$10,Paramètres!$A$1:$I$89,5,0)</f>
        <v>0</v>
      </c>
      <c r="AK41" s="13" t="e">
        <f t="shared" si="35"/>
        <v>#NUM!</v>
      </c>
      <c r="AL41" s="20" t="e">
        <f t="shared" si="4"/>
        <v>#NUM!</v>
      </c>
      <c r="AM41" s="59" t="e">
        <f t="shared" si="5"/>
        <v>#NUM!</v>
      </c>
      <c r="AN41" s="59">
        <f ca="1">AVERAGE(OFFSET($AM$3,0,0,'Données projet'!$E$10+1,1))-AVERAGE(OFFSET($H$3,0,0,'Données projet'!$E$10+1,1))</f>
        <v>148.39628895278571</v>
      </c>
      <c r="AO41" s="59">
        <f t="shared" si="36"/>
        <v>361.07991692964788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109.33447835032385</v>
      </c>
      <c r="AW41" s="21">
        <f>EXP(-LN(2)/2)*AW40+(1-EXP(-LN(2)/2))/(LN(2)/2)*AQ41*AT41*VLOOKUP('Données projet'!$B$10,Paramètres!$A$1:$I$89,3,0)*0.475*44/12</f>
        <v>2.8101253751596808E-3</v>
      </c>
      <c r="AX41" s="21">
        <f t="shared" si="6"/>
        <v>109.33728847569901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8.0511538458333352</v>
      </c>
      <c r="BD41" s="12">
        <f>IF('Données projet'!$A$88&gt;35,BD40+BC41-BL40,IF(A41&lt;'Données projet'!$A$88,$BA$205^A41,IF(A41='Données projet'!$A$88,'Données projet'!$B$88,BD40+BC41-BL40)))</f>
        <v>139.7553846166667</v>
      </c>
      <c r="BE41" s="13">
        <f>BD41*VLOOKUP('Données projet'!$B$11,Paramètres!$A$1:$I$89,3,0)*VLOOKUP('Données projet'!$B$11,Paramètres!$A$1:$I$89,5,0)</f>
        <v>126.45067200116003</v>
      </c>
      <c r="BF41" s="13">
        <f t="shared" si="37"/>
        <v>33.174897190349434</v>
      </c>
      <c r="BG41" s="20">
        <f t="shared" si="7"/>
        <v>278.01453300854564</v>
      </c>
      <c r="BH41" s="59">
        <f t="shared" si="8"/>
        <v>571.3478663418789</v>
      </c>
      <c r="BI41" s="59">
        <f ca="1">AVERAGE(OFFSET($BH$3,0,0,'Données projet'!$E$11+1,1))-AVERAGE(OFFSET($H$3,0,0,'Données projet'!$E$11+1,1))</f>
        <v>465.85201723964195</v>
      </c>
      <c r="BJ41" s="59">
        <f t="shared" si="38"/>
        <v>110.67325286443491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7</v>
      </c>
      <c r="BY41" s="12">
        <f>IF('Données projet'!$A$114&gt;35,BY40+BX41-CG40,IF(A41&lt;'Données projet'!$A$114,$BV$205^A41,IF(A41='Données projet'!$A$114,'Données projet'!$B$114,BY40+BX41-CG40)))</f>
        <v>136</v>
      </c>
      <c r="BZ41" s="13">
        <f>BY41*VLOOKUP('Données projet'!$B$12,Paramètres!$A$1:$I$89,3,0)*VLOOKUP('Données projet'!$B$12,Paramètres!$A$1:$I$89,5,0)</f>
        <v>118.80960000000002</v>
      </c>
      <c r="CA41" s="13">
        <f t="shared" si="39"/>
        <v>31.39719715333722</v>
      </c>
      <c r="CB41" s="20">
        <f t="shared" si="10"/>
        <v>261.61017170872901</v>
      </c>
      <c r="CC41" s="59">
        <f t="shared" si="11"/>
        <v>554.94350504206227</v>
      </c>
      <c r="CD41" s="59">
        <f ca="1">AVERAGE(OFFSET($CC$3,0,0,'Données projet'!$E$12+1,1))-AVERAGE(OFFSET($H$3,0,0,'Données projet'!$E$12+1,1))</f>
        <v>201.70120933876507</v>
      </c>
      <c r="CE41" s="59">
        <f t="shared" si="40"/>
        <v>188.1234063307752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7.8262842238101715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7.8262842238101715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7.6</v>
      </c>
      <c r="CT41" s="12">
        <f>IF('Données projet'!$A$140&gt;35,CT40+CS41-DB40,IF(A41&lt;'Données projet'!$A$140,$CQ$205^A41,IF(A41='Données projet'!$A$140,'Données projet'!$B$140,CT40+CS41-DB40)))</f>
        <v>137.79999999999995</v>
      </c>
      <c r="CU41" s="17">
        <f>CT41*VLOOKUP('Données projet'!$B$13,Paramètres!$A$1:$I$89,3,0)*VLOOKUP('Données projet'!$B$13,Paramètres!$A$1:$I$89,5,0)</f>
        <v>101.03495999999997</v>
      </c>
      <c r="CV41" s="13">
        <f t="shared" si="41"/>
        <v>27.208414547906806</v>
      </c>
      <c r="CW41" s="20">
        <f t="shared" si="13"/>
        <v>223.35721067093763</v>
      </c>
      <c r="CX41" s="59">
        <f t="shared" si="14"/>
        <v>516.69054400427092</v>
      </c>
      <c r="CY41" s="59">
        <f ca="1">AVERAGE(OFFSET($CX$3,0,0,'Données projet'!$E$13+1,1))-AVERAGE(OFFSET($H$3,0,0,'Données projet'!$E$13+1,1))</f>
        <v>141.13780344922503</v>
      </c>
      <c r="CZ41" s="59">
        <f t="shared" si="42"/>
        <v>144.12010599544237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6.8969129722327143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6.8969129722327143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>
        <f>AI42*VLOOKUP('Données projet'!$B$10,Paramètres!$A$1:$I$89,3,0)*VLOOKUP('Données projet'!$B$10,Paramètres!$A$1:$I$89,5,0)</f>
        <v>0</v>
      </c>
      <c r="AK42" s="13" t="e">
        <f t="shared" si="35"/>
        <v>#NUM!</v>
      </c>
      <c r="AL42" s="20" t="e">
        <f t="shared" si="4"/>
        <v>#NUM!</v>
      </c>
      <c r="AM42" s="59" t="e">
        <f t="shared" si="5"/>
        <v>#NUM!</v>
      </c>
      <c r="AN42" s="59">
        <f ca="1">AVERAGE(OFFSET($AM$3,0,0,'Données projet'!$E$10+1,1))-AVERAGE(OFFSET($H$3,0,0,'Données projet'!$E$10+1,1))</f>
        <v>148.39628895278571</v>
      </c>
      <c r="AO42" s="59">
        <f t="shared" si="36"/>
        <v>361.07991692964788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106.34472129018391</v>
      </c>
      <c r="AW42" s="21">
        <f>EXP(-LN(2)/2)*AW41+(1-EXP(-LN(2)/2))/(LN(2)/2)*AQ42*AT42*VLOOKUP('Données projet'!$B$10,Paramètres!$A$1:$I$89,3,0)*0.475*44/12</f>
        <v>1.9870587087598012E-3</v>
      </c>
      <c r="AX42" s="21">
        <f t="shared" si="6"/>
        <v>106.34670834889268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8.0511538458333352</v>
      </c>
      <c r="BD42" s="12">
        <f>IF('Données projet'!$A$88&gt;35,BD41+BC42-BL41,IF(A42&lt;'Données projet'!$A$88,$BA$205^A42,IF(A42='Données projet'!$A$88,'Données projet'!$B$88,BD41+BC42-BL41)))</f>
        <v>147.80653846250004</v>
      </c>
      <c r="BE42" s="13">
        <f>BD42*VLOOKUP('Données projet'!$B$11,Paramètres!$A$1:$I$89,3,0)*VLOOKUP('Données projet'!$B$11,Paramètres!$A$1:$I$89,5,0)</f>
        <v>133.73535600087004</v>
      </c>
      <c r="BF42" s="13">
        <f t="shared" si="37"/>
        <v>34.858062229144778</v>
      </c>
      <c r="BG42" s="20">
        <f t="shared" si="7"/>
        <v>293.63353675060915</v>
      </c>
      <c r="BH42" s="59">
        <f t="shared" si="8"/>
        <v>586.96687008394247</v>
      </c>
      <c r="BI42" s="59">
        <f ca="1">AVERAGE(OFFSET($BH$3,0,0,'Données projet'!$E$11+1,1))-AVERAGE(OFFSET($H$3,0,0,'Données projet'!$E$11+1,1))</f>
        <v>465.85201723964195</v>
      </c>
      <c r="BJ42" s="59">
        <f t="shared" si="38"/>
        <v>110.67325286443491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7</v>
      </c>
      <c r="BY42" s="12">
        <f>IF('Données projet'!$A$114&gt;35,BY41+BX42-CG41,IF(A42&lt;'Données projet'!$A$114,$BV$205^A42,IF(A42='Données projet'!$A$114,'Données projet'!$B$114,BY41+BX42-CG41)))</f>
        <v>143</v>
      </c>
      <c r="BZ42" s="13">
        <f>BY42*VLOOKUP('Données projet'!$B$12,Paramètres!$A$1:$I$89,3,0)*VLOOKUP('Données projet'!$B$12,Paramètres!$A$1:$I$89,5,0)</f>
        <v>124.92480000000002</v>
      </c>
      <c r="CA42" s="13">
        <f t="shared" si="39"/>
        <v>32.820925500842712</v>
      </c>
      <c r="CB42" s="20">
        <f t="shared" si="10"/>
        <v>274.74047191396772</v>
      </c>
      <c r="CC42" s="59">
        <f t="shared" si="11"/>
        <v>568.07380524730104</v>
      </c>
      <c r="CD42" s="59">
        <f ca="1">AVERAGE(OFFSET($CC$3,0,0,'Données projet'!$E$12+1,1))-AVERAGE(OFFSET($H$3,0,0,'Données projet'!$E$12+1,1))</f>
        <v>201.70120933876507</v>
      </c>
      <c r="CE42" s="59">
        <f t="shared" si="40"/>
        <v>188.1234063307752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7.6728155637432804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7.6728155637432804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7.6</v>
      </c>
      <c r="CT42" s="12">
        <f>IF('Données projet'!$A$140&gt;35,CT41+CS42-DB41,IF(A42&lt;'Données projet'!$A$140,$CQ$205^A42,IF(A42='Données projet'!$A$140,'Données projet'!$B$140,CT41+CS42-DB41)))</f>
        <v>145.39999999999995</v>
      </c>
      <c r="CU42" s="17">
        <f>CT42*VLOOKUP('Données projet'!$B$13,Paramètres!$A$1:$I$89,3,0)*VLOOKUP('Données projet'!$B$13,Paramètres!$A$1:$I$89,5,0)</f>
        <v>106.60727999999995</v>
      </c>
      <c r="CV42" s="13">
        <f t="shared" si="41"/>
        <v>28.530181653798135</v>
      </c>
      <c r="CW42" s="20">
        <f t="shared" si="13"/>
        <v>235.364412380365</v>
      </c>
      <c r="CX42" s="59">
        <f t="shared" si="14"/>
        <v>528.69774571369828</v>
      </c>
      <c r="CY42" s="59">
        <f ca="1">AVERAGE(OFFSET($CX$3,0,0,'Données projet'!$E$13+1,1))-AVERAGE(OFFSET($H$3,0,0,'Données projet'!$E$13+1,1))</f>
        <v>141.13780344922503</v>
      </c>
      <c r="CZ42" s="59">
        <f t="shared" si="42"/>
        <v>144.12010599544237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6.7616687155487663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6.7616687155487663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>
        <f>AI43*VLOOKUP('Données projet'!$B$10,Paramètres!$A$1:$I$89,3,0)*VLOOKUP('Données projet'!$B$10,Paramètres!$A$1:$I$89,5,0)</f>
        <v>0</v>
      </c>
      <c r="AK43" s="13" t="e">
        <f t="shared" si="35"/>
        <v>#NUM!</v>
      </c>
      <c r="AL43" s="20" t="e">
        <f t="shared" si="4"/>
        <v>#NUM!</v>
      </c>
      <c r="AM43" s="59" t="e">
        <f t="shared" si="5"/>
        <v>#NUM!</v>
      </c>
      <c r="AN43" s="59">
        <f ca="1">AVERAGE(OFFSET($AM$3,0,0,'Données projet'!$E$10+1,1))-AVERAGE(OFFSET($H$3,0,0,'Données projet'!$E$10+1,1))</f>
        <v>148.39628895278571</v>
      </c>
      <c r="AO43" s="59">
        <f t="shared" si="36"/>
        <v>361.07991692964788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103.43671929407799</v>
      </c>
      <c r="AW43" s="21">
        <f>EXP(-LN(2)/2)*AW42+(1-EXP(-LN(2)/2))/(LN(2)/2)*AQ43*AT43*VLOOKUP('Données projet'!$B$10,Paramètres!$A$1:$I$89,3,0)*0.475*44/12</f>
        <v>1.4050626875798404E-3</v>
      </c>
      <c r="AX43" s="21">
        <f t="shared" si="6"/>
        <v>103.43812435676557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8.0511538458333352</v>
      </c>
      <c r="BD43" s="12">
        <f>IF('Données projet'!$A$88&gt;35,BD42+BC43-BL42,IF(A43&lt;'Données projet'!$A$88,$BA$205^A43,IF(A43='Données projet'!$A$88,'Données projet'!$B$88,BD42+BC43-BL42)))</f>
        <v>155.85769230833338</v>
      </c>
      <c r="BE43" s="13">
        <f>BD43*VLOOKUP('Données projet'!$B$11,Paramètres!$A$1:$I$89,3,0)*VLOOKUP('Données projet'!$B$11,Paramètres!$A$1:$I$89,5,0)</f>
        <v>141.02004000058002</v>
      </c>
      <c r="BF43" s="13">
        <f t="shared" si="37"/>
        <v>36.530583513362636</v>
      </c>
      <c r="BG43" s="20">
        <f t="shared" si="7"/>
        <v>309.23400262011683</v>
      </c>
      <c r="BH43" s="59">
        <f t="shared" si="8"/>
        <v>602.56733595345008</v>
      </c>
      <c r="BI43" s="59">
        <f ca="1">AVERAGE(OFFSET($BH$3,0,0,'Données projet'!$E$11+1,1))-AVERAGE(OFFSET($H$3,0,0,'Données projet'!$E$11+1,1))</f>
        <v>465.85201723964195</v>
      </c>
      <c r="BJ43" s="59">
        <f t="shared" si="38"/>
        <v>110.67325286443491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150</v>
      </c>
      <c r="BW43" s="12">
        <f>VLOOKUP(A43,'Données projet'!$A$113:$I$133,9,0)</f>
        <v>7</v>
      </c>
      <c r="BX43" s="12">
        <f t="array" ref="BX43">INDEX(BW:BW,MIN(IF(ISNUMBER(BW43:BW239),ROW(BW43:BW239),"")))</f>
        <v>7</v>
      </c>
      <c r="BY43" s="12">
        <f>IF('Données projet'!$A$114&gt;35,BY42+BX43-CG42,IF(A43&lt;'Données projet'!$A$114,$BV$205^A43,IF(A43='Données projet'!$A$114,'Données projet'!$B$114,BY42+BX43-CG42)))</f>
        <v>150</v>
      </c>
      <c r="BZ43" s="13">
        <f>BY43*VLOOKUP('Données projet'!$B$12,Paramètres!$A$1:$I$89,3,0)*VLOOKUP('Données projet'!$B$12,Paramètres!$A$1:$I$89,5,0)</f>
        <v>131.04000000000002</v>
      </c>
      <c r="CA43" s="13">
        <f t="shared" si="39"/>
        <v>34.236561238949918</v>
      </c>
      <c r="CB43" s="20">
        <f t="shared" si="10"/>
        <v>287.85667749117118</v>
      </c>
      <c r="CC43" s="59">
        <f t="shared" si="11"/>
        <v>581.1900108245045</v>
      </c>
      <c r="CD43" s="59">
        <f ca="1">AVERAGE(OFFSET($CC$3,0,0,'Données projet'!$E$12+1,1))-AVERAGE(OFFSET($H$3,0,0,'Données projet'!$E$12+1,1))</f>
        <v>201.70120933876507</v>
      </c>
      <c r="CE43" s="59">
        <f t="shared" si="40"/>
        <v>188.1234063307752</v>
      </c>
      <c r="CF43" s="15">
        <f>IF(ISNA(VLOOKUP(A43,'Données projet'!$A$113:$I$133,3,0)),0,VLOOKUP(A43,'Données projet'!$A$113:$I$133,3,0))</f>
        <v>5</v>
      </c>
      <c r="CG43" s="15">
        <f>IF(ISNA(VLOOKUP(A43,'Données projet'!$A$113:$I$133,4,0)),0,VLOOKUP(A43,'Données projet'!$A$113:$I$133,4,0))</f>
        <v>20</v>
      </c>
      <c r="CH43" s="16">
        <f>IF(ISNA(VLOOKUP(A43,'Données projet'!$A$113:$I$133,5,0)),0%,VLOOKUP(A43,'Données projet'!$A$113:$I$133,5,0)*VLOOKUP('Données projet'!$B$12,Paramètres!$A$1:$I$89,7,0))</f>
        <v>0.43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15.827711073109533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15.827711073109533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153</v>
      </c>
      <c r="CR43" s="12">
        <f>VLOOKUP(A43,'Données projet'!$A$139:$I$159,9,0)</f>
        <v>7.6</v>
      </c>
      <c r="CS43" s="12">
        <f t="array" ref="CS43">INDEX(CR:CR,MIN(IF(ISNUMBER(CR43:CR239),ROW(CR43:CR239),"")))</f>
        <v>7.6</v>
      </c>
      <c r="CT43" s="12">
        <f>IF('Données projet'!$A$140&gt;35,CT42+CS43-DB42,IF(A43&lt;'Données projet'!$A$140,$CQ$205^A43,IF(A43='Données projet'!$A$140,'Données projet'!$B$140,CT42+CS43-DB42)))</f>
        <v>152.99999999999994</v>
      </c>
      <c r="CU43" s="17">
        <f>CT43*VLOOKUP('Données projet'!$B$13,Paramètres!$A$1:$I$89,3,0)*VLOOKUP('Données projet'!$B$13,Paramètres!$A$1:$I$89,5,0)</f>
        <v>112.17959999999995</v>
      </c>
      <c r="CV43" s="13">
        <f t="shared" si="41"/>
        <v>29.8439274472838</v>
      </c>
      <c r="CW43" s="20">
        <f t="shared" si="13"/>
        <v>247.35764363735254</v>
      </c>
      <c r="CX43" s="59">
        <f t="shared" si="14"/>
        <v>540.69097697068582</v>
      </c>
      <c r="CY43" s="59">
        <f ca="1">AVERAGE(OFFSET($CX$3,0,0,'Données projet'!$E$13+1,1))-AVERAGE(OFFSET($H$3,0,0,'Données projet'!$E$13+1,1))</f>
        <v>141.13780344922503</v>
      </c>
      <c r="CZ43" s="59">
        <f t="shared" si="42"/>
        <v>144.12010599544237</v>
      </c>
      <c r="DA43" s="15">
        <f>IF(ISNA(VLOOKUP(A43,'Données projet'!$A$139:$I$159,3,0)),0,VLOOKUP(A43,'Données projet'!$A$139:$I$159,3,0))</f>
        <v>5</v>
      </c>
      <c r="DB43" s="15">
        <f>IF(ISNA(VLOOKUP(A43,'Données projet'!$A$139:$I$159,4,0)),0,VLOOKUP(A43,'Données projet'!$A$139:$I$159,4,0))</f>
        <v>21</v>
      </c>
      <c r="DC43" s="16">
        <f>IF(ISNA(VLOOKUP(A43,'Données projet'!$A$139:$I$159,5,0)),0%,VLOOKUP(A43,'Données projet'!$A$139:$I$159,5,0)*VLOOKUP('Données projet'!$B$13,Paramètres!$A$1:$I$89,7,0))</f>
        <v>0.43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13.948170383177777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13.948170383177777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>
        <f>AI44*VLOOKUP('Données projet'!$B$10,Paramètres!$A$1:$I$89,3,0)*VLOOKUP('Données projet'!$B$10,Paramètres!$A$1:$I$89,5,0)</f>
        <v>0</v>
      </c>
      <c r="AK44" s="13" t="e">
        <f t="shared" si="35"/>
        <v>#NUM!</v>
      </c>
      <c r="AL44" s="20" t="e">
        <f t="shared" si="4"/>
        <v>#NUM!</v>
      </c>
      <c r="AM44" s="59" t="e">
        <f t="shared" si="5"/>
        <v>#NUM!</v>
      </c>
      <c r="AN44" s="59">
        <f ca="1">AVERAGE(OFFSET($AM$3,0,0,'Données projet'!$E$10+1,1))-AVERAGE(OFFSET($H$3,0,0,'Données projet'!$E$10+1,1))</f>
        <v>148.39628895278571</v>
      </c>
      <c r="AO44" s="59">
        <f t="shared" si="36"/>
        <v>361.07991692964788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100.60823676548077</v>
      </c>
      <c r="AW44" s="21">
        <f>EXP(-LN(2)/2)*AW43+(1-EXP(-LN(2)/2))/(LN(2)/2)*AQ44*AT44*VLOOKUP('Données projet'!$B$10,Paramètres!$A$1:$I$89,3,0)*0.475*44/12</f>
        <v>9.9352935437990058E-4</v>
      </c>
      <c r="AX44" s="21">
        <f t="shared" si="6"/>
        <v>100.60923029483514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8.0511538458333352</v>
      </c>
      <c r="BD44" s="12">
        <f>IF('Données projet'!$A$88&gt;35,BD43+BC44-BL43,IF(A44&lt;'Données projet'!$A$88,$BA$205^A44,IF(A44='Données projet'!$A$88,'Données projet'!$B$88,BD43+BC44-BL43)))</f>
        <v>163.90884615416672</v>
      </c>
      <c r="BE44" s="13">
        <f>BD44*VLOOKUP('Données projet'!$B$11,Paramètres!$A$1:$I$89,3,0)*VLOOKUP('Données projet'!$B$11,Paramètres!$A$1:$I$89,5,0)</f>
        <v>148.30472400029004</v>
      </c>
      <c r="BF44" s="13">
        <f t="shared" si="37"/>
        <v>38.193073584705921</v>
      </c>
      <c r="BG44" s="20">
        <f t="shared" si="7"/>
        <v>324.81699746053465</v>
      </c>
      <c r="BH44" s="59">
        <f t="shared" si="8"/>
        <v>618.15033079386797</v>
      </c>
      <c r="BI44" s="59">
        <f ca="1">AVERAGE(OFFSET($BH$3,0,0,'Données projet'!$E$11+1,1))-AVERAGE(OFFSET($H$3,0,0,'Données projet'!$E$11+1,1))</f>
        <v>465.85201723964195</v>
      </c>
      <c r="BJ44" s="59">
        <f t="shared" si="38"/>
        <v>110.67325286443491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6.4</v>
      </c>
      <c r="BY44" s="12">
        <f>IF('Données projet'!$A$114&gt;35,BY43+BX44-CG43,IF(A44&lt;'Données projet'!$A$114,$BV$205^A44,IF(A44='Données projet'!$A$114,'Données projet'!$B$114,BY43+BX44-CG43)))</f>
        <v>136.4</v>
      </c>
      <c r="BZ44" s="13">
        <f>BY44*VLOOKUP('Données projet'!$B$12,Paramètres!$A$1:$I$89,3,0)*VLOOKUP('Données projet'!$B$12,Paramètres!$A$1:$I$89,5,0)</f>
        <v>119.15904000000003</v>
      </c>
      <c r="CA44" s="13">
        <f t="shared" si="39"/>
        <v>31.478778976043767</v>
      </c>
      <c r="CB44" s="20">
        <f t="shared" si="10"/>
        <v>262.36086804994295</v>
      </c>
      <c r="CC44" s="59">
        <f t="shared" si="11"/>
        <v>555.69420138327632</v>
      </c>
      <c r="CD44" s="59">
        <f ca="1">AVERAGE(OFFSET($CC$3,0,0,'Données projet'!$E$12+1,1))-AVERAGE(OFFSET($H$3,0,0,'Données projet'!$E$12+1,1))</f>
        <v>201.70120933876507</v>
      </c>
      <c r="CE44" s="59">
        <f t="shared" si="40"/>
        <v>188.1234063307752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15.517339312916361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15.517339312916361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6.4</v>
      </c>
      <c r="CT44" s="12">
        <f>IF('Données projet'!$A$140&gt;35,CT43+CS44-DB43,IF(A44&lt;'Données projet'!$A$140,$CQ$205^A44,IF(A44='Données projet'!$A$140,'Données projet'!$B$140,CT43+CS44-DB43)))</f>
        <v>138.39999999999995</v>
      </c>
      <c r="CU44" s="17">
        <f>CT44*VLOOKUP('Données projet'!$B$13,Paramètres!$A$1:$I$89,3,0)*VLOOKUP('Données projet'!$B$13,Paramètres!$A$1:$I$89,5,0)</f>
        <v>101.47487999999996</v>
      </c>
      <c r="CV44" s="13">
        <f t="shared" si="41"/>
        <v>27.313067403955227</v>
      </c>
      <c r="CW44" s="20">
        <f t="shared" si="13"/>
        <v>224.30567506188856</v>
      </c>
      <c r="CX44" s="59">
        <f t="shared" si="14"/>
        <v>517.63900839522194</v>
      </c>
      <c r="CY44" s="59">
        <f ca="1">AVERAGE(OFFSET($CX$3,0,0,'Données projet'!$E$13+1,1))-AVERAGE(OFFSET($H$3,0,0,'Données projet'!$E$13+1,1))</f>
        <v>141.13780344922503</v>
      </c>
      <c r="CZ44" s="59">
        <f t="shared" si="42"/>
        <v>144.12010599544237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13.674655269507545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13.674655269507545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>
        <f>AI45*VLOOKUP('Données projet'!$B$10,Paramètres!$A$1:$I$89,3,0)*VLOOKUP('Données projet'!$B$10,Paramètres!$A$1:$I$89,5,0)</f>
        <v>0</v>
      </c>
      <c r="AK45" s="13" t="e">
        <f t="shared" si="35"/>
        <v>#NUM!</v>
      </c>
      <c r="AL45" s="20" t="e">
        <f t="shared" si="4"/>
        <v>#NUM!</v>
      </c>
      <c r="AM45" s="59" t="e">
        <f t="shared" si="5"/>
        <v>#NUM!</v>
      </c>
      <c r="AN45" s="59">
        <f ca="1">AVERAGE(OFFSET($AM$3,0,0,'Données projet'!$E$10+1,1))-AVERAGE(OFFSET($H$3,0,0,'Données projet'!$E$10+1,1))</f>
        <v>148.39628895278571</v>
      </c>
      <c r="AO45" s="59">
        <f t="shared" si="36"/>
        <v>361.07991692964788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97.857099240371468</v>
      </c>
      <c r="AW45" s="21">
        <f>EXP(-LN(2)/2)*AW44+(1-EXP(-LN(2)/2))/(LN(2)/2)*AQ45*AT45*VLOOKUP('Données projet'!$B$10,Paramètres!$A$1:$I$89,3,0)*0.475*44/12</f>
        <v>7.025313437899202E-4</v>
      </c>
      <c r="AX45" s="21">
        <f t="shared" si="6"/>
        <v>97.857801771715259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171.96</v>
      </c>
      <c r="BB45" s="12">
        <f>VLOOKUP(A45,'Données projet'!$A$87:$I$107,9,0)</f>
        <v>8.0511538458333352</v>
      </c>
      <c r="BC45" s="12">
        <f t="array" ref="BC45">INDEX(BB:BB,MIN(IF(ISNUMBER(BB45:BB241),ROW(BB45:BB241),"")))</f>
        <v>8.0511538458333352</v>
      </c>
      <c r="BD45" s="12">
        <f>IF('Données projet'!$A$88&gt;35,BD44+BC45-BL44,IF(A45&lt;'Données projet'!$A$88,$BA$205^A45,IF(A45='Données projet'!$A$88,'Données projet'!$B$88,BD44+BC45-BL44)))</f>
        <v>171.96000000000006</v>
      </c>
      <c r="BE45" s="13">
        <f>BD45*VLOOKUP('Données projet'!$B$11,Paramètres!$A$1:$I$89,3,0)*VLOOKUP('Données projet'!$B$11,Paramètres!$A$1:$I$89,5,0)</f>
        <v>155.58940800000005</v>
      </c>
      <c r="BF45" s="13">
        <f t="shared" si="37"/>
        <v>39.846081409537106</v>
      </c>
      <c r="BG45" s="20">
        <f t="shared" si="7"/>
        <v>340.38347738827719</v>
      </c>
      <c r="BH45" s="59">
        <f t="shared" si="8"/>
        <v>633.7168107216105</v>
      </c>
      <c r="BI45" s="59">
        <f ca="1">AVERAGE(OFFSET($BH$3,0,0,'Données projet'!$E$11+1,1))-AVERAGE(OFFSET($H$3,0,0,'Données projet'!$E$11+1,1))</f>
        <v>465.85201723964195</v>
      </c>
      <c r="BJ45" s="59">
        <f t="shared" si="38"/>
        <v>110.67325286443491</v>
      </c>
      <c r="BK45" s="15">
        <f>IF(ISNA(VLOOKUP(A45,'Données projet'!$A$87:$I$107,3,0)),0,VLOOKUP(A45,'Données projet'!$A$87:$I$107,3,0))</f>
        <v>1</v>
      </c>
      <c r="BL45" s="15">
        <f>IF(ISNA(VLOOKUP(A45,'Données projet'!$A$87:$I$107,4,0)),0,VLOOKUP(A45,'Données projet'!$A$87:$I$107,4,0))</f>
        <v>43.21</v>
      </c>
      <c r="BM45" s="16">
        <f>IF(ISNA(VLOOKUP(A45,'Données projet'!$A$87:$I$107,5,0)),0%,VLOOKUP(A45,'Données projet'!$A$87:$I$107,5,0)*VLOOKUP('Données projet'!$B$11,Paramètres!$A$1:$I$89,7,0))</f>
        <v>0.43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18.584566025758079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18.584566025758079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6.4</v>
      </c>
      <c r="BY45" s="12">
        <f>IF('Données projet'!$A$114&gt;35,BY44+BX45-CG44,IF(A45&lt;'Données projet'!$A$114,$BV$205^A45,IF(A45='Données projet'!$A$114,'Données projet'!$B$114,BY44+BX45-CG44)))</f>
        <v>142.80000000000001</v>
      </c>
      <c r="BZ45" s="13">
        <f>BY45*VLOOKUP('Données projet'!$B$12,Paramètres!$A$1:$I$89,3,0)*VLOOKUP('Données projet'!$B$12,Paramètres!$A$1:$I$89,5,0)</f>
        <v>124.75008000000003</v>
      </c>
      <c r="CA45" s="13">
        <f t="shared" si="39"/>
        <v>32.780361960132396</v>
      </c>
      <c r="CB45" s="20">
        <f t="shared" si="10"/>
        <v>274.36551974723062</v>
      </c>
      <c r="CC45" s="59">
        <f t="shared" si="11"/>
        <v>567.69885308056394</v>
      </c>
      <c r="CD45" s="59">
        <f ca="1">AVERAGE(OFFSET($CC$3,0,0,'Données projet'!$E$12+1,1))-AVERAGE(OFFSET($H$3,0,0,'Données projet'!$E$12+1,1))</f>
        <v>201.70120933876507</v>
      </c>
      <c r="CE45" s="59">
        <f t="shared" si="40"/>
        <v>188.1234063307752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15.213053753632495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15.213053753632495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6.4</v>
      </c>
      <c r="CT45" s="12">
        <f>IF('Données projet'!$A$140&gt;35,CT44+CS45-DB44,IF(A45&lt;'Données projet'!$A$140,$CQ$205^A45,IF(A45='Données projet'!$A$140,'Données projet'!$B$140,CT44+CS45-DB44)))</f>
        <v>144.79999999999995</v>
      </c>
      <c r="CU45" s="17">
        <f>CT45*VLOOKUP('Données projet'!$B$13,Paramètres!$A$1:$I$89,3,0)*VLOOKUP('Données projet'!$B$13,Paramètres!$A$1:$I$89,5,0)</f>
        <v>106.16735999999996</v>
      </c>
      <c r="CV45" s="13">
        <f t="shared" si="41"/>
        <v>28.426129388822403</v>
      </c>
      <c r="CW45" s="20">
        <f t="shared" si="13"/>
        <v>234.41699401886561</v>
      </c>
      <c r="CX45" s="59">
        <f t="shared" si="14"/>
        <v>527.75032735219895</v>
      </c>
      <c r="CY45" s="59">
        <f ca="1">AVERAGE(OFFSET($CX$3,0,0,'Données projet'!$E$13+1,1))-AVERAGE(OFFSET($H$3,0,0,'Données projet'!$E$13+1,1))</f>
        <v>141.13780344922503</v>
      </c>
      <c r="CZ45" s="59">
        <f t="shared" si="42"/>
        <v>144.12010599544237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13.406503620388639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13.406503620388639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>
        <f>AI46*VLOOKUP('Données projet'!$B$10,Paramètres!$A$1:$I$89,3,0)*VLOOKUP('Données projet'!$B$10,Paramètres!$A$1:$I$89,5,0)</f>
        <v>0</v>
      </c>
      <c r="AK46" s="13" t="e">
        <f t="shared" si="35"/>
        <v>#NUM!</v>
      </c>
      <c r="AL46" s="20" t="e">
        <f t="shared" si="4"/>
        <v>#NUM!</v>
      </c>
      <c r="AM46" s="59" t="e">
        <f t="shared" si="5"/>
        <v>#NUM!</v>
      </c>
      <c r="AN46" s="59">
        <f ca="1">AVERAGE(OFFSET($AM$3,0,0,'Données projet'!$E$10+1,1))-AVERAGE(OFFSET($H$3,0,0,'Données projet'!$E$10+1,1))</f>
        <v>148.39628895278571</v>
      </c>
      <c r="AO46" s="59">
        <f t="shared" si="36"/>
        <v>361.07991692964788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95.181191715562321</v>
      </c>
      <c r="AW46" s="21">
        <f>EXP(-LN(2)/2)*AW45+(1-EXP(-LN(2)/2))/(LN(2)/2)*AQ46*AT46*VLOOKUP('Données projet'!$B$10,Paramètres!$A$1:$I$89,3,0)*0.475*44/12</f>
        <v>4.9676467718995029E-4</v>
      </c>
      <c r="AX46" s="21">
        <f t="shared" si="6"/>
        <v>95.181688480239515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9.9475000000000016</v>
      </c>
      <c r="BD46" s="12">
        <f>IF('Données projet'!$A$88&gt;35,BD45+BC46-BL45,IF(A46&lt;'Données projet'!$A$88,$BA$205^A46,IF(A46='Données projet'!$A$88,'Données projet'!$B$88,BD45+BC46-BL45)))</f>
        <v>138.69750000000005</v>
      </c>
      <c r="BE46" s="13">
        <f>BD46*VLOOKUP('Données projet'!$B$11,Paramètres!$A$1:$I$89,3,0)*VLOOKUP('Données projet'!$B$11,Paramètres!$A$1:$I$89,5,0)</f>
        <v>125.49349800000003</v>
      </c>
      <c r="BF46" s="13">
        <f t="shared" si="37"/>
        <v>32.952910533336784</v>
      </c>
      <c r="BG46" s="20">
        <f t="shared" si="7"/>
        <v>275.96082819556159</v>
      </c>
      <c r="BH46" s="59">
        <f t="shared" si="8"/>
        <v>569.29416152889485</v>
      </c>
      <c r="BI46" s="59">
        <f ca="1">AVERAGE(OFFSET($BH$3,0,0,'Données projet'!$E$11+1,1))-AVERAGE(OFFSET($H$3,0,0,'Données projet'!$E$11+1,1))</f>
        <v>465.85201723964195</v>
      </c>
      <c r="BJ46" s="59">
        <f t="shared" si="38"/>
        <v>110.67325286443491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18.220134021458954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18.220134021458954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6.4</v>
      </c>
      <c r="BY46" s="12">
        <f>IF('Données projet'!$A$114&gt;35,BY45+BX46-CG45,IF(A46&lt;'Données projet'!$A$114,$BV$205^A46,IF(A46='Données projet'!$A$114,'Données projet'!$B$114,BY45+BX46-CG45)))</f>
        <v>149.20000000000002</v>
      </c>
      <c r="BZ46" s="13">
        <f>BY46*VLOOKUP('Données projet'!$B$12,Paramètres!$A$1:$I$89,3,0)*VLOOKUP('Données projet'!$B$12,Paramètres!$A$1:$I$89,5,0)</f>
        <v>130.34112000000005</v>
      </c>
      <c r="CA46" s="13">
        <f t="shared" si="39"/>
        <v>34.075170122989917</v>
      </c>
      <c r="CB46" s="20">
        <f t="shared" si="10"/>
        <v>286.35837196420749</v>
      </c>
      <c r="CC46" s="59">
        <f t="shared" si="11"/>
        <v>579.69170529754081</v>
      </c>
      <c r="CD46" s="59">
        <f ca="1">AVERAGE(OFFSET($CC$3,0,0,'Données projet'!$E$12+1,1))-AVERAGE(OFFSET($H$3,0,0,'Données projet'!$E$12+1,1))</f>
        <v>201.70120933876507</v>
      </c>
      <c r="CE46" s="59">
        <f t="shared" si="40"/>
        <v>188.1234063307752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14.914735048570321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14.914735048570321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6.4</v>
      </c>
      <c r="CT46" s="12">
        <f>IF('Données projet'!$A$140&gt;35,CT45+CS46-DB45,IF(A46&lt;'Données projet'!$A$140,$CQ$205^A46,IF(A46='Données projet'!$A$140,'Données projet'!$B$140,CT45+CS46-DB45)))</f>
        <v>151.19999999999996</v>
      </c>
      <c r="CU46" s="17">
        <f>CT46*VLOOKUP('Données projet'!$B$13,Paramètres!$A$1:$I$89,3,0)*VLOOKUP('Données projet'!$B$13,Paramètres!$A$1:$I$89,5,0)</f>
        <v>110.85983999999998</v>
      </c>
      <c r="CV46" s="13">
        <f t="shared" si="41"/>
        <v>29.533477687335427</v>
      </c>
      <c r="CW46" s="20">
        <f t="shared" si="13"/>
        <v>244.51836163877581</v>
      </c>
      <c r="CX46" s="59">
        <f t="shared" si="14"/>
        <v>537.85169497210916</v>
      </c>
      <c r="CY46" s="59">
        <f ca="1">AVERAGE(OFFSET($CX$3,0,0,'Données projet'!$E$13+1,1))-AVERAGE(OFFSET($H$3,0,0,'Données projet'!$E$13+1,1))</f>
        <v>141.13780344922503</v>
      </c>
      <c r="CZ46" s="59">
        <f t="shared" si="42"/>
        <v>144.12010599544237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13.143610261552599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13.143610261552599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>
        <f>AI47*VLOOKUP('Données projet'!$B$10,Paramètres!$A$1:$I$89,3,0)*VLOOKUP('Données projet'!$B$10,Paramètres!$A$1:$I$89,5,0)</f>
        <v>0</v>
      </c>
      <c r="AK47" s="13" t="e">
        <f t="shared" si="35"/>
        <v>#NUM!</v>
      </c>
      <c r="AL47" s="20" t="e">
        <f t="shared" si="4"/>
        <v>#NUM!</v>
      </c>
      <c r="AM47" s="59" t="e">
        <f t="shared" si="5"/>
        <v>#NUM!</v>
      </c>
      <c r="AN47" s="59">
        <f ca="1">AVERAGE(OFFSET($AM$3,0,0,'Données projet'!$E$10+1,1))-AVERAGE(OFFSET($H$3,0,0,'Données projet'!$E$10+1,1))</f>
        <v>148.39628895278571</v>
      </c>
      <c r="AO47" s="59">
        <f t="shared" si="36"/>
        <v>361.07991692964788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92.578457022738931</v>
      </c>
      <c r="AW47" s="21">
        <f>EXP(-LN(2)/2)*AW46+(1-EXP(-LN(2)/2))/(LN(2)/2)*AQ47*AT47*VLOOKUP('Données projet'!$B$10,Paramètres!$A$1:$I$89,3,0)*0.475*44/12</f>
        <v>3.512656718949601E-4</v>
      </c>
      <c r="AX47" s="21">
        <f t="shared" si="6"/>
        <v>92.578808288410826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9.9475000000000016</v>
      </c>
      <c r="BD47" s="12">
        <f>IF('Données projet'!$A$88&gt;35,BD46+BC47-BL46,IF(A47&lt;'Données projet'!$A$88,$BA$205^A47,IF(A47='Données projet'!$A$88,'Données projet'!$B$88,BD46+BC47-BL46)))</f>
        <v>148.64500000000004</v>
      </c>
      <c r="BE47" s="13">
        <f>BD47*VLOOKUP('Données projet'!$B$11,Paramètres!$A$1:$I$89,3,0)*VLOOKUP('Données projet'!$B$11,Paramètres!$A$1:$I$89,5,0)</f>
        <v>134.49399600000004</v>
      </c>
      <c r="BF47" s="13">
        <f t="shared" si="37"/>
        <v>35.032727009666296</v>
      </c>
      <c r="BG47" s="20">
        <f t="shared" si="7"/>
        <v>295.25904257516885</v>
      </c>
      <c r="BH47" s="59">
        <f t="shared" si="8"/>
        <v>588.59237590850216</v>
      </c>
      <c r="BI47" s="59">
        <f ca="1">AVERAGE(OFFSET($BH$3,0,0,'Données projet'!$E$11+1,1))-AVERAGE(OFFSET($H$3,0,0,'Données projet'!$E$11+1,1))</f>
        <v>465.85201723964195</v>
      </c>
      <c r="BJ47" s="59">
        <f t="shared" si="38"/>
        <v>110.67325286443491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17.862848306482562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17.862848306482562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6.4</v>
      </c>
      <c r="BY47" s="12">
        <f>IF('Données projet'!$A$114&gt;35,BY46+BX47-CG46,IF(A47&lt;'Données projet'!$A$114,$BV$205^A47,IF(A47='Données projet'!$A$114,'Données projet'!$B$114,BY46+BX47-CG46)))</f>
        <v>155.60000000000002</v>
      </c>
      <c r="BZ47" s="13">
        <f>BY47*VLOOKUP('Données projet'!$B$12,Paramètres!$A$1:$I$89,3,0)*VLOOKUP('Données projet'!$B$12,Paramètres!$A$1:$I$89,5,0)</f>
        <v>135.93216000000004</v>
      </c>
      <c r="CA47" s="13">
        <f t="shared" si="39"/>
        <v>35.36352729450968</v>
      </c>
      <c r="CB47" s="20">
        <f t="shared" si="10"/>
        <v>298.33998870460442</v>
      </c>
      <c r="CC47" s="59">
        <f t="shared" si="11"/>
        <v>591.67332203793774</v>
      </c>
      <c r="CD47" s="59">
        <f ca="1">AVERAGE(OFFSET($CC$3,0,0,'Données projet'!$E$12+1,1))-AVERAGE(OFFSET($H$3,0,0,'Données projet'!$E$12+1,1))</f>
        <v>201.70120933876507</v>
      </c>
      <c r="CE47" s="59">
        <f t="shared" si="40"/>
        <v>188.1234063307752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14.622266191357975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14.622266191357975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6.4</v>
      </c>
      <c r="CT47" s="12">
        <f>IF('Données projet'!$A$140&gt;35,CT46+CS47-DB46,IF(A47&lt;'Données projet'!$A$140,$CQ$205^A47,IF(A47='Données projet'!$A$140,'Données projet'!$B$140,CT46+CS47-DB46)))</f>
        <v>157.59999999999997</v>
      </c>
      <c r="CU47" s="17">
        <f>CT47*VLOOKUP('Données projet'!$B$13,Paramètres!$A$1:$I$89,3,0)*VLOOKUP('Données projet'!$B$13,Paramètres!$A$1:$I$89,5,0)</f>
        <v>115.55231999999997</v>
      </c>
      <c r="CV47" s="13">
        <f t="shared" si="41"/>
        <v>30.635381800029723</v>
      </c>
      <c r="CW47" s="20">
        <f t="shared" si="13"/>
        <v>254.61024730171837</v>
      </c>
      <c r="CX47" s="59">
        <f t="shared" si="14"/>
        <v>547.94358063505172</v>
      </c>
      <c r="CY47" s="59">
        <f ca="1">AVERAGE(OFFSET($CX$3,0,0,'Données projet'!$E$13+1,1))-AVERAGE(OFFSET($H$3,0,0,'Données projet'!$E$13+1,1))</f>
        <v>141.13780344922503</v>
      </c>
      <c r="CZ47" s="59">
        <f t="shared" si="42"/>
        <v>144.12010599544237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12.885872081134218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12.885872081134218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>
        <f>AI48*VLOOKUP('Données projet'!$B$10,Paramètres!$A$1:$I$89,3,0)*VLOOKUP('Données projet'!$B$10,Paramètres!$A$1:$I$89,5,0)</f>
        <v>0</v>
      </c>
      <c r="AK48" s="13" t="e">
        <f t="shared" si="35"/>
        <v>#NUM!</v>
      </c>
      <c r="AL48" s="20" t="e">
        <f t="shared" si="4"/>
        <v>#NUM!</v>
      </c>
      <c r="AM48" s="59" t="e">
        <f t="shared" si="5"/>
        <v>#NUM!</v>
      </c>
      <c r="AN48" s="59">
        <f ca="1">AVERAGE(OFFSET($AM$3,0,0,'Données projet'!$E$10+1,1))-AVERAGE(OFFSET($H$3,0,0,'Données projet'!$E$10+1,1))</f>
        <v>148.39628895278571</v>
      </c>
      <c r="AO48" s="59">
        <f t="shared" si="36"/>
        <v>361.07991692964788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90.046894246962665</v>
      </c>
      <c r="AW48" s="21">
        <f>EXP(-LN(2)/2)*AW47+(1-EXP(-LN(2)/2))/(LN(2)/2)*AQ48*AT48*VLOOKUP('Données projet'!$B$10,Paramètres!$A$1:$I$89,3,0)*0.475*44/12</f>
        <v>2.4838233859497515E-4</v>
      </c>
      <c r="AX48" s="21">
        <f t="shared" si="6"/>
        <v>90.047142629301263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9.9475000000000016</v>
      </c>
      <c r="BD48" s="12">
        <f>IF('Données projet'!$A$88&gt;35,BD47+BC48-BL47,IF(A48&lt;'Données projet'!$A$88,$BA$205^A48,IF(A48='Données projet'!$A$88,'Données projet'!$B$88,BD47+BC48-BL47)))</f>
        <v>158.59250000000003</v>
      </c>
      <c r="BE48" s="13">
        <f>BD48*VLOOKUP('Données projet'!$B$11,Paramètres!$A$1:$I$89,3,0)*VLOOKUP('Données projet'!$B$11,Paramètres!$A$1:$I$89,5,0)</f>
        <v>143.49449400000003</v>
      </c>
      <c r="BF48" s="13">
        <f t="shared" si="37"/>
        <v>37.096392708339906</v>
      </c>
      <c r="BG48" s="20">
        <f t="shared" si="7"/>
        <v>314.52912768369208</v>
      </c>
      <c r="BH48" s="59">
        <f t="shared" si="8"/>
        <v>607.86246101702545</v>
      </c>
      <c r="BI48" s="59">
        <f ca="1">AVERAGE(OFFSET($BH$3,0,0,'Données projet'!$E$11+1,1))-AVERAGE(OFFSET($H$3,0,0,'Données projet'!$E$11+1,1))</f>
        <v>465.85201723964195</v>
      </c>
      <c r="BJ48" s="59">
        <f t="shared" si="38"/>
        <v>110.67325286443491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17.51256874645409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17.51256874645409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162</v>
      </c>
      <c r="BW48" s="12">
        <f>VLOOKUP(A48,'Données projet'!$A$113:$I$133,9,0)</f>
        <v>6.4</v>
      </c>
      <c r="BX48" s="12">
        <f t="array" ref="BX48">INDEX(BW:BW,MIN(IF(ISNUMBER(BW48:BW244),ROW(BW48:BW244),"")))</f>
        <v>6.4</v>
      </c>
      <c r="BY48" s="12">
        <f>IF('Données projet'!$A$114&gt;35,BY47+BX48-CG47,IF(A48&lt;'Données projet'!$A$114,$BV$205^A48,IF(A48='Données projet'!$A$114,'Données projet'!$B$114,BY47+BX48-CG47)))</f>
        <v>162.00000000000003</v>
      </c>
      <c r="BZ48" s="13">
        <f>BY48*VLOOKUP('Données projet'!$B$12,Paramètres!$A$1:$I$89,3,0)*VLOOKUP('Données projet'!$B$12,Paramètres!$A$1:$I$89,5,0)</f>
        <v>141.52320000000006</v>
      </c>
      <c r="CA48" s="13">
        <f t="shared" si="39"/>
        <v>36.645729158274158</v>
      </c>
      <c r="CB48" s="20">
        <f t="shared" si="10"/>
        <v>310.31088495066086</v>
      </c>
      <c r="CC48" s="59">
        <f t="shared" si="11"/>
        <v>603.64421828399418</v>
      </c>
      <c r="CD48" s="59">
        <f ca="1">AVERAGE(OFFSET($CC$3,0,0,'Données projet'!$E$12+1,1))-AVERAGE(OFFSET($H$3,0,0,'Données projet'!$E$12+1,1))</f>
        <v>201.70120933876507</v>
      </c>
      <c r="CE48" s="59">
        <f t="shared" si="40"/>
        <v>188.1234063307752</v>
      </c>
      <c r="CF48" s="15">
        <f>IF(ISNA(VLOOKUP(A48,'Données projet'!$A$113:$I$133,3,0)),0,VLOOKUP(A48,'Données projet'!$A$113:$I$133,3,0))</f>
        <v>6</v>
      </c>
      <c r="CG48" s="15">
        <f>IF(ISNA(VLOOKUP(A48,'Données projet'!$A$113:$I$133,4,0)),0,VLOOKUP(A48,'Données projet'!$A$113:$I$133,4,0))</f>
        <v>19</v>
      </c>
      <c r="CH48" s="16">
        <f>IF(ISNA(VLOOKUP(A48,'Données projet'!$A$113:$I$133,5,0)),0%,VLOOKUP(A48,'Données projet'!$A$113:$I$133,5,0)*VLOOKUP('Données projet'!$B$12,Paramètres!$A$1:$I$89,7,0))</f>
        <v>0.43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22.225619475532252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22.225619475532252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164</v>
      </c>
      <c r="CR48" s="12">
        <f>VLOOKUP(A48,'Données projet'!$A$139:$I$159,9,0)</f>
        <v>6.4</v>
      </c>
      <c r="CS48" s="12">
        <f t="array" ref="CS48">INDEX(CR:CR,MIN(IF(ISNUMBER(CR48:CR244),ROW(CR48:CR244),"")))</f>
        <v>6.4</v>
      </c>
      <c r="CT48" s="12">
        <f>IF('Données projet'!$A$140&gt;35,CT47+CS48-DB47,IF(A48&lt;'Données projet'!$A$140,$CQ$205^A48,IF(A48='Données projet'!$A$140,'Données projet'!$B$140,CT47+CS48-DB47)))</f>
        <v>163.99999999999997</v>
      </c>
      <c r="CU48" s="17">
        <f>CT48*VLOOKUP('Données projet'!$B$13,Paramètres!$A$1:$I$89,3,0)*VLOOKUP('Données projet'!$B$13,Paramètres!$A$1:$I$89,5,0)</f>
        <v>120.24479999999998</v>
      </c>
      <c r="CV48" s="13">
        <f t="shared" si="41"/>
        <v>31.732088100347291</v>
      </c>
      <c r="CW48" s="20">
        <f t="shared" si="13"/>
        <v>264.69308010810488</v>
      </c>
      <c r="CX48" s="59">
        <f t="shared" si="14"/>
        <v>558.02641344143819</v>
      </c>
      <c r="CY48" s="59">
        <f ca="1">AVERAGE(OFFSET($CX$3,0,0,'Données projet'!$E$13+1,1))-AVERAGE(OFFSET($H$3,0,0,'Données projet'!$E$13+1,1))</f>
        <v>141.13780344922503</v>
      </c>
      <c r="CZ48" s="59">
        <f t="shared" si="42"/>
        <v>144.12010599544237</v>
      </c>
      <c r="DA48" s="15">
        <f>IF(ISNA(VLOOKUP(A48,'Données projet'!$A$139:$I$159,3,0)),0,VLOOKUP(A48,'Données projet'!$A$139:$I$159,3,0))</f>
        <v>6</v>
      </c>
      <c r="DB48" s="15">
        <f>IF(ISNA(VLOOKUP(A48,'Données projet'!$A$139:$I$159,4,0)),0,VLOOKUP(A48,'Données projet'!$A$139:$I$159,4,0))</f>
        <v>18</v>
      </c>
      <c r="DC48" s="16">
        <f>IF(ISNA(VLOOKUP(A48,'Données projet'!$A$139:$I$159,5,0)),0%,VLOOKUP(A48,'Données projet'!$A$139:$I$159,5,0)*VLOOKUP('Données projet'!$B$13,Paramètres!$A$1:$I$89,7,0))</f>
        <v>0.43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18.906697018026421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18.906697018026421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>
        <f>AI49*VLOOKUP('Données projet'!$B$10,Paramètres!$A$1:$I$89,3,0)*VLOOKUP('Données projet'!$B$10,Paramètres!$A$1:$I$89,5,0)</f>
        <v>0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148.39628895278571</v>
      </c>
      <c r="AO49" s="59">
        <f t="shared" si="36"/>
        <v>361.07991692964788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87.584557188419112</v>
      </c>
      <c r="AW49" s="21">
        <f>EXP(-LN(2)/2)*AW48+(1-EXP(-LN(2)/2))/(LN(2)/2)*AQ49*AT49*VLOOKUP('Données projet'!$B$10,Paramètres!$A$1:$I$89,3,0)*0.475*44/12</f>
        <v>1.7563283594748005E-4</v>
      </c>
      <c r="AX49" s="21">
        <f t="shared" si="6"/>
        <v>87.584732821255059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9.9475000000000016</v>
      </c>
      <c r="BD49" s="12">
        <f>IF('Données projet'!$A$88&gt;35,BD48+BC49-BL48,IF(A49&lt;'Données projet'!$A$88,$BA$205^A49,IF(A49='Données projet'!$A$88,'Données projet'!$B$88,BD48+BC49-BL48)))</f>
        <v>168.54000000000002</v>
      </c>
      <c r="BE49" s="13">
        <f>BD49*VLOOKUP('Données projet'!$B$11,Paramètres!$A$1:$I$89,3,0)*VLOOKUP('Données projet'!$B$11,Paramètres!$A$1:$I$89,5,0)</f>
        <v>152.49499200000002</v>
      </c>
      <c r="BF49" s="13">
        <f t="shared" si="37"/>
        <v>39.145035989405642</v>
      </c>
      <c r="BG49" s="20">
        <f t="shared" si="7"/>
        <v>333.77304874821488</v>
      </c>
      <c r="BH49" s="59">
        <f t="shared" si="8"/>
        <v>627.10638208154819</v>
      </c>
      <c r="BI49" s="59">
        <f ca="1">AVERAGE(OFFSET($BH$3,0,0,'Données projet'!$E$11+1,1))-AVERAGE(OFFSET($H$3,0,0,'Données projet'!$E$11+1,1))</f>
        <v>465.85201723964195</v>
      </c>
      <c r="BJ49" s="59">
        <f t="shared" si="38"/>
        <v>110.67325286443491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17.169157954948339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17.169157954948339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6</v>
      </c>
      <c r="BY49" s="12">
        <f>IF('Données projet'!$A$114&gt;35,BY48+BX49-CG48,IF(A49&lt;'Données projet'!$A$114,$BV$205^A49,IF(A49='Données projet'!$A$114,'Données projet'!$B$114,BY48+BX49-CG48)))</f>
        <v>149.00000000000003</v>
      </c>
      <c r="BZ49" s="13">
        <f>BY49*VLOOKUP('Données projet'!$B$12,Paramètres!$A$1:$I$89,3,0)*VLOOKUP('Données projet'!$B$12,Paramètres!$A$1:$I$89,5,0)</f>
        <v>130.16640000000004</v>
      </c>
      <c r="CA49" s="13">
        <f t="shared" si="39"/>
        <v>34.034806623706302</v>
      </c>
      <c r="CB49" s="20">
        <f t="shared" si="10"/>
        <v>285.98376820295522</v>
      </c>
      <c r="CC49" s="59">
        <f t="shared" si="11"/>
        <v>579.31710153628853</v>
      </c>
      <c r="CD49" s="59">
        <f ca="1">AVERAGE(OFFSET($CC$3,0,0,'Données projet'!$E$12+1,1))-AVERAGE(OFFSET($H$3,0,0,'Données projet'!$E$12+1,1))</f>
        <v>201.70120933876507</v>
      </c>
      <c r="CE49" s="59">
        <f t="shared" si="40"/>
        <v>188.1234063307752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21.789788633906372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21.789788633906372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5.6</v>
      </c>
      <c r="CT49" s="12">
        <f>IF('Données projet'!$A$140&gt;35,CT48+CS49-DB48,IF(A49&lt;'Données projet'!$A$140,$CQ$205^A49,IF(A49='Données projet'!$A$140,'Données projet'!$B$140,CT48+CS49-DB48)))</f>
        <v>151.59999999999997</v>
      </c>
      <c r="CU49" s="17">
        <f>CT49*VLOOKUP('Données projet'!$B$13,Paramètres!$A$1:$I$89,3,0)*VLOOKUP('Données projet'!$B$13,Paramètres!$A$1:$I$89,5,0)</f>
        <v>111.15311999999997</v>
      </c>
      <c r="CV49" s="13">
        <f t="shared" si="41"/>
        <v>29.602503525728935</v>
      </c>
      <c r="CW49" s="20">
        <f t="shared" si="13"/>
        <v>245.1493776406445</v>
      </c>
      <c r="CX49" s="59">
        <f t="shared" si="14"/>
        <v>538.48271097397787</v>
      </c>
      <c r="CY49" s="59">
        <f ca="1">AVERAGE(OFFSET($CX$3,0,0,'Données projet'!$E$13+1,1))-AVERAGE(OFFSET($H$3,0,0,'Données projet'!$E$13+1,1))</f>
        <v>141.13780344922503</v>
      </c>
      <c r="CZ49" s="59">
        <f t="shared" si="42"/>
        <v>144.12010599544237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18.53594822144942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18.53594822144942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>
        <f>AI50*VLOOKUP('Données projet'!$B$10,Paramètres!$A$1:$I$89,3,0)*VLOOKUP('Données projet'!$B$10,Paramètres!$A$1:$I$89,5,0)</f>
        <v>0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148.39628895278571</v>
      </c>
      <c r="AO50" s="59">
        <f t="shared" si="36"/>
        <v>361.07991692964788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85.189552866230102</v>
      </c>
      <c r="AW50" s="21">
        <f>EXP(-LN(2)/2)*AW49+(1-EXP(-LN(2)/2))/(LN(2)/2)*AQ50*AT50*VLOOKUP('Données projet'!$B$10,Paramètres!$A$1:$I$89,3,0)*0.475*44/12</f>
        <v>1.2419116929748757E-4</v>
      </c>
      <c r="AX50" s="21">
        <f t="shared" si="6"/>
        <v>85.189677057399393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9.9475000000000016</v>
      </c>
      <c r="BD50" s="12">
        <f>IF('Données projet'!$A$88&gt;35,BD49+BC50-BL49,IF(A50&lt;'Données projet'!$A$88,$BA$205^A50,IF(A50='Données projet'!$A$88,'Données projet'!$B$88,BD49+BC50-BL49)))</f>
        <v>178.48750000000001</v>
      </c>
      <c r="BE50" s="13">
        <f>BD50*VLOOKUP('Données projet'!$B$11,Paramètres!$A$1:$I$89,3,0)*VLOOKUP('Données projet'!$B$11,Paramètres!$A$1:$I$89,5,0)</f>
        <v>161.49549000000002</v>
      </c>
      <c r="BF50" s="13">
        <f t="shared" si="37"/>
        <v>41.179644493238747</v>
      </c>
      <c r="BG50" s="20">
        <f t="shared" si="7"/>
        <v>352.99252590905752</v>
      </c>
      <c r="BH50" s="59">
        <f t="shared" si="8"/>
        <v>646.32585924239083</v>
      </c>
      <c r="BI50" s="59">
        <f ca="1">AVERAGE(OFFSET($BH$3,0,0,'Données projet'!$E$11+1,1))-AVERAGE(OFFSET($H$3,0,0,'Données projet'!$E$11+1,1))</f>
        <v>465.85201723964195</v>
      </c>
      <c r="BJ50" s="59">
        <f t="shared" si="38"/>
        <v>110.67325286443491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16.832481239604117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16.832481239604117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6</v>
      </c>
      <c r="BY50" s="12">
        <f>IF('Données projet'!$A$114&gt;35,BY49+BX50-CG49,IF(A50&lt;'Données projet'!$A$114,$BV$205^A50,IF(A50='Données projet'!$A$114,'Données projet'!$B$114,BY49+BX50-CG49)))</f>
        <v>155.00000000000003</v>
      </c>
      <c r="BZ50" s="13">
        <f>BY50*VLOOKUP('Données projet'!$B$12,Paramètres!$A$1:$I$89,3,0)*VLOOKUP('Données projet'!$B$12,Paramètres!$A$1:$I$89,5,0)</f>
        <v>135.40800000000004</v>
      </c>
      <c r="CA50" s="13">
        <f t="shared" si="39"/>
        <v>35.243009677478732</v>
      </c>
      <c r="CB50" s="20">
        <f t="shared" si="10"/>
        <v>297.21717518827558</v>
      </c>
      <c r="CC50" s="59">
        <f t="shared" si="11"/>
        <v>590.55050852160889</v>
      </c>
      <c r="CD50" s="59">
        <f ca="1">AVERAGE(OFFSET($CC$3,0,0,'Données projet'!$E$12+1,1))-AVERAGE(OFFSET($H$3,0,0,'Données projet'!$E$12+1,1))</f>
        <v>201.70120933876507</v>
      </c>
      <c r="CE50" s="59">
        <f t="shared" si="40"/>
        <v>188.1234063307752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21.362504169254212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21.362504169254212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5.6</v>
      </c>
      <c r="CT50" s="12">
        <f>IF('Données projet'!$A$140&gt;35,CT49+CS50-DB49,IF(A50&lt;'Données projet'!$A$140,$CQ$205^A50,IF(A50='Données projet'!$A$140,'Données projet'!$B$140,CT49+CS50-DB49)))</f>
        <v>157.19999999999996</v>
      </c>
      <c r="CU50" s="17">
        <f>CT50*VLOOKUP('Données projet'!$B$13,Paramètres!$A$1:$I$89,3,0)*VLOOKUP('Données projet'!$B$13,Paramètres!$A$1:$I$89,5,0)</f>
        <v>115.25903999999996</v>
      </c>
      <c r="CV50" s="13">
        <f t="shared" si="41"/>
        <v>30.566667521552457</v>
      </c>
      <c r="CW50" s="20">
        <f t="shared" si="13"/>
        <v>253.97977393337041</v>
      </c>
      <c r="CX50" s="59">
        <f t="shared" si="14"/>
        <v>547.3131072667037</v>
      </c>
      <c r="CY50" s="59">
        <f ca="1">AVERAGE(OFFSET($CX$3,0,0,'Données projet'!$E$13+1,1))-AVERAGE(OFFSET($H$3,0,0,'Données projet'!$E$13+1,1))</f>
        <v>141.13780344922503</v>
      </c>
      <c r="CZ50" s="59">
        <f t="shared" si="42"/>
        <v>144.12010599544237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18.172469582638854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18.172469582638854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>
        <f>AI51*VLOOKUP('Données projet'!$B$10,Paramètres!$A$1:$I$89,3,0)*VLOOKUP('Données projet'!$B$10,Paramètres!$A$1:$I$89,5,0)</f>
        <v>0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148.39628895278571</v>
      </c>
      <c r="AO51" s="59">
        <f t="shared" si="36"/>
        <v>361.07991692964788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82.860040063179156</v>
      </c>
      <c r="AW51" s="21">
        <f>EXP(-LN(2)/2)*AW50+(1-EXP(-LN(2)/2))/(LN(2)/2)*AQ51*AT51*VLOOKUP('Données projet'!$B$10,Paramètres!$A$1:$I$89,3,0)*0.475*44/12</f>
        <v>8.7816417973740025E-5</v>
      </c>
      <c r="AX51" s="21">
        <f t="shared" si="6"/>
        <v>82.86012787959713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9.9475000000000016</v>
      </c>
      <c r="BD51" s="12">
        <f>IF('Données projet'!$A$88&gt;35,BD50+BC51-BL50,IF(A51&lt;'Données projet'!$A$88,$BA$205^A51,IF(A51='Données projet'!$A$88,'Données projet'!$B$88,BD50+BC51-BL50)))</f>
        <v>188.435</v>
      </c>
      <c r="BE51" s="13">
        <f>BD51*VLOOKUP('Données projet'!$B$11,Paramètres!$A$1:$I$89,3,0)*VLOOKUP('Données projet'!$B$11,Paramètres!$A$1:$I$89,5,0)</f>
        <v>170.49598800000001</v>
      </c>
      <c r="BF51" s="13">
        <f t="shared" si="37"/>
        <v>43.201089555869402</v>
      </c>
      <c r="BG51" s="20">
        <f t="shared" si="7"/>
        <v>372.1890767431392</v>
      </c>
      <c r="BH51" s="59">
        <f t="shared" si="8"/>
        <v>665.52241007647251</v>
      </c>
      <c r="BI51" s="59">
        <f ca="1">AVERAGE(OFFSET($BH$3,0,0,'Données projet'!$E$11+1,1))-AVERAGE(OFFSET($H$3,0,0,'Données projet'!$E$11+1,1))</f>
        <v>465.85201723964195</v>
      </c>
      <c r="BJ51" s="59">
        <f t="shared" si="38"/>
        <v>110.67325286443491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16.502406549295273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16.502406549295273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6</v>
      </c>
      <c r="BY51" s="12">
        <f>IF('Données projet'!$A$114&gt;35,BY50+BX51-CG50,IF(A51&lt;'Données projet'!$A$114,$BV$205^A51,IF(A51='Données projet'!$A$114,'Données projet'!$B$114,BY50+BX51-CG50)))</f>
        <v>161.00000000000003</v>
      </c>
      <c r="BZ51" s="13">
        <f>BY51*VLOOKUP('Données projet'!$B$12,Paramètres!$A$1:$I$89,3,0)*VLOOKUP('Données projet'!$B$12,Paramètres!$A$1:$I$89,5,0)</f>
        <v>140.64960000000005</v>
      </c>
      <c r="CA51" s="13">
        <f t="shared" si="39"/>
        <v>36.445779615258637</v>
      </c>
      <c r="CB51" s="20">
        <f t="shared" si="10"/>
        <v>308.44111949657554</v>
      </c>
      <c r="CC51" s="59">
        <f t="shared" si="11"/>
        <v>601.7744528299088</v>
      </c>
      <c r="CD51" s="59">
        <f ca="1">AVERAGE(OFFSET($CC$3,0,0,'Données projet'!$E$12+1,1))-AVERAGE(OFFSET($H$3,0,0,'Données projet'!$E$12+1,1))</f>
        <v>201.70120933876507</v>
      </c>
      <c r="CE51" s="59">
        <f t="shared" si="40"/>
        <v>188.1234063307752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20.94359849233609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20.94359849233609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5.6</v>
      </c>
      <c r="CT51" s="12">
        <f>IF('Données projet'!$A$140&gt;35,CT50+CS51-DB50,IF(A51&lt;'Données projet'!$A$140,$CQ$205^A51,IF(A51='Données projet'!$A$140,'Données projet'!$B$140,CT50+CS51-DB50)))</f>
        <v>162.79999999999995</v>
      </c>
      <c r="CU51" s="17">
        <f>CT51*VLOOKUP('Données projet'!$B$13,Paramètres!$A$1:$I$89,3,0)*VLOOKUP('Données projet'!$B$13,Paramètres!$A$1:$I$89,5,0)</f>
        <v>119.36495999999997</v>
      </c>
      <c r="CV51" s="13">
        <f t="shared" si="41"/>
        <v>31.526840934707504</v>
      </c>
      <c r="CW51" s="20">
        <f t="shared" si="13"/>
        <v>262.8032199612822</v>
      </c>
      <c r="CX51" s="59">
        <f t="shared" si="14"/>
        <v>556.13655329461551</v>
      </c>
      <c r="CY51" s="59">
        <f ca="1">AVERAGE(OFFSET($CX$3,0,0,'Données projet'!$E$13+1,1))-AVERAGE(OFFSET($H$3,0,0,'Données projet'!$E$13+1,1))</f>
        <v>141.13780344922503</v>
      </c>
      <c r="CZ51" s="59">
        <f t="shared" si="42"/>
        <v>144.12010599544237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17.816118538235287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17.816118538235287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>
        <f>AI52*VLOOKUP('Données projet'!$B$10,Paramètres!$A$1:$I$89,3,0)*VLOOKUP('Données projet'!$B$10,Paramètres!$A$1:$I$89,5,0)</f>
        <v>0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148.39628895278571</v>
      </c>
      <c r="AO52" s="59">
        <f t="shared" si="36"/>
        <v>361.07991692964788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80.594227910231396</v>
      </c>
      <c r="AW52" s="21">
        <f>EXP(-LN(2)/2)*AW51+(1-EXP(-LN(2)/2))/(LN(2)/2)*AQ52*AT52*VLOOKUP('Données projet'!$B$10,Paramètres!$A$1:$I$89,3,0)*0.475*44/12</f>
        <v>6.2095584648743786E-5</v>
      </c>
      <c r="AX52" s="21">
        <f t="shared" si="6"/>
        <v>80.594290005816049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9.9475000000000016</v>
      </c>
      <c r="BD52" s="12">
        <f>IF('Données projet'!$A$88&gt;35,BD51+BC52-BL51,IF(A52&lt;'Données projet'!$A$88,$BA$205^A52,IF(A52='Données projet'!$A$88,'Données projet'!$B$88,BD51+BC52-BL51)))</f>
        <v>198.38249999999999</v>
      </c>
      <c r="BE52" s="13">
        <f>BD52*VLOOKUP('Données projet'!$B$11,Paramètres!$A$1:$I$89,3,0)*VLOOKUP('Données projet'!$B$11,Paramètres!$A$1:$I$89,5,0)</f>
        <v>179.496486</v>
      </c>
      <c r="BF52" s="13">
        <f t="shared" si="37"/>
        <v>45.210145321648348</v>
      </c>
      <c r="BG52" s="20">
        <f t="shared" si="7"/>
        <v>391.36404955187089</v>
      </c>
      <c r="BH52" s="59">
        <f t="shared" si="8"/>
        <v>684.69738288520421</v>
      </c>
      <c r="BI52" s="59">
        <f ca="1">AVERAGE(OFFSET($BH$3,0,0,'Données projet'!$E$11+1,1))-AVERAGE(OFFSET($H$3,0,0,'Données projet'!$E$11+1,1))</f>
        <v>465.85201723964195</v>
      </c>
      <c r="BJ52" s="59">
        <f t="shared" si="38"/>
        <v>110.67325286443491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16.178804422337706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16.178804422337706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6</v>
      </c>
      <c r="BY52" s="12">
        <f>IF('Données projet'!$A$114&gt;35,BY51+BX52-CG51,IF(A52&lt;'Données projet'!$A$114,$BV$205^A52,IF(A52='Données projet'!$A$114,'Données projet'!$B$114,BY51+BX52-CG51)))</f>
        <v>167.00000000000003</v>
      </c>
      <c r="BZ52" s="13">
        <f>BY52*VLOOKUP('Données projet'!$B$12,Paramètres!$A$1:$I$89,3,0)*VLOOKUP('Données projet'!$B$12,Paramètres!$A$1:$I$89,5,0)</f>
        <v>145.89120000000005</v>
      </c>
      <c r="CA52" s="13">
        <f t="shared" si="39"/>
        <v>37.643342098399685</v>
      </c>
      <c r="CB52" s="20">
        <f t="shared" si="10"/>
        <v>319.65599415471291</v>
      </c>
      <c r="CC52" s="59">
        <f t="shared" si="11"/>
        <v>612.98932748804623</v>
      </c>
      <c r="CD52" s="59">
        <f ca="1">AVERAGE(OFFSET($CC$3,0,0,'Données projet'!$E$12+1,1))-AVERAGE(OFFSET($H$3,0,0,'Données projet'!$E$12+1,1))</f>
        <v>201.70120933876507</v>
      </c>
      <c r="CE52" s="59">
        <f t="shared" si="40"/>
        <v>188.1234063307752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20.532907300235099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20.532907300235099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5.6</v>
      </c>
      <c r="CT52" s="12">
        <f>IF('Données projet'!$A$140&gt;35,CT51+CS52-DB51,IF(A52&lt;'Données projet'!$A$140,$CQ$205^A52,IF(A52='Données projet'!$A$140,'Données projet'!$B$140,CT51+CS52-DB51)))</f>
        <v>168.39999999999995</v>
      </c>
      <c r="CU52" s="17">
        <f>CT52*VLOOKUP('Données projet'!$B$13,Paramètres!$A$1:$I$89,3,0)*VLOOKUP('Données projet'!$B$13,Paramètres!$A$1:$I$89,5,0)</f>
        <v>123.47087999999995</v>
      </c>
      <c r="CV52" s="13">
        <f t="shared" si="41"/>
        <v>32.483176766344855</v>
      </c>
      <c r="CW52" s="20">
        <f t="shared" si="13"/>
        <v>271.61998220138389</v>
      </c>
      <c r="CX52" s="59">
        <f t="shared" si="14"/>
        <v>564.95331553471715</v>
      </c>
      <c r="CY52" s="59">
        <f ca="1">AVERAGE(OFFSET($CX$3,0,0,'Données projet'!$E$13+1,1))-AVERAGE(OFFSET($H$3,0,0,'Données projet'!$E$13+1,1))</f>
        <v>141.13780344922503</v>
      </c>
      <c r="CZ52" s="59">
        <f t="shared" si="42"/>
        <v>144.12010599544237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17.466755320459797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17.466755320459797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>
        <f>AI53*VLOOKUP('Données projet'!$B$10,Paramètres!$A$1:$I$89,3,0)*VLOOKUP('Données projet'!$B$10,Paramètres!$A$1:$I$89,5,0)</f>
        <v>0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148.39628895278571</v>
      </c>
      <c r="AO53" s="59">
        <f t="shared" si="36"/>
        <v>361.07991692964788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78.39037450975988</v>
      </c>
      <c r="AW53" s="21">
        <f>EXP(-LN(2)/2)*AW52+(1-EXP(-LN(2)/2))/(LN(2)/2)*AQ53*AT53*VLOOKUP('Données projet'!$B$10,Paramètres!$A$1:$I$89,3,0)*0.475*44/12</f>
        <v>4.3908208986870012E-5</v>
      </c>
      <c r="AX53" s="21">
        <f t="shared" si="6"/>
        <v>78.39041841796886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208.33</v>
      </c>
      <c r="BB53" s="12">
        <f>VLOOKUP(A53,'Données projet'!$A$87:$I$107,9,0)</f>
        <v>9.9475000000000016</v>
      </c>
      <c r="BC53" s="12">
        <f t="array" ref="BC53">INDEX(BB:BB,MIN(IF(ISNUMBER(BB53:BB249),ROW(BB53:BB249),"")))</f>
        <v>9.9475000000000016</v>
      </c>
      <c r="BD53" s="12">
        <f>IF('Données projet'!$A$88&gt;35,BD52+BC53-BL52,IF(A53&lt;'Données projet'!$A$88,$BA$205^A53,IF(A53='Données projet'!$A$88,'Données projet'!$B$88,BD52+BC53-BL52)))</f>
        <v>208.32999999999998</v>
      </c>
      <c r="BE53" s="13">
        <f>BD53*VLOOKUP('Données projet'!$B$11,Paramètres!$A$1:$I$89,3,0)*VLOOKUP('Données projet'!$B$11,Paramètres!$A$1:$I$89,5,0)</f>
        <v>188.496984</v>
      </c>
      <c r="BF53" s="13">
        <f t="shared" si="37"/>
        <v>47.207503913482903</v>
      </c>
      <c r="BG53" s="20">
        <f t="shared" si="7"/>
        <v>410.51864978264933</v>
      </c>
      <c r="BH53" s="59">
        <f t="shared" si="8"/>
        <v>703.85198311598265</v>
      </c>
      <c r="BI53" s="59">
        <f ca="1">AVERAGE(OFFSET($BH$3,0,0,'Données projet'!$E$11+1,1))-AVERAGE(OFFSET($H$3,0,0,'Données projet'!$E$11+1,1))</f>
        <v>465.85201723964195</v>
      </c>
      <c r="BJ53" s="59">
        <f t="shared" si="38"/>
        <v>110.67325286443491</v>
      </c>
      <c r="BK53" s="15">
        <f>IF(ISNA(VLOOKUP(A53,'Données projet'!$A$87:$I$107,3,0)),0,VLOOKUP(A53,'Données projet'!$A$87:$I$107,3,0))</f>
        <v>2</v>
      </c>
      <c r="BL53" s="15">
        <f>IF(ISNA(VLOOKUP(A53,'Données projet'!$A$87:$I$107,4,0)),0,VLOOKUP(A53,'Données projet'!$A$87:$I$107,4,0))</f>
        <v>35.58</v>
      </c>
      <c r="BM53" s="16">
        <f>IF(ISNA(VLOOKUP(A53,'Données projet'!$A$87:$I$107,5,0)),0%,VLOOKUP(A53,'Données projet'!$A$87:$I$107,5,0)*VLOOKUP('Données projet'!$B$11,Paramètres!$A$1:$I$89,7,0))</f>
        <v>0.43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31.16446066879395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31.16446066879395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173</v>
      </c>
      <c r="BW53" s="12">
        <f>VLOOKUP(A53,'Données projet'!$A$113:$I$133,9,0)</f>
        <v>6</v>
      </c>
      <c r="BX53" s="12">
        <f t="array" ref="BX53">INDEX(BW:BW,MIN(IF(ISNUMBER(BW53:BW249),ROW(BW53:BW249),"")))</f>
        <v>6</v>
      </c>
      <c r="BY53" s="12">
        <f>IF('Données projet'!$A$114&gt;35,BY52+BX53-CG52,IF(A53&lt;'Données projet'!$A$114,$BV$205^A53,IF(A53='Données projet'!$A$114,'Données projet'!$B$114,BY52+BX53-CG52)))</f>
        <v>173.00000000000003</v>
      </c>
      <c r="BZ53" s="13">
        <f>BY53*VLOOKUP('Données projet'!$B$12,Paramètres!$A$1:$I$89,3,0)*VLOOKUP('Données projet'!$B$12,Paramètres!$A$1:$I$89,5,0)</f>
        <v>151.13280000000003</v>
      </c>
      <c r="CA53" s="13">
        <f t="shared" si="39"/>
        <v>38.835905653934425</v>
      </c>
      <c r="CB53" s="20">
        <f t="shared" si="10"/>
        <v>330.86216234726913</v>
      </c>
      <c r="CC53" s="59">
        <f t="shared" si="11"/>
        <v>624.19549568060245</v>
      </c>
      <c r="CD53" s="59">
        <f ca="1">AVERAGE(OFFSET($CC$3,0,0,'Données projet'!$E$12+1,1))-AVERAGE(OFFSET($H$3,0,0,'Données projet'!$E$12+1,1))</f>
        <v>201.70120933876507</v>
      </c>
      <c r="CE53" s="59">
        <f t="shared" si="40"/>
        <v>188.1234063307752</v>
      </c>
      <c r="CF53" s="15">
        <f>IF(ISNA(VLOOKUP(A53,'Données projet'!$A$113:$I$133,3,0)),0,VLOOKUP(A53,'Données projet'!$A$113:$I$133,3,0))</f>
        <v>7</v>
      </c>
      <c r="CG53" s="15">
        <f>IF(ISNA(VLOOKUP(A53,'Données projet'!$A$113:$I$133,4,0)),0,VLOOKUP(A53,'Données projet'!$A$113:$I$133,4,0))</f>
        <v>18</v>
      </c>
      <c r="CH53" s="16">
        <f>IF(ISNA(VLOOKUP(A53,'Données projet'!$A$113:$I$133,5,0)),0%,VLOOKUP(A53,'Données projet'!$A$113:$I$133,5,0)*VLOOKUP('Données projet'!$B$12,Paramètres!$A$1:$I$89,7,0))</f>
        <v>0.43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27.605088780268598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27.605088780268598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174</v>
      </c>
      <c r="CR53" s="12">
        <f>VLOOKUP(A53,'Données projet'!$A$139:$I$159,9,0)</f>
        <v>5.6</v>
      </c>
      <c r="CS53" s="12">
        <f t="array" ref="CS53">INDEX(CR:CR,MIN(IF(ISNUMBER(CR53:CR249),ROW(CR53:CR249),"")))</f>
        <v>5.6</v>
      </c>
      <c r="CT53" s="12">
        <f>IF('Données projet'!$A$140&gt;35,CT52+CS53-DB52,IF(A53&lt;'Données projet'!$A$140,$CQ$205^A53,IF(A53='Données projet'!$A$140,'Données projet'!$B$140,CT52+CS53-DB52)))</f>
        <v>173.99999999999994</v>
      </c>
      <c r="CU53" s="17">
        <f>CT53*VLOOKUP('Données projet'!$B$13,Paramètres!$A$1:$I$89,3,0)*VLOOKUP('Données projet'!$B$13,Paramètres!$A$1:$I$89,5,0)</f>
        <v>127.57679999999996</v>
      </c>
      <c r="CV53" s="13">
        <f t="shared" si="41"/>
        <v>33.435817264319823</v>
      </c>
      <c r="CW53" s="20">
        <f t="shared" si="13"/>
        <v>280.43030840202363</v>
      </c>
      <c r="CX53" s="59">
        <f t="shared" si="14"/>
        <v>573.76364173535694</v>
      </c>
      <c r="CY53" s="59">
        <f ca="1">AVERAGE(OFFSET($CX$3,0,0,'Données projet'!$E$13+1,1))-AVERAGE(OFFSET($H$3,0,0,'Données projet'!$E$13+1,1))</f>
        <v>141.13780344922503</v>
      </c>
      <c r="CZ53" s="59">
        <f t="shared" si="42"/>
        <v>144.12010599544237</v>
      </c>
      <c r="DA53" s="15">
        <f>IF(ISNA(VLOOKUP(A53,'Données projet'!$A$139:$I$159,3,0)),0,VLOOKUP(A53,'Données projet'!$A$139:$I$159,3,0))</f>
        <v>7</v>
      </c>
      <c r="DB53" s="15">
        <f>IF(ISNA(VLOOKUP(A53,'Données projet'!$A$139:$I$159,4,0)),0,VLOOKUP(A53,'Données projet'!$A$139:$I$159,4,0))</f>
        <v>13</v>
      </c>
      <c r="DC53" s="16">
        <f>IF(ISNA(VLOOKUP(A53,'Données projet'!$A$139:$I$159,5,0)),0%,VLOOKUP(A53,'Données projet'!$A$139:$I$159,5,0)*VLOOKUP('Données projet'!$B$13,Paramètres!$A$1:$I$89,7,0))</f>
        <v>0.43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21.655110534203558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21.655110534203558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>
        <f>AI54*VLOOKUP('Données projet'!$B$10,Paramètres!$A$1:$I$89,3,0)*VLOOKUP('Données projet'!$B$10,Paramètres!$A$1:$I$89,5,0)</f>
        <v>0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148.39628895278571</v>
      </c>
      <c r="AO54" s="59">
        <f t="shared" si="36"/>
        <v>361.07991692964788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76.246785596419869</v>
      </c>
      <c r="AW54" s="21">
        <f>EXP(-LN(2)/2)*AW53+(1-EXP(-LN(2)/2))/(LN(2)/2)*AQ54*AT54*VLOOKUP('Données projet'!$B$10,Paramètres!$A$1:$I$89,3,0)*0.475*44/12</f>
        <v>3.1047792324371893E-5</v>
      </c>
      <c r="AX54" s="21">
        <f t="shared" si="6"/>
        <v>76.246816644212188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10.118749999999999</v>
      </c>
      <c r="BD54" s="12">
        <f>IF('Données projet'!$A$88&gt;35,BD53+BC54-BL53,IF(A54&lt;'Données projet'!$A$88,$BA$205^A54,IF(A54='Données projet'!$A$88,'Données projet'!$B$88,BD53+BC54-BL53)))</f>
        <v>182.86874999999998</v>
      </c>
      <c r="BE54" s="13">
        <f>BD54*VLOOKUP('Données projet'!$B$11,Paramètres!$A$1:$I$89,3,0)*VLOOKUP('Données projet'!$B$11,Paramètres!$A$1:$I$89,5,0)</f>
        <v>165.45964499999997</v>
      </c>
      <c r="BF54" s="13">
        <f t="shared" si="37"/>
        <v>42.071538511965834</v>
      </c>
      <c r="BG54" s="20">
        <f t="shared" si="7"/>
        <v>361.45014461667375</v>
      </c>
      <c r="BH54" s="59">
        <f t="shared" si="8"/>
        <v>654.78347795000707</v>
      </c>
      <c r="BI54" s="59">
        <f ca="1">AVERAGE(OFFSET($BH$3,0,0,'Données projet'!$E$11+1,1))-AVERAGE(OFFSET($H$3,0,0,'Données projet'!$E$11+1,1))</f>
        <v>465.85201723964195</v>
      </c>
      <c r="BJ54" s="59">
        <f t="shared" si="38"/>
        <v>110.67325286443491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30.55334460352298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30.55334460352298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5.2</v>
      </c>
      <c r="BY54" s="12">
        <f>IF('Données projet'!$A$114&gt;35,BY53+BX54-CG53,IF(A54&lt;'Données projet'!$A$114,$BV$205^A54,IF(A54='Données projet'!$A$114,'Données projet'!$B$114,BY53+BX54-CG53)))</f>
        <v>160.20000000000002</v>
      </c>
      <c r="BZ54" s="13">
        <f>BY54*VLOOKUP('Données projet'!$B$12,Paramètres!$A$1:$I$89,3,0)*VLOOKUP('Données projet'!$B$12,Paramètres!$A$1:$I$89,5,0)</f>
        <v>139.95072000000002</v>
      </c>
      <c r="CA54" s="13">
        <f t="shared" si="39"/>
        <v>36.285715907711918</v>
      </c>
      <c r="CB54" s="20">
        <f t="shared" si="10"/>
        <v>306.94512587259828</v>
      </c>
      <c r="CC54" s="59">
        <f t="shared" si="11"/>
        <v>600.27845920593154</v>
      </c>
      <c r="CD54" s="59">
        <f ca="1">AVERAGE(OFFSET($CC$3,0,0,'Données projet'!$E$12+1,1))-AVERAGE(OFFSET($H$3,0,0,'Données projet'!$E$12+1,1))</f>
        <v>201.70120933876507</v>
      </c>
      <c r="CE54" s="59">
        <f t="shared" si="40"/>
        <v>188.1234063307752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27.063769826729128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27.063769826729128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4.8</v>
      </c>
      <c r="CT54" s="12">
        <f>IF('Données projet'!$A$140&gt;35,CT53+CS54-DB53,IF(A54&lt;'Données projet'!$A$140,$CQ$205^A54,IF(A54='Données projet'!$A$140,'Données projet'!$B$140,CT53+CS54-DB53)))</f>
        <v>165.79999999999995</v>
      </c>
      <c r="CU54" s="17">
        <f>CT54*VLOOKUP('Données projet'!$B$13,Paramètres!$A$1:$I$89,3,0)*VLOOKUP('Données projet'!$B$13,Paramètres!$A$1:$I$89,5,0)</f>
        <v>121.56455999999996</v>
      </c>
      <c r="CV54" s="13">
        <f t="shared" si="41"/>
        <v>32.039631659036409</v>
      </c>
      <c r="CW54" s="20">
        <f t="shared" si="13"/>
        <v>267.52730047282165</v>
      </c>
      <c r="CX54" s="59">
        <f t="shared" si="14"/>
        <v>560.86063380615496</v>
      </c>
      <c r="CY54" s="59">
        <f ca="1">AVERAGE(OFFSET($CX$3,0,0,'Données projet'!$E$13+1,1))-AVERAGE(OFFSET($H$3,0,0,'Données projet'!$E$13+1,1))</f>
        <v>141.13780344922503</v>
      </c>
      <c r="CZ54" s="59">
        <f t="shared" si="42"/>
        <v>144.12010599544237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21.230467024941039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21.230467024941039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>
        <f>AI55*VLOOKUP('Données projet'!$B$10,Paramètres!$A$1:$I$89,3,0)*VLOOKUP('Données projet'!$B$10,Paramètres!$A$1:$I$89,5,0)</f>
        <v>0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148.39628895278571</v>
      </c>
      <c r="AO55" s="59">
        <f t="shared" si="36"/>
        <v>361.07991692964788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74.161813234641571</v>
      </c>
      <c r="AW55" s="21">
        <f>EXP(-LN(2)/2)*AW54+(1-EXP(-LN(2)/2))/(LN(2)/2)*AQ55*AT55*VLOOKUP('Données projet'!$B$10,Paramètres!$A$1:$I$89,3,0)*0.475*44/12</f>
        <v>2.1954104493435006E-5</v>
      </c>
      <c r="AX55" s="21">
        <f t="shared" si="6"/>
        <v>74.161835188746068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10.118749999999999</v>
      </c>
      <c r="BD55" s="12">
        <f>IF('Données projet'!$A$88&gt;35,BD54+BC55-BL54,IF(A55&lt;'Données projet'!$A$88,$BA$205^A55,IF(A55='Données projet'!$A$88,'Données projet'!$B$88,BD54+BC55-BL54)))</f>
        <v>192.98749999999998</v>
      </c>
      <c r="BE55" s="13">
        <f>BD55*VLOOKUP('Données projet'!$B$11,Paramètres!$A$1:$I$89,3,0)*VLOOKUP('Données projet'!$B$11,Paramètres!$A$1:$I$89,5,0)</f>
        <v>174.61508999999998</v>
      </c>
      <c r="BF55" s="13">
        <f t="shared" si="37"/>
        <v>44.122033367563922</v>
      </c>
      <c r="BG55" s="20">
        <f t="shared" si="7"/>
        <v>380.96715653184043</v>
      </c>
      <c r="BH55" s="59">
        <f t="shared" si="8"/>
        <v>674.30048986517374</v>
      </c>
      <c r="BI55" s="59">
        <f ca="1">AVERAGE(OFFSET($BH$3,0,0,'Données projet'!$E$11+1,1))-AVERAGE(OFFSET($H$3,0,0,'Données projet'!$E$11+1,1))</f>
        <v>465.85201723964195</v>
      </c>
      <c r="BJ55" s="59">
        <f t="shared" si="38"/>
        <v>110.67325286443491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29.954212151547981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29.954212151547981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5.2</v>
      </c>
      <c r="BY55" s="12">
        <f>IF('Données projet'!$A$114&gt;35,BY54+BX55-CG54,IF(A55&lt;'Données projet'!$A$114,$BV$205^A55,IF(A55='Données projet'!$A$114,'Données projet'!$B$114,BY54+BX55-CG54)))</f>
        <v>165.4</v>
      </c>
      <c r="BZ55" s="13">
        <f>BY55*VLOOKUP('Données projet'!$B$12,Paramètres!$A$1:$I$89,3,0)*VLOOKUP('Données projet'!$B$12,Paramètres!$A$1:$I$89,5,0)</f>
        <v>144.49344000000002</v>
      </c>
      <c r="CA55" s="13">
        <f t="shared" si="39"/>
        <v>37.324489208332842</v>
      </c>
      <c r="CB55" s="20">
        <f t="shared" si="10"/>
        <v>316.66622670451306</v>
      </c>
      <c r="CC55" s="59">
        <f t="shared" si="11"/>
        <v>609.99956003784632</v>
      </c>
      <c r="CD55" s="59">
        <f ca="1">AVERAGE(OFFSET($CC$3,0,0,'Données projet'!$E$12+1,1))-AVERAGE(OFFSET($H$3,0,0,'Données projet'!$E$12+1,1))</f>
        <v>201.70120933876507</v>
      </c>
      <c r="CE55" s="59">
        <f t="shared" si="40"/>
        <v>188.1234063307752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26.533065807696609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26.533065807696609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4.8</v>
      </c>
      <c r="CT55" s="12">
        <f>IF('Données projet'!$A$140&gt;35,CT54+CS55-DB54,IF(A55&lt;'Données projet'!$A$140,$CQ$205^A55,IF(A55='Données projet'!$A$140,'Données projet'!$B$140,CT54+CS55-DB54)))</f>
        <v>170.59999999999997</v>
      </c>
      <c r="CU55" s="17">
        <f>CT55*VLOOKUP('Données projet'!$B$13,Paramètres!$A$1:$I$89,3,0)*VLOOKUP('Données projet'!$B$13,Paramètres!$A$1:$I$89,5,0)</f>
        <v>125.08391999999996</v>
      </c>
      <c r="CV55" s="13">
        <f t="shared" si="41"/>
        <v>32.857861551507696</v>
      </c>
      <c r="CW55" s="20">
        <f t="shared" si="13"/>
        <v>275.08193620220914</v>
      </c>
      <c r="CX55" s="59">
        <f t="shared" si="14"/>
        <v>568.41526953554239</v>
      </c>
      <c r="CY55" s="59">
        <f ca="1">AVERAGE(OFFSET($CX$3,0,0,'Données projet'!$E$13+1,1))-AVERAGE(OFFSET($H$3,0,0,'Données projet'!$E$13+1,1))</f>
        <v>141.13780344922503</v>
      </c>
      <c r="CZ55" s="59">
        <f t="shared" si="42"/>
        <v>144.12010599544237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20.814150515888191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20.814150515888191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>
        <f>AI56*VLOOKUP('Données projet'!$B$10,Paramètres!$A$1:$I$89,3,0)*VLOOKUP('Données projet'!$B$10,Paramètres!$A$1:$I$89,5,0)</f>
        <v>0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148.39628895278571</v>
      </c>
      <c r="AO56" s="59">
        <f t="shared" si="36"/>
        <v>361.07991692964788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72.133854551740043</v>
      </c>
      <c r="AW56" s="21">
        <f>EXP(-LN(2)/2)*AW55+(1-EXP(-LN(2)/2))/(LN(2)/2)*AQ56*AT56*VLOOKUP('Données projet'!$B$10,Paramètres!$A$1:$I$89,3,0)*0.475*44/12</f>
        <v>1.5523896162185947E-5</v>
      </c>
      <c r="AX56" s="21">
        <f t="shared" si="6"/>
        <v>72.13387007563621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10.118749999999999</v>
      </c>
      <c r="BD56" s="12">
        <f>IF('Données projet'!$A$88&gt;35,BD55+BC56-BL55,IF(A56&lt;'Données projet'!$A$88,$BA$205^A56,IF(A56='Données projet'!$A$88,'Données projet'!$B$88,BD55+BC56-BL55)))</f>
        <v>203.10624999999999</v>
      </c>
      <c r="BE56" s="13">
        <f>BD56*VLOOKUP('Données projet'!$B$11,Paramètres!$A$1:$I$89,3,0)*VLOOKUP('Données projet'!$B$11,Paramètres!$A$1:$I$89,5,0)</f>
        <v>183.770535</v>
      </c>
      <c r="BF56" s="13">
        <f t="shared" si="37"/>
        <v>46.160045915833102</v>
      </c>
      <c r="BG56" s="20">
        <f t="shared" si="7"/>
        <v>400.46242842840928</v>
      </c>
      <c r="BH56" s="59">
        <f t="shared" si="8"/>
        <v>693.7957617617426</v>
      </c>
      <c r="BI56" s="59">
        <f ca="1">AVERAGE(OFFSET($BH$3,0,0,'Données projet'!$E$11+1,1))-AVERAGE(OFFSET($H$3,0,0,'Données projet'!$E$11+1,1))</f>
        <v>465.85201723964195</v>
      </c>
      <c r="BJ56" s="59">
        <f t="shared" si="38"/>
        <v>110.67325286443491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29.366828321521499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29.366828321521499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5.2</v>
      </c>
      <c r="BY56" s="12">
        <f>IF('Données projet'!$A$114&gt;35,BY55+BX56-CG55,IF(A56&lt;'Données projet'!$A$114,$BV$205^A56,IF(A56='Données projet'!$A$114,'Données projet'!$B$114,BY55+BX56-CG55)))</f>
        <v>170.6</v>
      </c>
      <c r="BZ56" s="13">
        <f>BY56*VLOOKUP('Données projet'!$B$12,Paramètres!$A$1:$I$89,3,0)*VLOOKUP('Données projet'!$B$12,Paramètres!$A$1:$I$89,5,0)</f>
        <v>149.03616</v>
      </c>
      <c r="CA56" s="13">
        <f t="shared" si="39"/>
        <v>38.35946741279561</v>
      </c>
      <c r="CB56" s="20">
        <f t="shared" si="10"/>
        <v>326.38071774395229</v>
      </c>
      <c r="CC56" s="59">
        <f t="shared" si="11"/>
        <v>619.7140510772856</v>
      </c>
      <c r="CD56" s="59">
        <f ca="1">AVERAGE(OFFSET($CC$3,0,0,'Données projet'!$E$12+1,1))-AVERAGE(OFFSET($H$3,0,0,'Données projet'!$E$12+1,1))</f>
        <v>201.70120933876507</v>
      </c>
      <c r="CE56" s="59">
        <f t="shared" si="40"/>
        <v>188.1234063307752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26.012768570779826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26.012768570779826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4.8</v>
      </c>
      <c r="CT56" s="12">
        <f>IF('Données projet'!$A$140&gt;35,CT55+CS56-DB55,IF(A56&lt;'Données projet'!$A$140,$CQ$205^A56,IF(A56='Données projet'!$A$140,'Données projet'!$B$140,CT55+CS56-DB55)))</f>
        <v>175.39999999999998</v>
      </c>
      <c r="CU56" s="17">
        <f>CT56*VLOOKUP('Données projet'!$B$13,Paramètres!$A$1:$I$89,3,0)*VLOOKUP('Données projet'!$B$13,Paramètres!$A$1:$I$89,5,0)</f>
        <v>128.60327999999998</v>
      </c>
      <c r="CV56" s="13">
        <f t="shared" si="41"/>
        <v>33.673415727367775</v>
      </c>
      <c r="CW56" s="20">
        <f t="shared" si="13"/>
        <v>282.63191172516548</v>
      </c>
      <c r="CX56" s="59">
        <f t="shared" si="14"/>
        <v>575.96524505849879</v>
      </c>
      <c r="CY56" s="59">
        <f ca="1">AVERAGE(OFFSET($CX$3,0,0,'Données projet'!$E$13+1,1))-AVERAGE(OFFSET($H$3,0,0,'Données projet'!$E$13+1,1))</f>
        <v>141.13780344922503</v>
      </c>
      <c r="CZ56" s="59">
        <f t="shared" si="42"/>
        <v>144.12010599544237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20.405997719649875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20.405997719649875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>
        <f>AI57*VLOOKUP('Données projet'!$B$10,Paramètres!$A$1:$I$89,3,0)*VLOOKUP('Données projet'!$B$10,Paramètres!$A$1:$I$89,5,0)</f>
        <v>0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148.39628895278571</v>
      </c>
      <c r="AO57" s="59">
        <f t="shared" si="36"/>
        <v>361.07991692964788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70.161350505668167</v>
      </c>
      <c r="AW57" s="21">
        <f>EXP(-LN(2)/2)*AW56+(1-EXP(-LN(2)/2))/(LN(2)/2)*AQ57*AT57*VLOOKUP('Données projet'!$B$10,Paramètres!$A$1:$I$89,3,0)*0.475*44/12</f>
        <v>1.0977052246717503E-5</v>
      </c>
      <c r="AX57" s="21">
        <f t="shared" si="6"/>
        <v>70.161361482720409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10.118749999999999</v>
      </c>
      <c r="BD57" s="12">
        <f>IF('Données projet'!$A$88&gt;35,BD56+BC57-BL56,IF(A57&lt;'Données projet'!$A$88,$BA$205^A57,IF(A57='Données projet'!$A$88,'Données projet'!$B$88,BD56+BC57-BL56)))</f>
        <v>213.22499999999999</v>
      </c>
      <c r="BE57" s="13">
        <f>BD57*VLOOKUP('Données projet'!$B$11,Paramètres!$A$1:$I$89,3,0)*VLOOKUP('Données projet'!$B$11,Paramètres!$A$1:$I$89,5,0)</f>
        <v>192.92597999999998</v>
      </c>
      <c r="BF57" s="13">
        <f t="shared" si="37"/>
        <v>48.186268988440077</v>
      </c>
      <c r="BG57" s="20">
        <f t="shared" si="7"/>
        <v>419.93716698819981</v>
      </c>
      <c r="BH57" s="59">
        <f t="shared" si="8"/>
        <v>713.27050032153306</v>
      </c>
      <c r="BI57" s="59">
        <f ca="1">AVERAGE(OFFSET($BH$3,0,0,'Données projet'!$E$11+1,1))-AVERAGE(OFFSET($H$3,0,0,'Données projet'!$E$11+1,1))</f>
        <v>465.85201723964195</v>
      </c>
      <c r="BJ57" s="59">
        <f t="shared" si="38"/>
        <v>110.67325286443491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28.790962730133074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28.790962730133074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5.2</v>
      </c>
      <c r="BY57" s="12">
        <f>IF('Données projet'!$A$114&gt;35,BY56+BX57-CG56,IF(A57&lt;'Données projet'!$A$114,$BV$205^A57,IF(A57='Données projet'!$A$114,'Données projet'!$B$114,BY56+BX57-CG56)))</f>
        <v>175.79999999999998</v>
      </c>
      <c r="BZ57" s="13">
        <f>BY57*VLOOKUP('Données projet'!$B$12,Paramètres!$A$1:$I$89,3,0)*VLOOKUP('Données projet'!$B$12,Paramètres!$A$1:$I$89,5,0)</f>
        <v>153.57888</v>
      </c>
      <c r="CA57" s="13">
        <f t="shared" si="39"/>
        <v>39.390779474606148</v>
      </c>
      <c r="CB57" s="20">
        <f t="shared" si="10"/>
        <v>336.08882358493901</v>
      </c>
      <c r="CC57" s="59">
        <f t="shared" si="11"/>
        <v>629.42215691827232</v>
      </c>
      <c r="CD57" s="59">
        <f ca="1">AVERAGE(OFFSET($CC$3,0,0,'Données projet'!$E$12+1,1))-AVERAGE(OFFSET($H$3,0,0,'Données projet'!$E$12+1,1))</f>
        <v>201.70120933876507</v>
      </c>
      <c r="CE57" s="59">
        <f t="shared" si="40"/>
        <v>188.1234063307752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25.502674045329002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25.502674045329002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4.8</v>
      </c>
      <c r="CT57" s="12">
        <f>IF('Données projet'!$A$140&gt;35,CT56+CS57-DB56,IF(A57&lt;'Données projet'!$A$140,$CQ$205^A57,IF(A57='Données projet'!$A$140,'Données projet'!$B$140,CT56+CS57-DB56)))</f>
        <v>180.2</v>
      </c>
      <c r="CU57" s="17">
        <f>CT57*VLOOKUP('Données projet'!$B$13,Paramètres!$A$1:$I$89,3,0)*VLOOKUP('Données projet'!$B$13,Paramètres!$A$1:$I$89,5,0)</f>
        <v>132.12263999999999</v>
      </c>
      <c r="CV57" s="13">
        <f t="shared" si="41"/>
        <v>34.486375824149697</v>
      </c>
      <c r="CW57" s="20">
        <f t="shared" si="13"/>
        <v>290.17736922706069</v>
      </c>
      <c r="CX57" s="59">
        <f t="shared" si="14"/>
        <v>583.51070256039407</v>
      </c>
      <c r="CY57" s="59">
        <f ca="1">AVERAGE(OFFSET($CX$3,0,0,'Données projet'!$E$13+1,1))-AVERAGE(OFFSET($H$3,0,0,'Données projet'!$E$13+1,1))</f>
        <v>141.13780344922503</v>
      </c>
      <c r="CZ57" s="59">
        <f t="shared" si="42"/>
        <v>144.12010599544237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20.005848550797168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20.005848550797168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>
        <f>AI58*VLOOKUP('Données projet'!$B$10,Paramètres!$A$1:$I$89,3,0)*VLOOKUP('Données projet'!$B$10,Paramètres!$A$1:$I$89,5,0)</f>
        <v>0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148.39628895278571</v>
      </c>
      <c r="AO58" s="59">
        <f t="shared" si="36"/>
        <v>361.07991692964788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68.242784686465598</v>
      </c>
      <c r="AW58" s="21">
        <f>EXP(-LN(2)/2)*AW57+(1-EXP(-LN(2)/2))/(LN(2)/2)*AQ58*AT58*VLOOKUP('Données projet'!$B$10,Paramètres!$A$1:$I$89,3,0)*0.475*44/12</f>
        <v>7.7619480810929733E-6</v>
      </c>
      <c r="AX58" s="21">
        <f t="shared" si="6"/>
        <v>68.242792448413681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10.118749999999999</v>
      </c>
      <c r="BD58" s="12">
        <f>IF('Données projet'!$A$88&gt;35,BD57+BC58-BL57,IF(A58&lt;'Données projet'!$A$88,$BA$205^A58,IF(A58='Données projet'!$A$88,'Données projet'!$B$88,BD57+BC58-BL57)))</f>
        <v>223.34375</v>
      </c>
      <c r="BE58" s="13">
        <f>BD58*VLOOKUP('Données projet'!$B$11,Paramètres!$A$1:$I$89,3,0)*VLOOKUP('Données projet'!$B$11,Paramètres!$A$1:$I$89,5,0)</f>
        <v>202.08142499999997</v>
      </c>
      <c r="BF58" s="13">
        <f t="shared" si="37"/>
        <v>50.201325943605198</v>
      </c>
      <c r="BG58" s="20">
        <f t="shared" si="7"/>
        <v>439.39245789344562</v>
      </c>
      <c r="BH58" s="59">
        <f t="shared" si="8"/>
        <v>732.72579122677894</v>
      </c>
      <c r="BI58" s="59">
        <f ca="1">AVERAGE(OFFSET($BH$3,0,0,'Données projet'!$E$11+1,1))-AVERAGE(OFFSET($H$3,0,0,'Données projet'!$E$11+1,1))</f>
        <v>465.85201723964195</v>
      </c>
      <c r="BJ58" s="59">
        <f t="shared" si="38"/>
        <v>110.67325286443491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28.226389511748451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28.226389511748451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181</v>
      </c>
      <c r="BW58" s="12">
        <f>VLOOKUP(A58,'Données projet'!$A$113:$I$133,9,0)</f>
        <v>5.2</v>
      </c>
      <c r="BX58" s="12">
        <f t="array" ref="BX58">INDEX(BW:BW,MIN(IF(ISNUMBER(BW58:BW254),ROW(BW58:BW254),"")))</f>
        <v>5.2</v>
      </c>
      <c r="BY58" s="12">
        <f>IF('Données projet'!$A$114&gt;35,BY57+BX58-CG57,IF(A58&lt;'Données projet'!$A$114,$BV$205^A58,IF(A58='Données projet'!$A$114,'Données projet'!$B$114,BY57+BX58-CG57)))</f>
        <v>180.99999999999997</v>
      </c>
      <c r="BZ58" s="13">
        <f>BY58*VLOOKUP('Données projet'!$B$12,Paramètres!$A$1:$I$89,3,0)*VLOOKUP('Données projet'!$B$12,Paramètres!$A$1:$I$89,5,0)</f>
        <v>158.1216</v>
      </c>
      <c r="CA58" s="13">
        <f t="shared" si="39"/>
        <v>40.418546284954211</v>
      </c>
      <c r="CB58" s="20">
        <f t="shared" si="10"/>
        <v>345.79075477962851</v>
      </c>
      <c r="CC58" s="59">
        <f t="shared" si="11"/>
        <v>639.12408811296177</v>
      </c>
      <c r="CD58" s="59">
        <f ca="1">AVERAGE(OFFSET($CC$3,0,0,'Données projet'!$E$12+1,1))-AVERAGE(OFFSET($H$3,0,0,'Données projet'!$E$12+1,1))</f>
        <v>201.70120933876507</v>
      </c>
      <c r="CE58" s="59">
        <f t="shared" si="40"/>
        <v>188.1234063307752</v>
      </c>
      <c r="CF58" s="15">
        <f>IF(ISNA(VLOOKUP(A58,'Données projet'!$A$113:$I$133,3,0)),0,VLOOKUP(A58,'Données projet'!$A$113:$I$133,3,0))</f>
        <v>8</v>
      </c>
      <c r="CG58" s="15">
        <f>IF(ISNA(VLOOKUP(A58,'Données projet'!$A$113:$I$133,4,0)),0,VLOOKUP(A58,'Données projet'!$A$113:$I$133,4,0))</f>
        <v>17</v>
      </c>
      <c r="CH58" s="16">
        <f>IF(ISNA(VLOOKUP(A58,'Données projet'!$A$113:$I$133,5,0)),0%,VLOOKUP(A58,'Données projet'!$A$113:$I$133,5,0)*VLOOKUP('Données projet'!$B$12,Paramètres!$A$1:$I$89,7,0))</f>
        <v>0.43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32.062133693618826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32.062133693618826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185</v>
      </c>
      <c r="CR58" s="12">
        <f>VLOOKUP(A58,'Données projet'!$A$139:$I$159,9,0)</f>
        <v>4.8</v>
      </c>
      <c r="CS58" s="12">
        <f t="array" ref="CS58">INDEX(CR:CR,MIN(IF(ISNUMBER(CR58:CR254),ROW(CR58:CR254),"")))</f>
        <v>4.8</v>
      </c>
      <c r="CT58" s="12">
        <f>IF('Données projet'!$A$140&gt;35,CT57+CS58-DB57,IF(A58&lt;'Données projet'!$A$140,$CQ$205^A58,IF(A58='Données projet'!$A$140,'Données projet'!$B$140,CT57+CS58-DB57)))</f>
        <v>185</v>
      </c>
      <c r="CU58" s="17">
        <f>CT58*VLOOKUP('Données projet'!$B$13,Paramètres!$A$1:$I$89,3,0)*VLOOKUP('Données projet'!$B$13,Paramètres!$A$1:$I$89,5,0)</f>
        <v>135.642</v>
      </c>
      <c r="CV58" s="13">
        <f t="shared" si="41"/>
        <v>35.296818882581498</v>
      </c>
      <c r="CW58" s="20">
        <f t="shared" si="13"/>
        <v>297.71844288716278</v>
      </c>
      <c r="CX58" s="59">
        <f t="shared" si="14"/>
        <v>591.05177622049609</v>
      </c>
      <c r="CY58" s="59">
        <f ca="1">AVERAGE(OFFSET($CX$3,0,0,'Données projet'!$E$13+1,1))-AVERAGE(OFFSET($H$3,0,0,'Données projet'!$E$13+1,1))</f>
        <v>141.13780344922503</v>
      </c>
      <c r="CZ58" s="59">
        <f t="shared" si="42"/>
        <v>144.12010599544237</v>
      </c>
      <c r="DA58" s="15">
        <f>IF(ISNA(VLOOKUP(A58,'Données projet'!$A$139:$I$159,3,0)),0,VLOOKUP(A58,'Données projet'!$A$139:$I$159,3,0))</f>
        <v>8</v>
      </c>
      <c r="DB58" s="15">
        <f>IF(ISNA(VLOOKUP(A58,'Données projet'!$A$139:$I$159,4,0)),0,VLOOKUP(A58,'Données projet'!$A$139:$I$159,4,0))</f>
        <v>11</v>
      </c>
      <c r="DC58" s="16">
        <f>IF(ISNA(VLOOKUP(A58,'Données projet'!$A$139:$I$159,5,0)),0%,VLOOKUP(A58,'Données projet'!$A$139:$I$159,5,0)*VLOOKUP('Données projet'!$B$13,Paramètres!$A$1:$I$89,7,0))</f>
        <v>0.43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23.447357136232704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23.447357136232704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>
        <f>AI59*VLOOKUP('Données projet'!$B$10,Paramètres!$A$1:$I$89,3,0)*VLOOKUP('Données projet'!$B$10,Paramètres!$A$1:$I$89,5,0)</f>
        <v>0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148.39628895278571</v>
      </c>
      <c r="AO59" s="59">
        <f t="shared" si="36"/>
        <v>361.07991692964788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66.376682150482125</v>
      </c>
      <c r="AW59" s="21">
        <f>EXP(-LN(2)/2)*AW58+(1-EXP(-LN(2)/2))/(LN(2)/2)*AQ59*AT59*VLOOKUP('Données projet'!$B$10,Paramètres!$A$1:$I$89,3,0)*0.475*44/12</f>
        <v>5.4885261233587515E-6</v>
      </c>
      <c r="AX59" s="21">
        <f t="shared" si="6"/>
        <v>66.376687639008253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10.118749999999999</v>
      </c>
      <c r="BD59" s="12">
        <f>IF('Données projet'!$A$88&gt;35,BD58+BC59-BL58,IF(A59&lt;'Données projet'!$A$88,$BA$205^A59,IF(A59='Données projet'!$A$88,'Données projet'!$B$88,BD58+BC59-BL58)))</f>
        <v>233.46250000000001</v>
      </c>
      <c r="BE59" s="13">
        <f>BD59*VLOOKUP('Données projet'!$B$11,Paramètres!$A$1:$I$89,3,0)*VLOOKUP('Données projet'!$B$11,Paramètres!$A$1:$I$89,5,0)</f>
        <v>211.23686999999998</v>
      </c>
      <c r="BF59" s="13">
        <f t="shared" si="37"/>
        <v>52.205780463272028</v>
      </c>
      <c r="BG59" s="20">
        <f t="shared" si="7"/>
        <v>458.82928289019873</v>
      </c>
      <c r="BH59" s="59">
        <f t="shared" si="8"/>
        <v>752.16261622353204</v>
      </c>
      <c r="BI59" s="59">
        <f ca="1">AVERAGE(OFFSET($BH$3,0,0,'Données projet'!$E$11+1,1))-AVERAGE(OFFSET($H$3,0,0,'Données projet'!$E$11+1,1))</f>
        <v>465.85201723964195</v>
      </c>
      <c r="BJ59" s="59">
        <f t="shared" si="38"/>
        <v>110.67325286443491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27.672887229820688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27.672887229820688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</v>
      </c>
      <c r="BY59" s="12">
        <f>IF('Données projet'!$A$114&gt;35,BY58+BX59-CG58,IF(A59&lt;'Données projet'!$A$114,$BV$205^A59,IF(A59='Données projet'!$A$114,'Données projet'!$B$114,BY58+BX59-CG58)))</f>
        <v>168.99999999999997</v>
      </c>
      <c r="BZ59" s="13">
        <f>BY59*VLOOKUP('Données projet'!$B$12,Paramètres!$A$1:$I$89,3,0)*VLOOKUP('Données projet'!$B$12,Paramètres!$A$1:$I$89,5,0)</f>
        <v>147.63839999999999</v>
      </c>
      <c r="CA59" s="13">
        <f t="shared" si="39"/>
        <v>38.041408878951295</v>
      </c>
      <c r="CB59" s="20">
        <f t="shared" si="10"/>
        <v>323.39233379750681</v>
      </c>
      <c r="CC59" s="59">
        <f t="shared" si="11"/>
        <v>616.72566713084007</v>
      </c>
      <c r="CD59" s="59">
        <f ca="1">AVERAGE(OFFSET($CC$3,0,0,'Données projet'!$E$12+1,1))-AVERAGE(OFFSET($H$3,0,0,'Données projet'!$E$12+1,1))</f>
        <v>201.70120933876507</v>
      </c>
      <c r="CE59" s="59">
        <f t="shared" si="40"/>
        <v>188.1234063307752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31.43341480785752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31.43341480785752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4</v>
      </c>
      <c r="CT59" s="12">
        <f>IF('Données projet'!$A$140&gt;35,CT58+CS59-DB58,IF(A59&lt;'Données projet'!$A$140,$CQ$205^A59,IF(A59='Données projet'!$A$140,'Données projet'!$B$140,CT58+CS59-DB58)))</f>
        <v>178</v>
      </c>
      <c r="CU59" s="17">
        <f>CT59*VLOOKUP('Données projet'!$B$13,Paramètres!$A$1:$I$89,3,0)*VLOOKUP('Données projet'!$B$13,Paramètres!$A$1:$I$89,5,0)</f>
        <v>130.50960000000001</v>
      </c>
      <c r="CV59" s="13">
        <f t="shared" si="41"/>
        <v>34.11408610445698</v>
      </c>
      <c r="CW59" s="20">
        <f t="shared" si="13"/>
        <v>286.71958663192925</v>
      </c>
      <c r="CX59" s="59">
        <f t="shared" si="14"/>
        <v>580.05291996526262</v>
      </c>
      <c r="CY59" s="59">
        <f ca="1">AVERAGE(OFFSET($CX$3,0,0,'Données projet'!$E$13+1,1))-AVERAGE(OFFSET($H$3,0,0,'Données projet'!$E$13+1,1))</f>
        <v>141.13780344922503</v>
      </c>
      <c r="CZ59" s="59">
        <f t="shared" si="42"/>
        <v>144.12010599544237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22.987568764266879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22.987568764266879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>
        <f>AI60*VLOOKUP('Données projet'!$B$10,Paramètres!$A$1:$I$89,3,0)*VLOOKUP('Données projet'!$B$10,Paramètres!$A$1:$I$89,5,0)</f>
        <v>0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148.39628895278571</v>
      </c>
      <c r="AO60" s="59">
        <f t="shared" si="36"/>
        <v>361.07991692964788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64.561608286479185</v>
      </c>
      <c r="AW60" s="21">
        <f>EXP(-LN(2)/2)*AW59+(1-EXP(-LN(2)/2))/(LN(2)/2)*AQ60*AT60*VLOOKUP('Données projet'!$B$10,Paramètres!$A$1:$I$89,3,0)*0.475*44/12</f>
        <v>3.8809740405464866E-6</v>
      </c>
      <c r="AX60" s="21">
        <f t="shared" si="6"/>
        <v>64.56161216745322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10.118749999999999</v>
      </c>
      <c r="BD60" s="12">
        <f>IF('Données projet'!$A$88&gt;35,BD59+BC60-BL59,IF(A60&lt;'Données projet'!$A$88,$BA$205^A60,IF(A60='Données projet'!$A$88,'Données projet'!$B$88,BD59+BC60-BL59)))</f>
        <v>243.58125000000001</v>
      </c>
      <c r="BE60" s="13">
        <f>BD60*VLOOKUP('Données projet'!$B$11,Paramètres!$A$1:$I$89,3,0)*VLOOKUP('Données projet'!$B$11,Paramètres!$A$1:$I$89,5,0)</f>
        <v>220.392315</v>
      </c>
      <c r="BF60" s="13">
        <f t="shared" si="37"/>
        <v>54.200144603836982</v>
      </c>
      <c r="BG60" s="20">
        <f t="shared" si="7"/>
        <v>478.24853381001611</v>
      </c>
      <c r="BH60" s="59">
        <f t="shared" si="8"/>
        <v>771.58186714334943</v>
      </c>
      <c r="BI60" s="59">
        <f ca="1">AVERAGE(OFFSET($BH$3,0,0,'Données projet'!$E$11+1,1))-AVERAGE(OFFSET($H$3,0,0,'Données projet'!$E$11+1,1))</f>
        <v>465.85201723964195</v>
      </c>
      <c r="BJ60" s="59">
        <f t="shared" si="38"/>
        <v>110.67325286443491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27.130238790038472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27.130238790038472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</v>
      </c>
      <c r="BY60" s="12">
        <f>IF('Données projet'!$A$114&gt;35,BY59+BX60-CG59,IF(A60&lt;'Données projet'!$A$114,$BV$205^A60,IF(A60='Données projet'!$A$114,'Données projet'!$B$114,BY59+BX60-CG59)))</f>
        <v>173.99999999999997</v>
      </c>
      <c r="BZ60" s="13">
        <f>BY60*VLOOKUP('Données projet'!$B$12,Paramètres!$A$1:$I$89,3,0)*VLOOKUP('Données projet'!$B$12,Paramètres!$A$1:$I$89,5,0)</f>
        <v>152.00640000000001</v>
      </c>
      <c r="CA60" s="13">
        <f t="shared" si="39"/>
        <v>39.03419401656145</v>
      </c>
      <c r="CB60" s="20">
        <f t="shared" si="10"/>
        <v>332.72903457884451</v>
      </c>
      <c r="CC60" s="59">
        <f t="shared" si="11"/>
        <v>626.06236791217782</v>
      </c>
      <c r="CD60" s="59">
        <f ca="1">AVERAGE(OFFSET($CC$3,0,0,'Données projet'!$E$12+1,1))-AVERAGE(OFFSET($H$3,0,0,'Données projet'!$E$12+1,1))</f>
        <v>201.70120933876507</v>
      </c>
      <c r="CE60" s="59">
        <f t="shared" si="40"/>
        <v>188.1234063307752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30.817024715965342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30.817024715965342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4</v>
      </c>
      <c r="CT60" s="12">
        <f>IF('Données projet'!$A$140&gt;35,CT59+CS60-DB59,IF(A60&lt;'Données projet'!$A$140,$CQ$205^A60,IF(A60='Données projet'!$A$140,'Données projet'!$B$140,CT59+CS60-DB59)))</f>
        <v>182</v>
      </c>
      <c r="CU60" s="17">
        <f>CT60*VLOOKUP('Données projet'!$B$13,Paramètres!$A$1:$I$89,3,0)*VLOOKUP('Données projet'!$B$13,Paramètres!$A$1:$I$89,5,0)</f>
        <v>133.44239999999999</v>
      </c>
      <c r="CV60" s="13">
        <f t="shared" si="41"/>
        <v>34.790582936930463</v>
      </c>
      <c r="CW60" s="20">
        <f t="shared" si="13"/>
        <v>293.00577861515382</v>
      </c>
      <c r="CX60" s="59">
        <f t="shared" si="14"/>
        <v>586.33911194848713</v>
      </c>
      <c r="CY60" s="59">
        <f ca="1">AVERAGE(OFFSET($CX$3,0,0,'Données projet'!$E$13+1,1))-AVERAGE(OFFSET($H$3,0,0,'Données projet'!$E$13+1,1))</f>
        <v>141.13780344922503</v>
      </c>
      <c r="CZ60" s="59">
        <f t="shared" si="42"/>
        <v>144.12010599544237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22.536796561832091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22.536796561832091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>
        <f>AI61*VLOOKUP('Données projet'!$B$10,Paramètres!$A$1:$I$89,3,0)*VLOOKUP('Données projet'!$B$10,Paramètres!$A$1:$I$89,5,0)</f>
        <v>0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148.39628895278571</v>
      </c>
      <c r="AO61" s="59">
        <f t="shared" si="36"/>
        <v>361.07991692964788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62.79616771273799</v>
      </c>
      <c r="AW61" s="21">
        <f>EXP(-LN(2)/2)*AW60+(1-EXP(-LN(2)/2))/(LN(2)/2)*AQ61*AT61*VLOOKUP('Données projet'!$B$10,Paramètres!$A$1:$I$89,3,0)*0.475*44/12</f>
        <v>2.7442630616793758E-6</v>
      </c>
      <c r="AX61" s="21">
        <f t="shared" si="6"/>
        <v>62.796170457001054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253.7</v>
      </c>
      <c r="BB61" s="12">
        <f>VLOOKUP(A61,'Données projet'!$A$87:$I$107,9,0)</f>
        <v>10.118749999999999</v>
      </c>
      <c r="BC61" s="12">
        <f t="array" ref="BC61">INDEX(BB:BB,MIN(IF(ISNUMBER(BB61:BB257),ROW(BB61:BB257),"")))</f>
        <v>10.118749999999999</v>
      </c>
      <c r="BD61" s="12">
        <f>IF('Données projet'!$A$88&gt;35,BD60+BC61-BL60,IF(A61&lt;'Données projet'!$A$88,$BA$205^A61,IF(A61='Données projet'!$A$88,'Données projet'!$B$88,BD60+BC61-BL60)))</f>
        <v>253.70000000000002</v>
      </c>
      <c r="BE61" s="13">
        <f>BD61*VLOOKUP('Données projet'!$B$11,Paramètres!$A$1:$I$89,3,0)*VLOOKUP('Données projet'!$B$11,Paramètres!$A$1:$I$89,5,0)</f>
        <v>229.54775999999998</v>
      </c>
      <c r="BF61" s="13">
        <f t="shared" si="37"/>
        <v>56.184885471425709</v>
      </c>
      <c r="BG61" s="20">
        <f t="shared" si="7"/>
        <v>497.65102419606643</v>
      </c>
      <c r="BH61" s="59">
        <f t="shared" si="8"/>
        <v>790.98435752939974</v>
      </c>
      <c r="BI61" s="59">
        <f ca="1">AVERAGE(OFFSET($BH$3,0,0,'Données projet'!$E$11+1,1))-AVERAGE(OFFSET($H$3,0,0,'Données projet'!$E$11+1,1))</f>
        <v>465.85201723964195</v>
      </c>
      <c r="BJ61" s="59">
        <f t="shared" si="38"/>
        <v>110.67325286443491</v>
      </c>
      <c r="BK61" s="15">
        <f>IF(ISNA(VLOOKUP(A61,'Données projet'!$A$87:$I$107,3,0)),0,VLOOKUP(A61,'Données projet'!$A$87:$I$107,3,0))</f>
        <v>3</v>
      </c>
      <c r="BL61" s="15">
        <f>IF(ISNA(VLOOKUP(A61,'Données projet'!$A$87:$I$107,4,0)),0,VLOOKUP(A61,'Données projet'!$A$87:$I$107,4,0))</f>
        <v>44.93</v>
      </c>
      <c r="BM61" s="16">
        <f>IF(ISNA(VLOOKUP(A61,'Données projet'!$A$87:$I$107,5,0)),0%,VLOOKUP(A61,'Données projet'!$A$87:$I$107,5,0)*VLOOKUP('Données projet'!$B$11,Paramètres!$A$1:$I$89,7,0))</f>
        <v>0.43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45.922567192652878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45.922567192652878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</v>
      </c>
      <c r="BY61" s="12">
        <f>IF('Données projet'!$A$114&gt;35,BY60+BX61-CG60,IF(A61&lt;'Données projet'!$A$114,$BV$205^A61,IF(A61='Données projet'!$A$114,'Données projet'!$B$114,BY60+BX61-CG60)))</f>
        <v>178.99999999999997</v>
      </c>
      <c r="BZ61" s="13">
        <f>BY61*VLOOKUP('Données projet'!$B$12,Paramètres!$A$1:$I$89,3,0)*VLOOKUP('Données projet'!$B$12,Paramètres!$A$1:$I$89,5,0)</f>
        <v>156.37440000000001</v>
      </c>
      <c r="CA61" s="13">
        <f t="shared" si="39"/>
        <v>40.023663524293205</v>
      </c>
      <c r="CB61" s="20">
        <f t="shared" si="10"/>
        <v>342.05996063814399</v>
      </c>
      <c r="CC61" s="59">
        <f t="shared" si="11"/>
        <v>635.39329397147731</v>
      </c>
      <c r="CD61" s="59">
        <f ca="1">AVERAGE(OFFSET($CC$3,0,0,'Données projet'!$E$12+1,1))-AVERAGE(OFFSET($H$3,0,0,'Données projet'!$E$12+1,1))</f>
        <v>201.70120933876507</v>
      </c>
      <c r="CE61" s="59">
        <f t="shared" si="40"/>
        <v>188.1234063307752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30.212721657814335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30.212721657814335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4</v>
      </c>
      <c r="CT61" s="12">
        <f>IF('Données projet'!$A$140&gt;35,CT60+CS61-DB60,IF(A61&lt;'Données projet'!$A$140,$CQ$205^A61,IF(A61='Données projet'!$A$140,'Données projet'!$B$140,CT60+CS61-DB60)))</f>
        <v>186</v>
      </c>
      <c r="CU61" s="17">
        <f>CT61*VLOOKUP('Données projet'!$B$13,Paramètres!$A$1:$I$89,3,0)*VLOOKUP('Données projet'!$B$13,Paramètres!$A$1:$I$89,5,0)</f>
        <v>136.37520000000001</v>
      </c>
      <c r="CV61" s="13">
        <f t="shared" si="41"/>
        <v>35.465351191684015</v>
      </c>
      <c r="CW61" s="20">
        <f t="shared" si="13"/>
        <v>299.28895999218298</v>
      </c>
      <c r="CX61" s="59">
        <f t="shared" si="14"/>
        <v>592.62229332551624</v>
      </c>
      <c r="CY61" s="59">
        <f ca="1">AVERAGE(OFFSET($CX$3,0,0,'Données projet'!$E$13+1,1))-AVERAGE(OFFSET($H$3,0,0,'Données projet'!$E$13+1,1))</f>
        <v>141.13780344922503</v>
      </c>
      <c r="CZ61" s="59">
        <f t="shared" si="42"/>
        <v>144.12010599544237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22.094863727343153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22.094863727343153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>
        <f>AI62*VLOOKUP('Données projet'!$B$10,Paramètres!$A$1:$I$89,3,0)*VLOOKUP('Données projet'!$B$10,Paramètres!$A$1:$I$89,5,0)</f>
        <v>0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148.39628895278571</v>
      </c>
      <c r="AO62" s="59">
        <f t="shared" si="36"/>
        <v>361.07991692964788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61.079003204326234</v>
      </c>
      <c r="AW62" s="21">
        <f>EXP(-LN(2)/2)*AW61+(1-EXP(-LN(2)/2))/(LN(2)/2)*AQ62*AT62*VLOOKUP('Données projet'!$B$10,Paramètres!$A$1:$I$89,3,0)*0.475*44/12</f>
        <v>1.9404870202732433E-6</v>
      </c>
      <c r="AX62" s="21">
        <f t="shared" si="6"/>
        <v>61.079005144813252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9.75</v>
      </c>
      <c r="BD62" s="12">
        <f>IF('Données projet'!$A$88&gt;35,BD61+BC62-BL61,IF(A62&lt;'Données projet'!$A$88,$BA$205^A62,IF(A62='Données projet'!$A$88,'Données projet'!$B$88,BD61+BC62-BL61)))</f>
        <v>218.52000000000004</v>
      </c>
      <c r="BE62" s="13">
        <f>BD62*VLOOKUP('Données projet'!$B$11,Paramètres!$A$1:$I$89,3,0)*VLOOKUP('Données projet'!$B$11,Paramètres!$A$1:$I$89,5,0)</f>
        <v>197.71689600000005</v>
      </c>
      <c r="BF62" s="13">
        <f t="shared" si="37"/>
        <v>49.242075785054176</v>
      </c>
      <c r="BG62" s="20">
        <f t="shared" si="7"/>
        <v>430.12020919230275</v>
      </c>
      <c r="BH62" s="59">
        <f t="shared" si="8"/>
        <v>723.45354252563607</v>
      </c>
      <c r="BI62" s="59">
        <f ca="1">AVERAGE(OFFSET($BH$3,0,0,'Données projet'!$E$11+1,1))-AVERAGE(OFFSET($H$3,0,0,'Données projet'!$E$11+1,1))</f>
        <v>465.85201723964195</v>
      </c>
      <c r="BJ62" s="59">
        <f t="shared" si="38"/>
        <v>110.67325286443491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45.022053660005184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45.022053660005184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</v>
      </c>
      <c r="BY62" s="12">
        <f>IF('Données projet'!$A$114&gt;35,BY61+BX62-CG61,IF(A62&lt;'Données projet'!$A$114,$BV$205^A62,IF(A62='Données projet'!$A$114,'Données projet'!$B$114,BY61+BX62-CG61)))</f>
        <v>183.99999999999997</v>
      </c>
      <c r="BZ62" s="13">
        <f>BY62*VLOOKUP('Données projet'!$B$12,Paramètres!$A$1:$I$89,3,0)*VLOOKUP('Données projet'!$B$12,Paramètres!$A$1:$I$89,5,0)</f>
        <v>160.7424</v>
      </c>
      <c r="CA62" s="13">
        <f t="shared" si="39"/>
        <v>41.009920657227809</v>
      </c>
      <c r="CB62" s="20">
        <f t="shared" si="10"/>
        <v>351.38529181133845</v>
      </c>
      <c r="CC62" s="59">
        <f t="shared" si="11"/>
        <v>644.71862514467171</v>
      </c>
      <c r="CD62" s="59">
        <f ca="1">AVERAGE(OFFSET($CC$3,0,0,'Données projet'!$E$12+1,1))-AVERAGE(OFFSET($H$3,0,0,'Données projet'!$E$12+1,1))</f>
        <v>201.70120933876507</v>
      </c>
      <c r="CE62" s="59">
        <f t="shared" si="40"/>
        <v>188.1234063307752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29.620268614045198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29.620268614045198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4</v>
      </c>
      <c r="CT62" s="12">
        <f>IF('Données projet'!$A$140&gt;35,CT61+CS62-DB61,IF(A62&lt;'Données projet'!$A$140,$CQ$205^A62,IF(A62='Données projet'!$A$140,'Données projet'!$B$140,CT61+CS62-DB61)))</f>
        <v>190</v>
      </c>
      <c r="CU62" s="17">
        <f>CT62*VLOOKUP('Données projet'!$B$13,Paramètres!$A$1:$I$89,3,0)*VLOOKUP('Données projet'!$B$13,Paramètres!$A$1:$I$89,5,0)</f>
        <v>139.30799999999999</v>
      </c>
      <c r="CV62" s="13">
        <f t="shared" si="41"/>
        <v>36.138432324006359</v>
      </c>
      <c r="CW62" s="20">
        <f t="shared" si="13"/>
        <v>305.5692029643111</v>
      </c>
      <c r="CX62" s="59">
        <f t="shared" si="14"/>
        <v>598.90253629764447</v>
      </c>
      <c r="CY62" s="59">
        <f ca="1">AVERAGE(OFFSET($CX$3,0,0,'Données projet'!$E$13+1,1))-AVERAGE(OFFSET($H$3,0,0,'Données projet'!$E$13+1,1))</f>
        <v>141.13780344922503</v>
      </c>
      <c r="CZ62" s="59">
        <f t="shared" si="42"/>
        <v>144.12010599544237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21.661596926186132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21.661596926186132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>
        <f>AI63*VLOOKUP('Données projet'!$B$10,Paramètres!$A$1:$I$89,3,0)*VLOOKUP('Données projet'!$B$10,Paramètres!$A$1:$I$89,5,0)</f>
        <v>0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148.39628895278571</v>
      </c>
      <c r="AO63" s="59">
        <f t="shared" si="36"/>
        <v>361.07991692964788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59.408794649698756</v>
      </c>
      <c r="AW63" s="21">
        <f>EXP(-LN(2)/2)*AW62+(1-EXP(-LN(2)/2))/(LN(2)/2)*AQ63*AT63*VLOOKUP('Données projet'!$B$10,Paramètres!$A$1:$I$89,3,0)*0.475*44/12</f>
        <v>1.3721315308396879E-6</v>
      </c>
      <c r="AX63" s="21">
        <f t="shared" si="6"/>
        <v>59.408796021830284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9.75</v>
      </c>
      <c r="BD63" s="12">
        <f>IF('Données projet'!$A$88&gt;35,BD62+BC63-BL62,IF(A63&lt;'Données projet'!$A$88,$BA$205^A63,IF(A63='Données projet'!$A$88,'Données projet'!$B$88,BD62+BC63-BL62)))</f>
        <v>228.27000000000004</v>
      </c>
      <c r="BE63" s="13">
        <f>BD63*VLOOKUP('Données projet'!$B$11,Paramètres!$A$1:$I$89,3,0)*VLOOKUP('Données projet'!$B$11,Paramètres!$A$1:$I$89,5,0)</f>
        <v>206.53869600000002</v>
      </c>
      <c r="BF63" s="13">
        <f t="shared" si="37"/>
        <v>51.178473620632914</v>
      </c>
      <c r="BG63" s="20">
        <f t="shared" si="7"/>
        <v>448.85740375593576</v>
      </c>
      <c r="BH63" s="59">
        <f t="shared" si="8"/>
        <v>742.19073708926908</v>
      </c>
      <c r="BI63" s="59">
        <f ca="1">AVERAGE(OFFSET($BH$3,0,0,'Données projet'!$E$11+1,1))-AVERAGE(OFFSET($H$3,0,0,'Données projet'!$E$11+1,1))</f>
        <v>465.85201723964195</v>
      </c>
      <c r="BJ63" s="59">
        <f t="shared" si="38"/>
        <v>110.67325286443491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44.139198648473695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44.139198648473695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189</v>
      </c>
      <c r="BW63" s="12">
        <f>VLOOKUP(A63,'Données projet'!$A$113:$I$133,9,0)</f>
        <v>5</v>
      </c>
      <c r="BX63" s="12">
        <f t="array" ref="BX63">INDEX(BW:BW,MIN(IF(ISNUMBER(BW63:BW259),ROW(BW63:BW259),"")))</f>
        <v>5</v>
      </c>
      <c r="BY63" s="12">
        <f>IF('Données projet'!$A$114&gt;35,BY62+BX63-CG62,IF(A63&lt;'Données projet'!$A$114,$BV$205^A63,IF(A63='Données projet'!$A$114,'Données projet'!$B$114,BY62+BX63-CG62)))</f>
        <v>188.99999999999997</v>
      </c>
      <c r="BZ63" s="13">
        <f>BY63*VLOOKUP('Données projet'!$B$12,Paramètres!$A$1:$I$89,3,0)*VLOOKUP('Données projet'!$B$12,Paramètres!$A$1:$I$89,5,0)</f>
        <v>165.1104</v>
      </c>
      <c r="CA63" s="13">
        <f t="shared" si="39"/>
        <v>41.993062739333446</v>
      </c>
      <c r="CB63" s="20">
        <f t="shared" si="10"/>
        <v>360.70519760433905</v>
      </c>
      <c r="CC63" s="59">
        <f t="shared" si="11"/>
        <v>654.03853093767236</v>
      </c>
      <c r="CD63" s="59">
        <f ca="1">AVERAGE(OFFSET($CC$3,0,0,'Données projet'!$E$12+1,1))-AVERAGE(OFFSET($H$3,0,0,'Données projet'!$E$12+1,1))</f>
        <v>201.70120933876507</v>
      </c>
      <c r="CE63" s="59">
        <f t="shared" si="40"/>
        <v>188.1234063307752</v>
      </c>
      <c r="CF63" s="15">
        <f>IF(ISNA(VLOOKUP(A63,'Données projet'!$A$113:$I$133,3,0)),0,VLOOKUP(A63,'Données projet'!$A$113:$I$133,3,0))</f>
        <v>9</v>
      </c>
      <c r="CG63" s="15">
        <f>IF(ISNA(VLOOKUP(A63,'Données projet'!$A$113:$I$133,4,0)),0,VLOOKUP(A63,'Données projet'!$A$113:$I$133,4,0))</f>
        <v>16</v>
      </c>
      <c r="CH63" s="16">
        <f>IF(ISNA(VLOOKUP(A63,'Données projet'!$A$113:$I$133,5,0)),0%,VLOOKUP(A63,'Données projet'!$A$113:$I$133,5,0)*VLOOKUP('Données projet'!$B$12,Paramètres!$A$1:$I$89,7,0))</f>
        <v>0.43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35.6837170071964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35.6837170071964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194</v>
      </c>
      <c r="CR63" s="12">
        <f>VLOOKUP(A63,'Données projet'!$A$139:$I$159,9,0)</f>
        <v>4</v>
      </c>
      <c r="CS63" s="12">
        <f t="array" ref="CS63">INDEX(CR:CR,MIN(IF(ISNUMBER(CR63:CR259),ROW(CR63:CR259),"")))</f>
        <v>4</v>
      </c>
      <c r="CT63" s="12">
        <f>IF('Données projet'!$A$140&gt;35,CT62+CS63-DB62,IF(A63&lt;'Données projet'!$A$140,$CQ$205^A63,IF(A63='Données projet'!$A$140,'Données projet'!$B$140,CT62+CS63-DB62)))</f>
        <v>194</v>
      </c>
      <c r="CU63" s="17">
        <f>CT63*VLOOKUP('Données projet'!$B$13,Paramètres!$A$1:$I$89,3,0)*VLOOKUP('Données projet'!$B$13,Paramètres!$A$1:$I$89,5,0)</f>
        <v>142.24080000000001</v>
      </c>
      <c r="CV63" s="13">
        <f t="shared" si="41"/>
        <v>36.809865943965384</v>
      </c>
      <c r="CW63" s="20">
        <f t="shared" si="13"/>
        <v>311.84657651907304</v>
      </c>
      <c r="CX63" s="59">
        <f t="shared" si="14"/>
        <v>605.17990985240635</v>
      </c>
      <c r="CY63" s="59">
        <f ca="1">AVERAGE(OFFSET($CX$3,0,0,'Données projet'!$E$13+1,1))-AVERAGE(OFFSET($H$3,0,0,'Données projet'!$E$13+1,1))</f>
        <v>141.13780344922503</v>
      </c>
      <c r="CZ63" s="59">
        <f t="shared" si="42"/>
        <v>144.12010599544237</v>
      </c>
      <c r="DA63" s="15">
        <f>IF(ISNA(VLOOKUP(A63,'Données projet'!$A$139:$I$159,3,0)),0,VLOOKUP(A63,'Données projet'!$A$139:$I$159,3,0))</f>
        <v>9</v>
      </c>
      <c r="DB63" s="15">
        <f>IF(ISNA(VLOOKUP(A63,'Données projet'!$A$139:$I$159,4,0)),0,VLOOKUP(A63,'Données projet'!$A$139:$I$159,4,0))</f>
        <v>9</v>
      </c>
      <c r="DC63" s="16">
        <f>IF(ISNA(VLOOKUP(A63,'Données projet'!$A$139:$I$159,5,0)),0%,VLOOKUP(A63,'Données projet'!$A$139:$I$159,5,0)*VLOOKUP('Données projet'!$B$13,Paramètres!$A$1:$I$89,7,0))</f>
        <v>0.43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24.373580737131817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24.373580737131817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148.39628895278571</v>
      </c>
      <c r="AO64" s="59">
        <f t="shared" si="36"/>
        <v>361.07991692964788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57.784258035830014</v>
      </c>
      <c r="AW64" s="21">
        <f>EXP(-LN(2)/2)*AW63+(1-EXP(-LN(2)/2))/(LN(2)/2)*AQ64*AT64*VLOOKUP('Données projet'!$B$10,Paramètres!$A$1:$I$89,3,0)*0.475*44/12</f>
        <v>9.7024351013662166E-7</v>
      </c>
      <c r="AX64" s="21">
        <f t="shared" si="6"/>
        <v>57.784259006073526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9.75</v>
      </c>
      <c r="BD64" s="12">
        <f>IF('Données projet'!$A$88&gt;35,BD63+BC64-BL63,IF(A64&lt;'Données projet'!$A$88,$BA$205^A64,IF(A64='Données projet'!$A$88,'Données projet'!$B$88,BD63+BC64-BL63)))</f>
        <v>238.02000000000004</v>
      </c>
      <c r="BE64" s="13">
        <f>BD64*VLOOKUP('Données projet'!$B$11,Paramètres!$A$1:$I$89,3,0)*VLOOKUP('Données projet'!$B$11,Paramètres!$A$1:$I$89,5,0)</f>
        <v>215.36049600000001</v>
      </c>
      <c r="BF64" s="13">
        <f t="shared" si="37"/>
        <v>53.105264989839284</v>
      </c>
      <c r="BG64" s="20">
        <f t="shared" si="7"/>
        <v>467.57786705730337</v>
      </c>
      <c r="BH64" s="59">
        <f t="shared" si="8"/>
        <v>760.91120039063662</v>
      </c>
      <c r="BI64" s="59">
        <f ca="1">AVERAGE(OFFSET($BH$3,0,0,'Données projet'!$E$11+1,1))-AVERAGE(OFFSET($H$3,0,0,'Données projet'!$E$11+1,1))</f>
        <v>465.85201723964195</v>
      </c>
      <c r="BJ64" s="59">
        <f t="shared" si="38"/>
        <v>110.67325286443491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43.27365588522995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43.27365588522995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4.4000000000000004</v>
      </c>
      <c r="BY64" s="12">
        <f>IF('Données projet'!$A$114&gt;35,BY63+BX64-CG63,IF(A64&lt;'Données projet'!$A$114,$BV$205^A64,IF(A64='Données projet'!$A$114,'Données projet'!$B$114,BY63+BX64-CG63)))</f>
        <v>177.39999999999998</v>
      </c>
      <c r="BZ64" s="13">
        <f>BY64*VLOOKUP('Données projet'!$B$12,Paramètres!$A$1:$I$89,3,0)*VLOOKUP('Données projet'!$B$12,Paramètres!$A$1:$I$89,5,0)</f>
        <v>154.97664</v>
      </c>
      <c r="CA64" s="13">
        <f t="shared" si="39"/>
        <v>39.707387607123913</v>
      </c>
      <c r="CB64" s="20">
        <f t="shared" si="10"/>
        <v>339.07468141574077</v>
      </c>
      <c r="CC64" s="59">
        <f t="shared" si="11"/>
        <v>632.40801474907403</v>
      </c>
      <c r="CD64" s="59">
        <f ca="1">AVERAGE(OFFSET($CC$3,0,0,'Données projet'!$E$12+1,1))-AVERAGE(OFFSET($H$3,0,0,'Données projet'!$E$12+1,1))</f>
        <v>201.70120933876507</v>
      </c>
      <c r="CE64" s="59">
        <f t="shared" si="40"/>
        <v>188.1234063307752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34.983981081603545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34.983981081603545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3.4</v>
      </c>
      <c r="CT64" s="12">
        <f>IF('Données projet'!$A$140&gt;35,CT63+CS64-DB63,IF(A64&lt;'Données projet'!$A$140,$CQ$205^A64,IF(A64='Données projet'!$A$140,'Données projet'!$B$140,CT63+CS64-DB63)))</f>
        <v>188.4</v>
      </c>
      <c r="CU64" s="17">
        <f>CT64*VLOOKUP('Données projet'!$B$13,Paramètres!$A$1:$I$89,3,0)*VLOOKUP('Données projet'!$B$13,Paramètres!$A$1:$I$89,5,0)</f>
        <v>138.13488000000001</v>
      </c>
      <c r="CV64" s="13">
        <f t="shared" si="41"/>
        <v>35.869399750819937</v>
      </c>
      <c r="CW64" s="20">
        <f t="shared" si="13"/>
        <v>303.05745389934469</v>
      </c>
      <c r="CX64" s="59">
        <f t="shared" si="14"/>
        <v>596.39078723267801</v>
      </c>
      <c r="CY64" s="59">
        <f ca="1">AVERAGE(OFFSET($CX$3,0,0,'Données projet'!$E$13+1,1))-AVERAGE(OFFSET($H$3,0,0,'Données projet'!$E$13+1,1))</f>
        <v>141.13780344922503</v>
      </c>
      <c r="CZ64" s="59">
        <f t="shared" si="42"/>
        <v>144.12010599544237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23.895629685292974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23.895629685292974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148.39628895278571</v>
      </c>
      <c r="AO65" s="59">
        <f t="shared" si="36"/>
        <v>361.07991692964788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56.204144461098181</v>
      </c>
      <c r="AW65" s="21">
        <f>EXP(-LN(2)/2)*AW64+(1-EXP(-LN(2)/2))/(LN(2)/2)*AQ65*AT65*VLOOKUP('Données projet'!$B$10,Paramètres!$A$1:$I$89,3,0)*0.475*44/12</f>
        <v>6.8606576541984394E-7</v>
      </c>
      <c r="AX65" s="21">
        <f t="shared" si="6"/>
        <v>56.204145147163949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9.75</v>
      </c>
      <c r="BD65" s="12">
        <f>IF('Données projet'!$A$88&gt;35,BD64+BC65-BL64,IF(A65&lt;'Données projet'!$A$88,$BA$205^A65,IF(A65='Données projet'!$A$88,'Données projet'!$B$88,BD64+BC65-BL64)))</f>
        <v>247.77000000000004</v>
      </c>
      <c r="BE65" s="13">
        <f>BD65*VLOOKUP('Données projet'!$B$11,Paramètres!$A$1:$I$89,3,0)*VLOOKUP('Données projet'!$B$11,Paramètres!$A$1:$I$89,5,0)</f>
        <v>224.18229600000001</v>
      </c>
      <c r="BF65" s="13">
        <f t="shared" si="37"/>
        <v>55.022888410638771</v>
      </c>
      <c r="BG65" s="20">
        <f t="shared" si="7"/>
        <v>486.28236284852915</v>
      </c>
      <c r="BH65" s="59">
        <f t="shared" si="8"/>
        <v>779.6156961818624</v>
      </c>
      <c r="BI65" s="59">
        <f ca="1">AVERAGE(OFFSET($BH$3,0,0,'Données projet'!$E$11+1,1))-AVERAGE(OFFSET($H$3,0,0,'Données projet'!$E$11+1,1))</f>
        <v>465.85201723964195</v>
      </c>
      <c r="BJ65" s="59">
        <f t="shared" si="38"/>
        <v>110.67325286443491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42.425085887644457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42.425085887644457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4.4000000000000004</v>
      </c>
      <c r="BY65" s="12">
        <f>IF('Données projet'!$A$114&gt;35,BY64+BX65-CG64,IF(A65&lt;'Données projet'!$A$114,$BV$205^A65,IF(A65='Données projet'!$A$114,'Données projet'!$B$114,BY64+BX65-CG64)))</f>
        <v>181.79999999999998</v>
      </c>
      <c r="BZ65" s="13">
        <f>BY65*VLOOKUP('Données projet'!$B$12,Paramètres!$A$1:$I$89,3,0)*VLOOKUP('Données projet'!$B$12,Paramètres!$A$1:$I$89,5,0)</f>
        <v>158.82048</v>
      </c>
      <c r="CA65" s="13">
        <f t="shared" si="39"/>
        <v>40.57635691759311</v>
      </c>
      <c r="CB65" s="20">
        <f t="shared" si="10"/>
        <v>347.28282429814129</v>
      </c>
      <c r="CC65" s="59">
        <f t="shared" si="11"/>
        <v>640.61615763147461</v>
      </c>
      <c r="CD65" s="59">
        <f ca="1">AVERAGE(OFFSET($CC$3,0,0,'Données projet'!$E$12+1,1))-AVERAGE(OFFSET($H$3,0,0,'Données projet'!$E$12+1,1))</f>
        <v>201.70120933876507</v>
      </c>
      <c r="CE65" s="59">
        <f t="shared" si="40"/>
        <v>188.1234063307752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34.297966550714797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34.297966550714797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3.4</v>
      </c>
      <c r="CT65" s="12">
        <f>IF('Données projet'!$A$140&gt;35,CT64+CS65-DB64,IF(A65&lt;'Données projet'!$A$140,$CQ$205^A65,IF(A65='Données projet'!$A$140,'Données projet'!$B$140,CT64+CS65-DB64)))</f>
        <v>191.8</v>
      </c>
      <c r="CU65" s="17">
        <f>CT65*VLOOKUP('Données projet'!$B$13,Paramètres!$A$1:$I$89,3,0)*VLOOKUP('Données projet'!$B$13,Paramètres!$A$1:$I$89,5,0)</f>
        <v>140.62775999999999</v>
      </c>
      <c r="CV65" s="13">
        <f t="shared" si="41"/>
        <v>36.440779028004506</v>
      </c>
      <c r="CW65" s="20">
        <f t="shared" si="13"/>
        <v>308.39437214044113</v>
      </c>
      <c r="CX65" s="59">
        <f t="shared" si="14"/>
        <v>601.72770547377445</v>
      </c>
      <c r="CY65" s="59">
        <f ca="1">AVERAGE(OFFSET($CX$3,0,0,'Données projet'!$E$13+1,1))-AVERAGE(OFFSET($H$3,0,0,'Données projet'!$E$13+1,1))</f>
        <v>141.13780344922503</v>
      </c>
      <c r="CZ65" s="59">
        <f t="shared" si="42"/>
        <v>144.12010599544237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23.427050962059337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23.427050962059337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148.39628895278571</v>
      </c>
      <c r="AO66" s="59">
        <f t="shared" si="36"/>
        <v>361.07991692964788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54.667239175161953</v>
      </c>
      <c r="AW66" s="21">
        <f>EXP(-LN(2)/2)*AW65+(1-EXP(-LN(2)/2))/(LN(2)/2)*AQ66*AT66*VLOOKUP('Données projet'!$B$10,Paramètres!$A$1:$I$89,3,0)*0.475*44/12</f>
        <v>4.8512175506831083E-7</v>
      </c>
      <c r="AX66" s="21">
        <f t="shared" si="6"/>
        <v>54.667239660283705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9.75</v>
      </c>
      <c r="BD66" s="12">
        <f>IF('Données projet'!$A$88&gt;35,BD65+BC66-BL65,IF(A66&lt;'Données projet'!$A$88,$BA$205^A66,IF(A66='Données projet'!$A$88,'Données projet'!$B$88,BD65+BC66-BL65)))</f>
        <v>257.52000000000004</v>
      </c>
      <c r="BE66" s="13">
        <f>BD66*VLOOKUP('Données projet'!$B$11,Paramètres!$A$1:$I$89,3,0)*VLOOKUP('Données projet'!$B$11,Paramètres!$A$1:$I$89,5,0)</f>
        <v>233.00409600000003</v>
      </c>
      <c r="BF66" s="13">
        <f t="shared" si="37"/>
        <v>56.931745934845914</v>
      </c>
      <c r="BG66" s="20">
        <f t="shared" si="7"/>
        <v>504.9715913698567</v>
      </c>
      <c r="BH66" s="59">
        <f t="shared" si="8"/>
        <v>798.30492470318995</v>
      </c>
      <c r="BI66" s="59">
        <f ca="1">AVERAGE(OFFSET($BH$3,0,0,'Données projet'!$E$11+1,1))-AVERAGE(OFFSET($H$3,0,0,'Données projet'!$E$11+1,1))</f>
        <v>465.85201723964195</v>
      </c>
      <c r="BJ66" s="59">
        <f t="shared" si="38"/>
        <v>110.67325286443491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41.593155830135025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41.593155830135025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4.4000000000000004</v>
      </c>
      <c r="BY66" s="12">
        <f>IF('Données projet'!$A$114&gt;35,BY65+BX66-CG65,IF(A66&lt;'Données projet'!$A$114,$BV$205^A66,IF(A66='Données projet'!$A$114,'Données projet'!$B$114,BY65+BX66-CG65)))</f>
        <v>186.2</v>
      </c>
      <c r="BZ66" s="13">
        <f>BY66*VLOOKUP('Données projet'!$B$12,Paramètres!$A$1:$I$89,3,0)*VLOOKUP('Données projet'!$B$12,Paramètres!$A$1:$I$89,5,0)</f>
        <v>162.66432</v>
      </c>
      <c r="CA66" s="13">
        <f t="shared" si="39"/>
        <v>41.442881393745317</v>
      </c>
      <c r="CB66" s="20">
        <f t="shared" si="10"/>
        <v>355.4867090941064</v>
      </c>
      <c r="CC66" s="59">
        <f t="shared" si="11"/>
        <v>648.82004242743972</v>
      </c>
      <c r="CD66" s="59">
        <f ca="1">AVERAGE(OFFSET($CC$3,0,0,'Données projet'!$E$12+1,1))-AVERAGE(OFFSET($H$3,0,0,'Données projet'!$E$12+1,1))</f>
        <v>201.70120933876507</v>
      </c>
      <c r="CE66" s="59">
        <f t="shared" si="40"/>
        <v>188.1234063307752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33.625404346349228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33.625404346349228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3.4</v>
      </c>
      <c r="CT66" s="12">
        <f>IF('Données projet'!$A$140&gt;35,CT65+CS66-DB65,IF(A66&lt;'Données projet'!$A$140,$CQ$205^A66,IF(A66='Données projet'!$A$140,'Données projet'!$B$140,CT65+CS66-DB65)))</f>
        <v>195.20000000000002</v>
      </c>
      <c r="CU66" s="17">
        <f>CT66*VLOOKUP('Données projet'!$B$13,Paramètres!$A$1:$I$89,3,0)*VLOOKUP('Données projet'!$B$13,Paramètres!$A$1:$I$89,5,0)</f>
        <v>143.12064000000001</v>
      </c>
      <c r="CV66" s="13">
        <f t="shared" si="41"/>
        <v>37.010980471852143</v>
      </c>
      <c r="CW66" s="20">
        <f t="shared" si="13"/>
        <v>313.72923898847586</v>
      </c>
      <c r="CX66" s="59">
        <f t="shared" si="14"/>
        <v>607.06257232180917</v>
      </c>
      <c r="CY66" s="59">
        <f ca="1">AVERAGE(OFFSET($CX$3,0,0,'Données projet'!$E$13+1,1))-AVERAGE(OFFSET($H$3,0,0,'Données projet'!$E$13+1,1))</f>
        <v>141.13780344922503</v>
      </c>
      <c r="CZ66" s="59">
        <f t="shared" si="42"/>
        <v>144.12010599544237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22.967660781783508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22.967660781783508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148.39628895278571</v>
      </c>
      <c r="AO67" s="59">
        <f t="shared" si="36"/>
        <v>361.07991692964788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53.172360645091985</v>
      </c>
      <c r="AW67" s="21">
        <f>EXP(-LN(2)/2)*AW66+(1-EXP(-LN(2)/2))/(LN(2)/2)*AQ67*AT67*VLOOKUP('Données projet'!$B$10,Paramètres!$A$1:$I$89,3,0)*0.475*44/12</f>
        <v>3.4303288270992197E-7</v>
      </c>
      <c r="AX67" s="21">
        <f t="shared" si="6"/>
        <v>53.172360988124865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9.75</v>
      </c>
      <c r="BD67" s="12">
        <f>IF('Données projet'!$A$88&gt;35,BD66+BC67-BL66,IF(A67&lt;'Données projet'!$A$88,$BA$205^A67,IF(A67='Données projet'!$A$88,'Données projet'!$B$88,BD66+BC67-BL66)))</f>
        <v>267.27000000000004</v>
      </c>
      <c r="BE67" s="13">
        <f>BD67*VLOOKUP('Données projet'!$B$11,Paramètres!$A$1:$I$89,3,0)*VLOOKUP('Données projet'!$B$11,Paramètres!$A$1:$I$89,5,0)</f>
        <v>241.82589600000003</v>
      </c>
      <c r="BF67" s="13">
        <f t="shared" si="37"/>
        <v>58.832207445542991</v>
      </c>
      <c r="BG67" s="20">
        <f t="shared" si="7"/>
        <v>523.64619683432079</v>
      </c>
      <c r="BH67" s="59">
        <f t="shared" si="8"/>
        <v>816.97953016765405</v>
      </c>
      <c r="BI67" s="59">
        <f ca="1">AVERAGE(OFFSET($BH$3,0,0,'Données projet'!$E$11+1,1))-AVERAGE(OFFSET($H$3,0,0,'Données projet'!$E$11+1,1))</f>
        <v>465.85201723964195</v>
      </c>
      <c r="BJ67" s="59">
        <f t="shared" si="38"/>
        <v>110.67325286443491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40.777539413626123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40.777539413626123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4.4000000000000004</v>
      </c>
      <c r="BY67" s="12">
        <f>IF('Données projet'!$A$114&gt;35,BY66+BX67-CG66,IF(A67&lt;'Données projet'!$A$114,$BV$205^A67,IF(A67='Données projet'!$A$114,'Données projet'!$B$114,BY66+BX67-CG66)))</f>
        <v>190.6</v>
      </c>
      <c r="BZ67" s="13">
        <f>BY67*VLOOKUP('Données projet'!$B$12,Paramètres!$A$1:$I$89,3,0)*VLOOKUP('Données projet'!$B$12,Paramètres!$A$1:$I$89,5,0)</f>
        <v>166.50816</v>
      </c>
      <c r="CA67" s="13">
        <f t="shared" si="39"/>
        <v>42.307025456487715</v>
      </c>
      <c r="CB67" s="20">
        <f t="shared" si="10"/>
        <v>363.68644800338274</v>
      </c>
      <c r="CC67" s="59">
        <f t="shared" si="11"/>
        <v>657.01978133671605</v>
      </c>
      <c r="CD67" s="59">
        <f ca="1">AVERAGE(OFFSET($CC$3,0,0,'Données projet'!$E$12+1,1))-AVERAGE(OFFSET($H$3,0,0,'Données projet'!$E$12+1,1))</f>
        <v>201.70120933876507</v>
      </c>
      <c r="CE67" s="59">
        <f t="shared" si="40"/>
        <v>188.1234063307752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32.966030676588829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32.966030676588829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3.4</v>
      </c>
      <c r="CT67" s="12">
        <f>IF('Données projet'!$A$140&gt;35,CT66+CS67-DB66,IF(A67&lt;'Données projet'!$A$140,$CQ$205^A67,IF(A67='Données projet'!$A$140,'Données projet'!$B$140,CT66+CS67-DB66)))</f>
        <v>198.60000000000002</v>
      </c>
      <c r="CU67" s="17">
        <f>CT67*VLOOKUP('Données projet'!$B$13,Paramètres!$A$1:$I$89,3,0)*VLOOKUP('Données projet'!$B$13,Paramètres!$A$1:$I$89,5,0)</f>
        <v>145.61351999999999</v>
      </c>
      <c r="CV67" s="13">
        <f t="shared" si="41"/>
        <v>37.580026965041412</v>
      </c>
      <c r="CW67" s="20">
        <f t="shared" si="13"/>
        <v>319.06209429744712</v>
      </c>
      <c r="CX67" s="59">
        <f t="shared" si="14"/>
        <v>612.39542763078043</v>
      </c>
      <c r="CY67" s="59">
        <f ca="1">AVERAGE(OFFSET($CX$3,0,0,'Données projet'!$E$13+1,1))-AVERAGE(OFFSET($H$3,0,0,'Données projet'!$E$13+1,1))</f>
        <v>141.13780344922503</v>
      </c>
      <c r="CZ67" s="59">
        <f t="shared" si="42"/>
        <v>144.12010599544237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22.517278962742548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22.517278962742548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148.39628895278571</v>
      </c>
      <c r="AO68" s="59">
        <f t="shared" si="36"/>
        <v>361.07991692964788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51.718359647039023</v>
      </c>
      <c r="AW68" s="21">
        <f>EXP(-LN(2)/2)*AW67+(1-EXP(-LN(2)/2))/(LN(2)/2)*AQ68*AT68*VLOOKUP('Données projet'!$B$10,Paramètres!$A$1:$I$89,3,0)*0.475*44/12</f>
        <v>2.4256087753415542E-7</v>
      </c>
      <c r="AX68" s="21">
        <f t="shared" ref="AX68:AX131" si="60">SUM(AU68:AW68)</f>
        <v>51.718359889599903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9.75</v>
      </c>
      <c r="BD68" s="12">
        <f>IF('Données projet'!$A$88&gt;35,BD67+BC68-BL67,IF(A68&lt;'Données projet'!$A$88,$BA$205^A68,IF(A68='Données projet'!$A$88,'Données projet'!$B$88,BD67+BC68-BL67)))</f>
        <v>277.02000000000004</v>
      </c>
      <c r="BE68" s="13">
        <f>BD68*VLOOKUP('Données projet'!$B$11,Paramètres!$A$1:$I$89,3,0)*VLOOKUP('Données projet'!$B$11,Paramètres!$A$1:$I$89,5,0)</f>
        <v>250.64769600000002</v>
      </c>
      <c r="BF68" s="13">
        <f t="shared" si="37"/>
        <v>60.724614309795427</v>
      </c>
      <c r="BG68" s="20">
        <f t="shared" ref="BG68:BG131" si="61">(BE68+BF68)*0.475*44/12</f>
        <v>542.30677378956045</v>
      </c>
      <c r="BH68" s="59">
        <f t="shared" ref="BH68:BH131" si="62">BG68+(AY68+AZ68)*44/12</f>
        <v>835.64010712289382</v>
      </c>
      <c r="BI68" s="59">
        <f ca="1">AVERAGE(OFFSET($BH$3,0,0,'Données projet'!$E$11+1,1))-AVERAGE(OFFSET($H$3,0,0,'Données projet'!$E$11+1,1))</f>
        <v>465.85201723964195</v>
      </c>
      <c r="BJ68" s="59">
        <f t="shared" si="38"/>
        <v>110.67325286443491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39.977916737568066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39.977916737568066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195</v>
      </c>
      <c r="BW68" s="12">
        <f>VLOOKUP(A68,'Données projet'!$A$113:$I$133,9,0)</f>
        <v>4.4000000000000004</v>
      </c>
      <c r="BX68" s="12">
        <f t="array" ref="BX68">INDEX(BW:BW,MIN(IF(ISNUMBER(BW68:BW264),ROW(BW68:BW264),"")))</f>
        <v>4.4000000000000004</v>
      </c>
      <c r="BY68" s="12">
        <f>IF('Données projet'!$A$114&gt;35,BY67+BX68-CG67,IF(A68&lt;'Données projet'!$A$114,$BV$205^A68,IF(A68='Données projet'!$A$114,'Données projet'!$B$114,BY67+BX68-CG67)))</f>
        <v>195</v>
      </c>
      <c r="BZ68" s="13">
        <f>BY68*VLOOKUP('Données projet'!$B$12,Paramètres!$A$1:$I$89,3,0)*VLOOKUP('Données projet'!$B$12,Paramètres!$A$1:$I$89,5,0)</f>
        <v>170.35200000000003</v>
      </c>
      <c r="CA68" s="13">
        <f t="shared" si="39"/>
        <v>43.168850382694487</v>
      </c>
      <c r="CB68" s="20">
        <f t="shared" ref="CB68:CB131" si="64">(BZ68+CA68)*0.475*44/12</f>
        <v>371.88214774985954</v>
      </c>
      <c r="CC68" s="59">
        <f t="shared" ref="CC68:CC131" si="65">CB68+(BT68+BU68)*44/12</f>
        <v>665.2154810831928</v>
      </c>
      <c r="CD68" s="59">
        <f ca="1">AVERAGE(OFFSET($CC$3,0,0,'Données projet'!$E$12+1,1))-AVERAGE(OFFSET($H$3,0,0,'Données projet'!$E$12+1,1))</f>
        <v>201.70120933876507</v>
      </c>
      <c r="CE68" s="59">
        <f t="shared" si="40"/>
        <v>188.1234063307752</v>
      </c>
      <c r="CF68" s="15">
        <f>IF(ISNA(VLOOKUP(A68,'Données projet'!$A$113:$I$133,3,0)),0,VLOOKUP(A68,'Données projet'!$A$113:$I$133,3,0))</f>
        <v>10</v>
      </c>
      <c r="CG68" s="15">
        <f>IF(ISNA(VLOOKUP(A68,'Données projet'!$A$113:$I$133,4,0)),0,VLOOKUP(A68,'Données projet'!$A$113:$I$133,4,0))</f>
        <v>15</v>
      </c>
      <c r="CH68" s="16">
        <f>IF(ISNA(VLOOKUP(A68,'Données projet'!$A$113:$I$133,5,0)),0%,VLOOKUP(A68,'Données projet'!$A$113:$I$133,5,0)*VLOOKUP('Données projet'!$B$12,Paramètres!$A$1:$I$89,7,0))</f>
        <v>0.43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38.548602979276112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38.548602979276112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202</v>
      </c>
      <c r="CR68" s="12">
        <f>VLOOKUP(A68,'Données projet'!$A$139:$I$159,9,0)</f>
        <v>3.4</v>
      </c>
      <c r="CS68" s="12">
        <f t="array" ref="CS68">INDEX(CR:CR,MIN(IF(ISNUMBER(CR68:CR264),ROW(CR68:CR264),"")))</f>
        <v>3.4</v>
      </c>
      <c r="CT68" s="12">
        <f>IF('Données projet'!$A$140&gt;35,CT67+CS68-DB67,IF(A68&lt;'Données projet'!$A$140,$CQ$205^A68,IF(A68='Données projet'!$A$140,'Données projet'!$B$140,CT67+CS68-DB67)))</f>
        <v>202.00000000000003</v>
      </c>
      <c r="CU68" s="17">
        <f>CT68*VLOOKUP('Données projet'!$B$13,Paramètres!$A$1:$I$89,3,0)*VLOOKUP('Données projet'!$B$13,Paramètres!$A$1:$I$89,5,0)</f>
        <v>148.10640000000004</v>
      </c>
      <c r="CV68" s="13">
        <f t="shared" si="41"/>
        <v>38.147940561860452</v>
      </c>
      <c r="CW68" s="20">
        <f t="shared" ref="CW68:CW131" si="67">(CU68+CV68)*0.475*44/12</f>
        <v>324.39297647857364</v>
      </c>
      <c r="CX68" s="59">
        <f t="shared" ref="CX68:CX131" si="68">CW68+(CO68+CP68)*44/12</f>
        <v>617.72630981190696</v>
      </c>
      <c r="CY68" s="59">
        <f ca="1">AVERAGE(OFFSET($CX$3,0,0,'Données projet'!$E$13+1,1))-AVERAGE(OFFSET($H$3,0,0,'Données projet'!$E$13+1,1))</f>
        <v>141.13780344922503</v>
      </c>
      <c r="CZ68" s="59">
        <f t="shared" si="42"/>
        <v>144.12010599544237</v>
      </c>
      <c r="DA68" s="15">
        <f>IF(ISNA(VLOOKUP(A68,'Données projet'!$A$139:$I$159,3,0)),0,VLOOKUP(A68,'Données projet'!$A$139:$I$159,3,0))</f>
        <v>10</v>
      </c>
      <c r="DB68" s="15">
        <f>IF(ISNA(VLOOKUP(A68,'Données projet'!$A$139:$I$159,4,0)),0,VLOOKUP(A68,'Données projet'!$A$139:$I$159,4,0))</f>
        <v>8</v>
      </c>
      <c r="DC68" s="16">
        <f>IF(ISNA(VLOOKUP(A68,'Données projet'!$A$139:$I$159,5,0)),0%,VLOOKUP(A68,'Données projet'!$A$139:$I$159,5,0)*VLOOKUP('Données projet'!$B$13,Paramètres!$A$1:$I$89,7,0))</f>
        <v>0.43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24.86395509148824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24.86395509148824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148.39628895278571</v>
      </c>
      <c r="AO69" s="59">
        <f t="shared" ref="AO69:AO132" si="90">$AO$3</f>
        <v>361.07991692964788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50.304118382740413</v>
      </c>
      <c r="AW69" s="21">
        <f>EXP(-LN(2)/2)*AW68+(1-EXP(-LN(2)/2))/(LN(2)/2)*AQ69*AT69*VLOOKUP('Données projet'!$B$10,Paramètres!$A$1:$I$89,3,0)*0.475*44/12</f>
        <v>1.7151644135496099E-7</v>
      </c>
      <c r="AX69" s="21">
        <f t="shared" si="60"/>
        <v>50.304118554256853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286.77</v>
      </c>
      <c r="BB69" s="12">
        <f>VLOOKUP(A69,'Données projet'!$A$87:$I$107,9,0)</f>
        <v>9.75</v>
      </c>
      <c r="BC69" s="12">
        <f t="array" ref="BC69">INDEX(BB:BB,MIN(IF(ISNUMBER(BB69:BB265),ROW(BB69:BB265),"")))</f>
        <v>9.75</v>
      </c>
      <c r="BD69" s="12">
        <f>IF('Données projet'!$A$88&gt;35,BD68+BC69-BL68,IF(A69&lt;'Données projet'!$A$88,$BA$205^A69,IF(A69='Données projet'!$A$88,'Données projet'!$B$88,BD68+BC69-BL68)))</f>
        <v>286.77000000000004</v>
      </c>
      <c r="BE69" s="13">
        <f>BD69*VLOOKUP('Données projet'!$B$11,Paramètres!$A$1:$I$89,3,0)*VLOOKUP('Données projet'!$B$11,Paramètres!$A$1:$I$89,5,0)</f>
        <v>259.46949600000005</v>
      </c>
      <c r="BF69" s="13">
        <f t="shared" ref="BF69:BF132" si="91">EXP(-1.0587+0.8836*LN(BE69)+0.284)</f>
        <v>62.609282502673445</v>
      </c>
      <c r="BG69" s="20">
        <f t="shared" si="61"/>
        <v>560.95387255882304</v>
      </c>
      <c r="BH69" s="59">
        <f t="shared" si="62"/>
        <v>854.28720589215641</v>
      </c>
      <c r="BI69" s="59">
        <f ca="1">AVERAGE(OFFSET($BH$3,0,0,'Données projet'!$E$11+1,1))-AVERAGE(OFFSET($H$3,0,0,'Données projet'!$E$11+1,1))</f>
        <v>465.85201723964195</v>
      </c>
      <c r="BJ69" s="59">
        <f t="shared" ref="BJ69:BJ132" si="92">$BJ$3</f>
        <v>110.67325286443491</v>
      </c>
      <c r="BK69" s="15">
        <f>IF(ISNA(VLOOKUP(A69,'Données projet'!$A$87:$I$107,3,0)),0,VLOOKUP(A69,'Données projet'!$A$87:$I$107,3,0))</f>
        <v>4</v>
      </c>
      <c r="BL69" s="15">
        <f>IF(ISNA(VLOOKUP(A69,'Données projet'!$A$87:$I$107,4,0)),0,VLOOKUP(A69,'Données projet'!$A$87:$I$107,4,0))</f>
        <v>49.91</v>
      </c>
      <c r="BM69" s="16">
        <f>IF(ISNA(VLOOKUP(A69,'Données projet'!$A$87:$I$107,5,0)),0%,VLOOKUP(A69,'Données projet'!$A$87:$I$107,5,0)*VLOOKUP('Données projet'!$B$11,Paramètres!$A$1:$I$89,7,0))</f>
        <v>0.43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60.660201676099391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60.660201676099391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4.2</v>
      </c>
      <c r="BY69" s="12">
        <f>IF('Données projet'!$A$114&gt;35,BY68+BX69-CG68,IF(A69&lt;'Données projet'!$A$114,$BV$205^A69,IF(A69='Données projet'!$A$114,'Données projet'!$B$114,BY68+BX69-CG68)))</f>
        <v>184.2</v>
      </c>
      <c r="BZ69" s="13">
        <f>BY69*VLOOKUP('Données projet'!$B$12,Paramètres!$A$1:$I$89,3,0)*VLOOKUP('Données projet'!$B$12,Paramètres!$A$1:$I$89,5,0)</f>
        <v>160.91712000000001</v>
      </c>
      <c r="CA69" s="13">
        <f t="shared" ref="CA69:CA132" si="93">EXP(-1.0587+0.8836*LN(BZ69)+0.284)</f>
        <v>41.049305520788089</v>
      </c>
      <c r="CB69" s="20">
        <f t="shared" si="64"/>
        <v>351.75819111537254</v>
      </c>
      <c r="CC69" s="59">
        <f t="shared" si="65"/>
        <v>645.09152444870585</v>
      </c>
      <c r="CD69" s="59">
        <f ca="1">AVERAGE(OFFSET($CC$3,0,0,'Données projet'!$E$12+1,1))-AVERAGE(OFFSET($H$3,0,0,'Données projet'!$E$12+1,1))</f>
        <v>201.70120933876507</v>
      </c>
      <c r="CE69" s="59">
        <f t="shared" ref="CE69:CE132" si="94">$CE$3</f>
        <v>188.1234063307752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37.792688387178679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37.792688387178679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3</v>
      </c>
      <c r="CT69" s="12">
        <f>IF('Données projet'!$A$140&gt;35,CT68+CS69-DB68,IF(A69&lt;'Données projet'!$A$140,$CQ$205^A69,IF(A69='Données projet'!$A$140,'Données projet'!$B$140,CT68+CS69-DB68)))</f>
        <v>197.00000000000003</v>
      </c>
      <c r="CU69" s="17">
        <f>CT69*VLOOKUP('Données projet'!$B$13,Paramètres!$A$1:$I$89,3,0)*VLOOKUP('Données projet'!$B$13,Paramètres!$A$1:$I$89,5,0)</f>
        <v>144.44040000000001</v>
      </c>
      <c r="CV69" s="13">
        <f t="shared" ref="CV69:CV132" si="95">EXP(-1.0587+0.8836*LN(CU69)+0.284)</f>
        <v>37.312382829927081</v>
      </c>
      <c r="CW69" s="20">
        <f t="shared" si="67"/>
        <v>316.55276342878966</v>
      </c>
      <c r="CX69" s="59">
        <f t="shared" si="68"/>
        <v>609.88609676212297</v>
      </c>
      <c r="CY69" s="59">
        <f ca="1">AVERAGE(OFFSET($CX$3,0,0,'Données projet'!$E$13+1,1))-AVERAGE(OFFSET($H$3,0,0,'Données projet'!$E$13+1,1))</f>
        <v>141.13780344922503</v>
      </c>
      <c r="CZ69" s="59">
        <f t="shared" ref="CZ69:CZ132" si="96">$CZ$3</f>
        <v>144.12010599544237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24.376388097659291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24.376388097659291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148.39628895278571</v>
      </c>
      <c r="AO70" s="59">
        <f t="shared" si="90"/>
        <v>361.07991692964788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48.928549620185763</v>
      </c>
      <c r="AW70" s="21">
        <f>EXP(-LN(2)/2)*AW69+(1-EXP(-LN(2)/2))/(LN(2)/2)*AQ70*AT70*VLOOKUP('Données projet'!$B$10,Paramètres!$A$1:$I$89,3,0)*0.475*44/12</f>
        <v>1.2128043876707771E-7</v>
      </c>
      <c r="AX70" s="21">
        <f t="shared" si="60"/>
        <v>48.928549741466199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9.2624999999999993</v>
      </c>
      <c r="BD70" s="12">
        <f>IF('Données projet'!$A$88&gt;35,BD69+BC70-BL69,IF(A70&lt;'Données projet'!$A$88,$BA$205^A70,IF(A70='Données projet'!$A$88,'Données projet'!$B$88,BD69+BC70-BL69)))</f>
        <v>246.12250000000003</v>
      </c>
      <c r="BE70" s="13">
        <f>BD70*VLOOKUP('Données projet'!$B$11,Paramètres!$A$1:$I$89,3,0)*VLOOKUP('Données projet'!$B$11,Paramètres!$A$1:$I$89,5,0)</f>
        <v>222.69163800000004</v>
      </c>
      <c r="BF70" s="13">
        <f t="shared" si="91"/>
        <v>54.699485259875743</v>
      </c>
      <c r="BG70" s="20">
        <f t="shared" si="61"/>
        <v>483.12287301095034</v>
      </c>
      <c r="BH70" s="59">
        <f t="shared" si="62"/>
        <v>776.4562063442836</v>
      </c>
      <c r="BI70" s="59">
        <f ca="1">AVERAGE(OFFSET($BH$3,0,0,'Données projet'!$E$11+1,1))-AVERAGE(OFFSET($H$3,0,0,'Données projet'!$E$11+1,1))</f>
        <v>465.85201723964195</v>
      </c>
      <c r="BJ70" s="59">
        <f t="shared" si="92"/>
        <v>110.67325286443491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59.470692120300747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59.470692120300747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4.2</v>
      </c>
      <c r="BY70" s="12">
        <f>IF('Données projet'!$A$114&gt;35,BY69+BX70-CG69,IF(A70&lt;'Données projet'!$A$114,$BV$205^A70,IF(A70='Données projet'!$A$114,'Données projet'!$B$114,BY69+BX70-CG69)))</f>
        <v>188.39999999999998</v>
      </c>
      <c r="BZ70" s="13">
        <f>BY70*VLOOKUP('Données projet'!$B$12,Paramètres!$A$1:$I$89,3,0)*VLOOKUP('Données projet'!$B$12,Paramètres!$A$1:$I$89,5,0)</f>
        <v>164.58624</v>
      </c>
      <c r="CA70" s="13">
        <f t="shared" si="93"/>
        <v>41.875247075991886</v>
      </c>
      <c r="CB70" s="20">
        <f t="shared" si="64"/>
        <v>359.58708999068585</v>
      </c>
      <c r="CC70" s="59">
        <f t="shared" si="65"/>
        <v>652.92042332401911</v>
      </c>
      <c r="CD70" s="59">
        <f ca="1">AVERAGE(OFFSET($CC$3,0,0,'Données projet'!$E$12+1,1))-AVERAGE(OFFSET($H$3,0,0,'Données projet'!$E$12+1,1))</f>
        <v>201.70120933876507</v>
      </c>
      <c r="CE70" s="59">
        <f t="shared" si="94"/>
        <v>188.1234063307752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37.051596819169895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37.051596819169895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3</v>
      </c>
      <c r="CT70" s="12">
        <f>IF('Données projet'!$A$140&gt;35,CT69+CS70-DB69,IF(A70&lt;'Données projet'!$A$140,$CQ$205^A70,IF(A70='Données projet'!$A$140,'Données projet'!$B$140,CT69+CS70-DB69)))</f>
        <v>200.00000000000003</v>
      </c>
      <c r="CU70" s="17">
        <f>CT70*VLOOKUP('Données projet'!$B$13,Paramètres!$A$1:$I$89,3,0)*VLOOKUP('Données projet'!$B$13,Paramètres!$A$1:$I$89,5,0)</f>
        <v>146.64000000000001</v>
      </c>
      <c r="CV70" s="13">
        <f t="shared" si="95"/>
        <v>37.814009712703054</v>
      </c>
      <c r="CW70" s="20">
        <f t="shared" si="67"/>
        <v>321.25740024962448</v>
      </c>
      <c r="CX70" s="59">
        <f t="shared" si="68"/>
        <v>614.5907335829578</v>
      </c>
      <c r="CY70" s="59">
        <f ca="1">AVERAGE(OFFSET($CX$3,0,0,'Données projet'!$E$13+1,1))-AVERAGE(OFFSET($H$3,0,0,'Données projet'!$E$13+1,1))</f>
        <v>141.13780344922503</v>
      </c>
      <c r="CZ70" s="59">
        <f t="shared" si="96"/>
        <v>144.12010599544237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23.898381995192825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23.898381995192825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148.39628895278571</v>
      </c>
      <c r="AO71" s="59">
        <f t="shared" si="90"/>
        <v>361.07991692964788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47.590595857781189</v>
      </c>
      <c r="AW71" s="21">
        <f>EXP(-LN(2)/2)*AW70+(1-EXP(-LN(2)/2))/(LN(2)/2)*AQ71*AT71*VLOOKUP('Données projet'!$B$10,Paramètres!$A$1:$I$89,3,0)*0.475*44/12</f>
        <v>8.5758220677480493E-8</v>
      </c>
      <c r="AX71" s="21">
        <f t="shared" si="60"/>
        <v>47.590595943539412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9.2624999999999993</v>
      </c>
      <c r="BD71" s="12">
        <f>IF('Données projet'!$A$88&gt;35,BD70+BC71-BL70,IF(A71&lt;'Données projet'!$A$88,$BA$205^A71,IF(A71='Données projet'!$A$88,'Données projet'!$B$88,BD70+BC71-BL70)))</f>
        <v>255.38500000000002</v>
      </c>
      <c r="BE71" s="13">
        <f>BD71*VLOOKUP('Données projet'!$B$11,Paramètres!$A$1:$I$89,3,0)*VLOOKUP('Données projet'!$B$11,Paramètres!$A$1:$I$89,5,0)</f>
        <v>231.07234800000001</v>
      </c>
      <c r="BF71" s="13">
        <f t="shared" si="91"/>
        <v>56.514485431949744</v>
      </c>
      <c r="BG71" s="20">
        <f t="shared" si="61"/>
        <v>500.88040156064579</v>
      </c>
      <c r="BH71" s="59">
        <f t="shared" si="62"/>
        <v>794.21373489397911</v>
      </c>
      <c r="BI71" s="59">
        <f ca="1">AVERAGE(OFFSET($BH$3,0,0,'Données projet'!$E$11+1,1))-AVERAGE(OFFSET($H$3,0,0,'Données projet'!$E$11+1,1))</f>
        <v>465.85201723964195</v>
      </c>
      <c r="BJ71" s="59">
        <f t="shared" si="92"/>
        <v>110.67325286443491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58.304508121362126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58.304508121362126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4.2</v>
      </c>
      <c r="BY71" s="12">
        <f>IF('Données projet'!$A$114&gt;35,BY70+BX71-CG70,IF(A71&lt;'Données projet'!$A$114,$BV$205^A71,IF(A71='Données projet'!$A$114,'Données projet'!$B$114,BY70+BX71-CG70)))</f>
        <v>192.59999999999997</v>
      </c>
      <c r="BZ71" s="13">
        <f>BY71*VLOOKUP('Données projet'!$B$12,Paramètres!$A$1:$I$89,3,0)*VLOOKUP('Données projet'!$B$12,Paramètres!$A$1:$I$89,5,0)</f>
        <v>168.25536</v>
      </c>
      <c r="CA71" s="13">
        <f t="shared" si="93"/>
        <v>42.699047982710887</v>
      </c>
      <c r="CB71" s="20">
        <f t="shared" si="64"/>
        <v>367.41226056988808</v>
      </c>
      <c r="CC71" s="59">
        <f t="shared" si="65"/>
        <v>660.74559390322133</v>
      </c>
      <c r="CD71" s="59">
        <f ca="1">AVERAGE(OFFSET($CC$3,0,0,'Données projet'!$E$12+1,1))-AVERAGE(OFFSET($H$3,0,0,'Données projet'!$E$12+1,1))</f>
        <v>201.70120933876507</v>
      </c>
      <c r="CE71" s="59">
        <f t="shared" si="94"/>
        <v>188.1234063307752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36.325037604788541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36.325037604788541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3</v>
      </c>
      <c r="CT71" s="12">
        <f>IF('Données projet'!$A$140&gt;35,CT70+CS71-DB70,IF(A71&lt;'Données projet'!$A$140,$CQ$205^A71,IF(A71='Données projet'!$A$140,'Données projet'!$B$140,CT70+CS71-DB70)))</f>
        <v>203.00000000000003</v>
      </c>
      <c r="CU71" s="17">
        <f>CT71*VLOOKUP('Données projet'!$B$13,Paramètres!$A$1:$I$89,3,0)*VLOOKUP('Données projet'!$B$13,Paramètres!$A$1:$I$89,5,0)</f>
        <v>148.83960000000002</v>
      </c>
      <c r="CV71" s="13">
        <f t="shared" si="95"/>
        <v>38.314761484407484</v>
      </c>
      <c r="CW71" s="20">
        <f t="shared" si="67"/>
        <v>325.96051291867639</v>
      </c>
      <c r="CX71" s="59">
        <f t="shared" si="68"/>
        <v>619.29384625200964</v>
      </c>
      <c r="CY71" s="59">
        <f ca="1">AVERAGE(OFFSET($CX$3,0,0,'Données projet'!$E$13+1,1))-AVERAGE(OFFSET($H$3,0,0,'Données projet'!$E$13+1,1))</f>
        <v>141.13780344922503</v>
      </c>
      <c r="CZ71" s="59">
        <f t="shared" si="96"/>
        <v>144.12010599544237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23.429749300840793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23.429749300840793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148.39628895278571</v>
      </c>
      <c r="AO72" s="59">
        <f t="shared" si="90"/>
        <v>361.07991692964788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46.289228511369494</v>
      </c>
      <c r="AW72" s="21">
        <f>EXP(-LN(2)/2)*AW71+(1-EXP(-LN(2)/2))/(LN(2)/2)*AQ72*AT72*VLOOKUP('Données projet'!$B$10,Paramètres!$A$1:$I$89,3,0)*0.475*44/12</f>
        <v>6.0640219383538854E-8</v>
      </c>
      <c r="AX72" s="21">
        <f t="shared" si="60"/>
        <v>46.289228572009712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9.2624999999999993</v>
      </c>
      <c r="BD72" s="12">
        <f>IF('Données projet'!$A$88&gt;35,BD71+BC72-BL71,IF(A72&lt;'Données projet'!$A$88,$BA$205^A72,IF(A72='Données projet'!$A$88,'Données projet'!$B$88,BD71+BC72-BL71)))</f>
        <v>264.64750000000004</v>
      </c>
      <c r="BE72" s="13">
        <f>BD72*VLOOKUP('Données projet'!$B$11,Paramètres!$A$1:$I$89,3,0)*VLOOKUP('Données projet'!$B$11,Paramètres!$A$1:$I$89,5,0)</f>
        <v>239.45305800000003</v>
      </c>
      <c r="BF72" s="13">
        <f t="shared" si="91"/>
        <v>58.321837625357126</v>
      </c>
      <c r="BG72" s="20">
        <f t="shared" si="61"/>
        <v>518.62460988083035</v>
      </c>
      <c r="BH72" s="59">
        <f t="shared" si="62"/>
        <v>811.95794321416361</v>
      </c>
      <c r="BI72" s="59">
        <f ca="1">AVERAGE(OFFSET($BH$3,0,0,'Données projet'!$E$11+1,1))-AVERAGE(OFFSET($H$3,0,0,'Données projet'!$E$11+1,1))</f>
        <v>465.85201723964195</v>
      </c>
      <c r="BJ72" s="59">
        <f t="shared" si="92"/>
        <v>110.67325286443491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57.161192279340689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57.161192279340689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4.2</v>
      </c>
      <c r="BY72" s="12">
        <f>IF('Données projet'!$A$114&gt;35,BY71+BX72-CG71,IF(A72&lt;'Données projet'!$A$114,$BV$205^A72,IF(A72='Données projet'!$A$114,'Données projet'!$B$114,BY71+BX72-CG71)))</f>
        <v>196.79999999999995</v>
      </c>
      <c r="BZ72" s="13">
        <f>BY72*VLOOKUP('Données projet'!$B$12,Paramètres!$A$1:$I$89,3,0)*VLOOKUP('Données projet'!$B$12,Paramètres!$A$1:$I$89,5,0)</f>
        <v>171.92447999999999</v>
      </c>
      <c r="CA72" s="13">
        <f t="shared" si="93"/>
        <v>43.520760297647755</v>
      </c>
      <c r="CB72" s="20">
        <f t="shared" si="64"/>
        <v>375.23379351840316</v>
      </c>
      <c r="CC72" s="59">
        <f t="shared" si="65"/>
        <v>668.56712685173648</v>
      </c>
      <c r="CD72" s="59">
        <f ca="1">AVERAGE(OFFSET($CC$3,0,0,'Données projet'!$E$12+1,1))-AVERAGE(OFFSET($H$3,0,0,'Données projet'!$E$12+1,1))</f>
        <v>201.70120933876507</v>
      </c>
      <c r="CE72" s="59">
        <f t="shared" si="94"/>
        <v>188.1234063307752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35.612725773443842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35.612725773443842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3</v>
      </c>
      <c r="CT72" s="12">
        <f>IF('Données projet'!$A$140&gt;35,CT71+CS72-DB71,IF(A72&lt;'Données projet'!$A$140,$CQ$205^A72,IF(A72='Données projet'!$A$140,'Données projet'!$B$140,CT71+CS72-DB71)))</f>
        <v>206.00000000000003</v>
      </c>
      <c r="CU72" s="17">
        <f>CT72*VLOOKUP('Données projet'!$B$13,Paramètres!$A$1:$I$89,3,0)*VLOOKUP('Données projet'!$B$13,Paramètres!$A$1:$I$89,5,0)</f>
        <v>151.03920000000002</v>
      </c>
      <c r="CV72" s="13">
        <f t="shared" si="95"/>
        <v>38.814652571726079</v>
      </c>
      <c r="CW72" s="20">
        <f t="shared" si="67"/>
        <v>330.66212656242288</v>
      </c>
      <c r="CX72" s="59">
        <f t="shared" si="68"/>
        <v>623.9954598957562</v>
      </c>
      <c r="CY72" s="59">
        <f ca="1">AVERAGE(OFFSET($CX$3,0,0,'Données projet'!$E$13+1,1))-AVERAGE(OFFSET($H$3,0,0,'Données projet'!$E$13+1,1))</f>
        <v>141.13780344922503</v>
      </c>
      <c r="CZ72" s="59">
        <f t="shared" si="96"/>
        <v>144.12010599544237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22.970306207787285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22.970306207787285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148.39628895278571</v>
      </c>
      <c r="AO73" s="59">
        <f t="shared" si="90"/>
        <v>361.07991692964788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45.023447123481361</v>
      </c>
      <c r="AW73" s="21">
        <f>EXP(-LN(2)/2)*AW72+(1-EXP(-LN(2)/2))/(LN(2)/2)*AQ73*AT73*VLOOKUP('Données projet'!$B$10,Paramètres!$A$1:$I$89,3,0)*0.475*44/12</f>
        <v>4.2879110338740246E-8</v>
      </c>
      <c r="AX73" s="21">
        <f t="shared" si="60"/>
        <v>45.023447166360469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9.2624999999999993</v>
      </c>
      <c r="BD73" s="12">
        <f>IF('Données projet'!$A$88&gt;35,BD72+BC73-BL72,IF(A73&lt;'Données projet'!$A$88,$BA$205^A73,IF(A73='Données projet'!$A$88,'Données projet'!$B$88,BD72+BC73-BL72)))</f>
        <v>273.91000000000003</v>
      </c>
      <c r="BE73" s="13">
        <f>BD73*VLOOKUP('Données projet'!$B$11,Paramètres!$A$1:$I$89,3,0)*VLOOKUP('Données projet'!$B$11,Paramètres!$A$1:$I$89,5,0)</f>
        <v>247.83376800000002</v>
      </c>
      <c r="BF73" s="13">
        <f t="shared" si="91"/>
        <v>60.121840187909477</v>
      </c>
      <c r="BG73" s="20">
        <f t="shared" si="61"/>
        <v>536.3560175939424</v>
      </c>
      <c r="BH73" s="59">
        <f t="shared" si="62"/>
        <v>829.68935092727565</v>
      </c>
      <c r="BI73" s="59">
        <f ca="1">AVERAGE(OFFSET($BH$3,0,0,'Données projet'!$E$11+1,1))-AVERAGE(OFFSET($H$3,0,0,'Données projet'!$E$11+1,1))</f>
        <v>465.85201723964195</v>
      </c>
      <c r="BJ73" s="59">
        <f t="shared" si="92"/>
        <v>110.67325286443491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56.040296163627488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56.040296163627488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201</v>
      </c>
      <c r="BW73" s="12">
        <f>VLOOKUP(A73,'Données projet'!$A$113:$I$133,9,0)</f>
        <v>4.2</v>
      </c>
      <c r="BX73" s="12">
        <f t="array" ref="BX73">INDEX(BW:BW,MIN(IF(ISNUMBER(BW73:BW269),ROW(BW73:BW269),"")))</f>
        <v>4.2</v>
      </c>
      <c r="BY73" s="12">
        <f>IF('Données projet'!$A$114&gt;35,BY72+BX73-CG72,IF(A73&lt;'Données projet'!$A$114,$BV$205^A73,IF(A73='Données projet'!$A$114,'Données projet'!$B$114,BY72+BX73-CG72)))</f>
        <v>200.99999999999994</v>
      </c>
      <c r="BZ73" s="13">
        <f>BY73*VLOOKUP('Données projet'!$B$12,Paramètres!$A$1:$I$89,3,0)*VLOOKUP('Données projet'!$B$12,Paramètres!$A$1:$I$89,5,0)</f>
        <v>175.59359999999995</v>
      </c>
      <c r="CA73" s="13">
        <f t="shared" si="93"/>
        <v>44.340433728638573</v>
      </c>
      <c r="CB73" s="20">
        <f t="shared" si="64"/>
        <v>383.05177541071203</v>
      </c>
      <c r="CC73" s="59">
        <f t="shared" si="65"/>
        <v>676.38510874404528</v>
      </c>
      <c r="CD73" s="59">
        <f ca="1">AVERAGE(OFFSET($CC$3,0,0,'Données projet'!$E$12+1,1))-AVERAGE(OFFSET($H$3,0,0,'Données projet'!$E$12+1,1))</f>
        <v>201.70120933876507</v>
      </c>
      <c r="CE73" s="59">
        <f t="shared" si="94"/>
        <v>188.1234063307752</v>
      </c>
      <c r="CF73" s="15">
        <f>IF(ISNA(VLOOKUP(A73,'Données projet'!$A$113:$I$133,3,0)),0,VLOOKUP(A73,'Données projet'!$A$113:$I$133,3,0))</f>
        <v>11</v>
      </c>
      <c r="CG73" s="15">
        <f>IF(ISNA(VLOOKUP(A73,'Données projet'!$A$113:$I$133,4,0)),0,VLOOKUP(A73,'Données projet'!$A$113:$I$133,4,0))</f>
        <v>14</v>
      </c>
      <c r="CH73" s="16">
        <f>IF(ISNA(VLOOKUP(A73,'Données projet'!$A$113:$I$133,5,0)),0%,VLOOKUP(A73,'Données projet'!$A$113:$I$133,5,0)*VLOOKUP('Données projet'!$B$12,Paramètres!$A$1:$I$89,7,0))</f>
        <v>0.43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40.728130262475609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40.728130262475609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209</v>
      </c>
      <c r="CR73" s="12">
        <f>VLOOKUP(A73,'Données projet'!$A$139:$I$159,9,0)</f>
        <v>3</v>
      </c>
      <c r="CS73" s="12">
        <f t="array" ref="CS73">INDEX(CR:CR,MIN(IF(ISNUMBER(CR73:CR269),ROW(CR73:CR269),"")))</f>
        <v>3</v>
      </c>
      <c r="CT73" s="12">
        <f>IF('Données projet'!$A$140&gt;35,CT72+CS73-DB72,IF(A73&lt;'Données projet'!$A$140,$CQ$205^A73,IF(A73='Données projet'!$A$140,'Données projet'!$B$140,CT72+CS73-DB72)))</f>
        <v>209.00000000000003</v>
      </c>
      <c r="CU73" s="17">
        <f>CT73*VLOOKUP('Données projet'!$B$13,Paramètres!$A$1:$I$89,3,0)*VLOOKUP('Données projet'!$B$13,Paramètres!$A$1:$I$89,5,0)</f>
        <v>153.2388</v>
      </c>
      <c r="CV73" s="13">
        <f t="shared" si="95"/>
        <v>39.31369695702417</v>
      </c>
      <c r="CW73" s="20">
        <f t="shared" si="67"/>
        <v>335.36226553348371</v>
      </c>
      <c r="CX73" s="59">
        <f t="shared" si="68"/>
        <v>628.69559886681702</v>
      </c>
      <c r="CY73" s="59">
        <f ca="1">AVERAGE(OFFSET($CX$3,0,0,'Données projet'!$E$13+1,1))-AVERAGE(OFFSET($H$3,0,0,'Données projet'!$E$13+1,1))</f>
        <v>141.13780344922503</v>
      </c>
      <c r="CZ73" s="59">
        <f t="shared" si="96"/>
        <v>144.12010599544237</v>
      </c>
      <c r="DA73" s="15">
        <f>IF(ISNA(VLOOKUP(A73,'Données projet'!$A$139:$I$159,3,0)),0,VLOOKUP(A73,'Données projet'!$A$139:$I$159,3,0))</f>
        <v>11</v>
      </c>
      <c r="DB73" s="15">
        <f>IF(ISNA(VLOOKUP(A73,'Données projet'!$A$139:$I$159,4,0)),0,VLOOKUP(A73,'Données projet'!$A$139:$I$159,4,0))</f>
        <v>8</v>
      </c>
      <c r="DC73" s="16">
        <f>IF(ISNA(VLOOKUP(A73,'Données projet'!$A$139:$I$159,5,0)),0%,VLOOKUP(A73,'Données projet'!$A$139:$I$159,5,0)*VLOOKUP('Données projet'!$B$13,Paramètres!$A$1:$I$89,7,0))</f>
        <v>0.43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25.308098748576985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25.308098748576985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148.39628895278571</v>
      </c>
      <c r="AO74" s="59">
        <f t="shared" si="90"/>
        <v>361.07991692964788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43.792278594209584</v>
      </c>
      <c r="AW74" s="21">
        <f>EXP(-LN(2)/2)*AW73+(1-EXP(-LN(2)/2))/(LN(2)/2)*AQ74*AT74*VLOOKUP('Données projet'!$B$10,Paramètres!$A$1:$I$89,3,0)*0.475*44/12</f>
        <v>3.0320109691769427E-8</v>
      </c>
      <c r="AX74" s="21">
        <f t="shared" si="60"/>
        <v>43.792278624529693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9.2624999999999993</v>
      </c>
      <c r="BD74" s="12">
        <f>IF('Données projet'!$A$88&gt;35,BD73+BC74-BL73,IF(A74&lt;'Données projet'!$A$88,$BA$205^A74,IF(A74='Données projet'!$A$88,'Données projet'!$B$88,BD73+BC74-BL73)))</f>
        <v>283.17250000000001</v>
      </c>
      <c r="BE74" s="13">
        <f>BD74*VLOOKUP('Données projet'!$B$11,Paramètres!$A$1:$I$89,3,0)*VLOOKUP('Données projet'!$B$11,Paramètres!$A$1:$I$89,5,0)</f>
        <v>256.21447799999999</v>
      </c>
      <c r="BF74" s="13">
        <f t="shared" si="91"/>
        <v>61.914770144905688</v>
      </c>
      <c r="BG74" s="20">
        <f t="shared" si="61"/>
        <v>554.07510718571075</v>
      </c>
      <c r="BH74" s="59">
        <f t="shared" si="62"/>
        <v>847.40844051904401</v>
      </c>
      <c r="BI74" s="59">
        <f ca="1">AVERAGE(OFFSET($BH$3,0,0,'Données projet'!$E$11+1,1))-AVERAGE(OFFSET($H$3,0,0,'Données projet'!$E$11+1,1))</f>
        <v>465.85201723964195</v>
      </c>
      <c r="BJ74" s="59">
        <f t="shared" si="92"/>
        <v>110.67325286443491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54.9413801370643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54.9413801370643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3.4</v>
      </c>
      <c r="BY74" s="12">
        <f>IF('Données projet'!$A$114&gt;35,BY73+BX74-CG73,IF(A74&lt;'Données projet'!$A$114,$BV$205^A74,IF(A74='Données projet'!$A$114,'Données projet'!$B$114,BY73+BX74-CG73)))</f>
        <v>190.39999999999995</v>
      </c>
      <c r="BZ74" s="13">
        <f>BY74*VLOOKUP('Données projet'!$B$12,Paramètres!$A$1:$I$89,3,0)*VLOOKUP('Données projet'!$B$12,Paramètres!$A$1:$I$89,5,0)</f>
        <v>166.33343999999997</v>
      </c>
      <c r="CA74" s="13">
        <f t="shared" si="93"/>
        <v>42.267796944897761</v>
      </c>
      <c r="CB74" s="20">
        <f t="shared" si="64"/>
        <v>363.31382101236346</v>
      </c>
      <c r="CC74" s="59">
        <f t="shared" si="65"/>
        <v>656.64715434569678</v>
      </c>
      <c r="CD74" s="59">
        <f ca="1">AVERAGE(OFFSET($CC$3,0,0,'Données projet'!$E$12+1,1))-AVERAGE(OFFSET($H$3,0,0,'Données projet'!$E$12+1,1))</f>
        <v>201.70120933876507</v>
      </c>
      <c r="CE74" s="59">
        <f t="shared" si="94"/>
        <v>188.1234063307752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39.929476469735008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39.929476469735008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2.6</v>
      </c>
      <c r="CT74" s="12">
        <f>IF('Données projet'!$A$140&gt;35,CT73+CS74-DB73,IF(A74&lt;'Données projet'!$A$140,$CQ$205^A74,IF(A74='Données projet'!$A$140,'Données projet'!$B$140,CT73+CS74-DB73)))</f>
        <v>203.60000000000002</v>
      </c>
      <c r="CU74" s="17">
        <f>CT74*VLOOKUP('Données projet'!$B$13,Paramètres!$A$1:$I$89,3,0)*VLOOKUP('Données projet'!$B$13,Paramètres!$A$1:$I$89,5,0)</f>
        <v>149.27952000000002</v>
      </c>
      <c r="CV74" s="13">
        <f t="shared" si="95"/>
        <v>38.414808102917597</v>
      </c>
      <c r="CW74" s="20">
        <f t="shared" si="67"/>
        <v>326.90095477924814</v>
      </c>
      <c r="CX74" s="59">
        <f t="shared" si="68"/>
        <v>620.23428811258145</v>
      </c>
      <c r="CY74" s="59">
        <f ca="1">AVERAGE(OFFSET($CX$3,0,0,'Données projet'!$E$13+1,1))-AVERAGE(OFFSET($H$3,0,0,'Données projet'!$E$13+1,1))</f>
        <v>141.13780344922503</v>
      </c>
      <c r="CZ74" s="59">
        <f t="shared" si="96"/>
        <v>144.12010599544237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24.811822368533406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24.811822368533406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148.39628895278571</v>
      </c>
      <c r="AO75" s="59">
        <f t="shared" si="90"/>
        <v>361.07991692964788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42.594776433115079</v>
      </c>
      <c r="AW75" s="21">
        <f>EXP(-LN(2)/2)*AW74+(1-EXP(-LN(2)/2))/(LN(2)/2)*AQ75*AT75*VLOOKUP('Données projet'!$B$10,Paramètres!$A$1:$I$89,3,0)*0.475*44/12</f>
        <v>2.1439555169370123E-8</v>
      </c>
      <c r="AX75" s="21">
        <f t="shared" si="60"/>
        <v>42.594776454554633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9.2624999999999993</v>
      </c>
      <c r="BD75" s="12">
        <f>IF('Données projet'!$A$88&gt;35,BD74+BC75-BL74,IF(A75&lt;'Données projet'!$A$88,$BA$205^A75,IF(A75='Données projet'!$A$88,'Données projet'!$B$88,BD74+BC75-BL74)))</f>
        <v>292.435</v>
      </c>
      <c r="BE75" s="13">
        <f>BD75*VLOOKUP('Données projet'!$B$11,Paramètres!$A$1:$I$89,3,0)*VLOOKUP('Données projet'!$B$11,Paramètres!$A$1:$I$89,5,0)</f>
        <v>264.59518799999995</v>
      </c>
      <c r="BF75" s="13">
        <f t="shared" si="91"/>
        <v>63.700885370125405</v>
      </c>
      <c r="BG75" s="20">
        <f t="shared" si="61"/>
        <v>571.78232778630161</v>
      </c>
      <c r="BH75" s="59">
        <f t="shared" si="62"/>
        <v>865.11566111963498</v>
      </c>
      <c r="BI75" s="59">
        <f ca="1">AVERAGE(OFFSET($BH$3,0,0,'Données projet'!$E$11+1,1))-AVERAGE(OFFSET($H$3,0,0,'Données projet'!$E$11+1,1))</f>
        <v>465.85201723964195</v>
      </c>
      <c r="BJ75" s="59">
        <f t="shared" si="92"/>
        <v>110.67325286443491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53.864013183509421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53.864013183509421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3.4</v>
      </c>
      <c r="BY75" s="12">
        <f>IF('Données projet'!$A$114&gt;35,BY74+BX75-CG74,IF(A75&lt;'Données projet'!$A$114,$BV$205^A75,IF(A75='Données projet'!$A$114,'Données projet'!$B$114,BY74+BX75-CG74)))</f>
        <v>193.79999999999995</v>
      </c>
      <c r="BZ75" s="13">
        <f>BY75*VLOOKUP('Données projet'!$B$12,Paramètres!$A$1:$I$89,3,0)*VLOOKUP('Données projet'!$B$12,Paramètres!$A$1:$I$89,5,0)</f>
        <v>169.30367999999999</v>
      </c>
      <c r="CA75" s="13">
        <f t="shared" si="93"/>
        <v>42.934033834973214</v>
      </c>
      <c r="CB75" s="20">
        <f t="shared" si="64"/>
        <v>369.64735159591163</v>
      </c>
      <c r="CC75" s="59">
        <f t="shared" si="65"/>
        <v>662.98068492924494</v>
      </c>
      <c r="CD75" s="59">
        <f ca="1">AVERAGE(OFFSET($CC$3,0,0,'Données projet'!$E$12+1,1))-AVERAGE(OFFSET($H$3,0,0,'Données projet'!$E$12+1,1))</f>
        <v>201.70120933876507</v>
      </c>
      <c r="CE75" s="59">
        <f t="shared" si="94"/>
        <v>188.1234063307752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39.146483790739339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39.146483790739339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2.6</v>
      </c>
      <c r="CT75" s="12">
        <f>IF('Données projet'!$A$140&gt;35,CT74+CS75-DB74,IF(A75&lt;'Données projet'!$A$140,$CQ$205^A75,IF(A75='Données projet'!$A$140,'Données projet'!$B$140,CT74+CS75-DB74)))</f>
        <v>206.20000000000002</v>
      </c>
      <c r="CU75" s="17">
        <f>CT75*VLOOKUP('Données projet'!$B$13,Paramètres!$A$1:$I$89,3,0)*VLOOKUP('Données projet'!$B$13,Paramètres!$A$1:$I$89,5,0)</f>
        <v>151.18584000000001</v>
      </c>
      <c r="CV75" s="13">
        <f t="shared" si="95"/>
        <v>38.84794838705254</v>
      </c>
      <c r="CW75" s="20">
        <f t="shared" si="67"/>
        <v>330.9755147741165</v>
      </c>
      <c r="CX75" s="59">
        <f t="shared" si="68"/>
        <v>624.30884810744988</v>
      </c>
      <c r="CY75" s="59">
        <f ca="1">AVERAGE(OFFSET($CX$3,0,0,'Données projet'!$E$13+1,1))-AVERAGE(OFFSET($H$3,0,0,'Données projet'!$E$13+1,1))</f>
        <v>141.13780344922503</v>
      </c>
      <c r="CZ75" s="59">
        <f t="shared" si="96"/>
        <v>144.12010599544237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24.325277665603782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24.325277665603782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148.39628895278571</v>
      </c>
      <c r="AO76" s="59">
        <f t="shared" si="90"/>
        <v>361.07991692964788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41.430020031589606</v>
      </c>
      <c r="AW76" s="21">
        <f>EXP(-LN(2)/2)*AW75+(1-EXP(-LN(2)/2))/(LN(2)/2)*AQ76*AT76*VLOOKUP('Données projet'!$B$10,Paramètres!$A$1:$I$89,3,0)*0.475*44/12</f>
        <v>1.5160054845884713E-8</v>
      </c>
      <c r="AX76" s="21">
        <f t="shared" si="60"/>
        <v>41.430020046749661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9.2624999999999993</v>
      </c>
      <c r="BD76" s="12">
        <f>IF('Données projet'!$A$88&gt;35,BD75+BC76-BL75,IF(A76&lt;'Données projet'!$A$88,$BA$205^A76,IF(A76='Données projet'!$A$88,'Données projet'!$B$88,BD75+BC76-BL75)))</f>
        <v>301.69749999999999</v>
      </c>
      <c r="BE76" s="13">
        <f>BD76*VLOOKUP('Données projet'!$B$11,Paramètres!$A$1:$I$89,3,0)*VLOOKUP('Données projet'!$B$11,Paramètres!$A$1:$I$89,5,0)</f>
        <v>272.97589799999997</v>
      </c>
      <c r="BF76" s="13">
        <f t="shared" si="91"/>
        <v>65.480426474043128</v>
      </c>
      <c r="BG76" s="20">
        <f t="shared" si="61"/>
        <v>589.47809845895836</v>
      </c>
      <c r="BH76" s="59">
        <f t="shared" si="62"/>
        <v>882.81143179229161</v>
      </c>
      <c r="BI76" s="59">
        <f ca="1">AVERAGE(OFFSET($BH$3,0,0,'Données projet'!$E$11+1,1))-AVERAGE(OFFSET($H$3,0,0,'Données projet'!$E$11+1,1))</f>
        <v>465.85201723964195</v>
      </c>
      <c r="BJ76" s="59">
        <f t="shared" si="92"/>
        <v>110.67325286443491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52.807772738784799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52.807772738784799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3.4</v>
      </c>
      <c r="BY76" s="12">
        <f>IF('Données projet'!$A$114&gt;35,BY75+BX76-CG75,IF(A76&lt;'Données projet'!$A$114,$BV$205^A76,IF(A76='Données projet'!$A$114,'Données projet'!$B$114,BY75+BX76-CG75)))</f>
        <v>197.19999999999996</v>
      </c>
      <c r="BZ76" s="13">
        <f>BY76*VLOOKUP('Données projet'!$B$12,Paramètres!$A$1:$I$89,3,0)*VLOOKUP('Données projet'!$B$12,Paramètres!$A$1:$I$89,5,0)</f>
        <v>172.27391999999998</v>
      </c>
      <c r="CA76" s="13">
        <f t="shared" si="93"/>
        <v>43.598911513699605</v>
      </c>
      <c r="CB76" s="20">
        <f t="shared" si="64"/>
        <v>375.97851488636002</v>
      </c>
      <c r="CC76" s="59">
        <f t="shared" si="65"/>
        <v>669.31184821969327</v>
      </c>
      <c r="CD76" s="59">
        <f ca="1">AVERAGE(OFFSET($CC$3,0,0,'Données projet'!$E$12+1,1))-AVERAGE(OFFSET($H$3,0,0,'Données projet'!$E$12+1,1))</f>
        <v>201.70120933876507</v>
      </c>
      <c r="CE76" s="59">
        <f t="shared" si="94"/>
        <v>188.1234063307752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38.378845120600396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38.378845120600396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2.6</v>
      </c>
      <c r="CT76" s="12">
        <f>IF('Données projet'!$A$140&gt;35,CT75+CS76-DB75,IF(A76&lt;'Données projet'!$A$140,$CQ$205^A76,IF(A76='Données projet'!$A$140,'Données projet'!$B$140,CT75+CS76-DB75)))</f>
        <v>208.8</v>
      </c>
      <c r="CU76" s="17">
        <f>CT76*VLOOKUP('Données projet'!$B$13,Paramètres!$A$1:$I$89,3,0)*VLOOKUP('Données projet'!$B$13,Paramètres!$A$1:$I$89,5,0)</f>
        <v>153.09216000000001</v>
      </c>
      <c r="CV76" s="13">
        <f t="shared" si="95"/>
        <v>39.280453399141116</v>
      </c>
      <c r="CW76" s="20">
        <f t="shared" si="67"/>
        <v>335.04896833683745</v>
      </c>
      <c r="CX76" s="59">
        <f t="shared" si="68"/>
        <v>628.38230167017082</v>
      </c>
      <c r="CY76" s="59">
        <f ca="1">AVERAGE(OFFSET($CX$3,0,0,'Données projet'!$E$13+1,1))-AVERAGE(OFFSET($H$3,0,0,'Données projet'!$E$13+1,1))</f>
        <v>141.13780344922503</v>
      </c>
      <c r="CZ76" s="59">
        <f t="shared" si="96"/>
        <v>144.12010599544237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23.848273807535641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23.848273807535641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148.39628895278571</v>
      </c>
      <c r="AO77" s="59">
        <f t="shared" si="90"/>
        <v>361.07991692964788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40.297113955115726</v>
      </c>
      <c r="AW77" s="21">
        <f>EXP(-LN(2)/2)*AW76+(1-EXP(-LN(2)/2))/(LN(2)/2)*AQ77*AT77*VLOOKUP('Données projet'!$B$10,Paramètres!$A$1:$I$89,3,0)*0.475*44/12</f>
        <v>1.0719777584685062E-8</v>
      </c>
      <c r="AX77" s="21">
        <f t="shared" si="60"/>
        <v>40.297113965835507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>
        <f>VLOOKUP(A77,'Données projet'!$A$87:$I$107,2,0)</f>
        <v>310.95999999999998</v>
      </c>
      <c r="BB77" s="12">
        <f>VLOOKUP(A77,'Données projet'!$A$87:$I$107,9,0)</f>
        <v>9.2624999999999993</v>
      </c>
      <c r="BC77" s="12">
        <f t="array" ref="BC77">INDEX(BB:BB,MIN(IF(ISNUMBER(BB77:BB273),ROW(BB77:BB273),"")))</f>
        <v>9.2624999999999993</v>
      </c>
      <c r="BD77" s="12">
        <f>IF('Données projet'!$A$88&gt;35,BD76+BC77-BL76,IF(A77&lt;'Données projet'!$A$88,$BA$205^A77,IF(A77='Données projet'!$A$88,'Données projet'!$B$88,BD76+BC77-BL76)))</f>
        <v>310.95999999999998</v>
      </c>
      <c r="BE77" s="13">
        <f>BD77*VLOOKUP('Données projet'!$B$11,Paramètres!$A$1:$I$89,3,0)*VLOOKUP('Données projet'!$B$11,Paramètres!$A$1:$I$89,5,0)</f>
        <v>281.35660799999994</v>
      </c>
      <c r="BF77" s="13">
        <f t="shared" si="91"/>
        <v>67.253618453644194</v>
      </c>
      <c r="BG77" s="20">
        <f t="shared" si="61"/>
        <v>607.16281107343025</v>
      </c>
      <c r="BH77" s="59">
        <f t="shared" si="62"/>
        <v>900.49614440676351</v>
      </c>
      <c r="BI77" s="59">
        <f ca="1">AVERAGE(OFFSET($BH$3,0,0,'Données projet'!$E$11+1,1))-AVERAGE(OFFSET($H$3,0,0,'Données projet'!$E$11+1,1))</f>
        <v>465.85201723964195</v>
      </c>
      <c r="BJ77" s="59">
        <f t="shared" si="92"/>
        <v>110.67325286443491</v>
      </c>
      <c r="BK77" s="15">
        <f>IF(ISNA(VLOOKUP(A77,'Données projet'!$A$87:$I$107,3,0)),0,VLOOKUP(A77,'Données projet'!$A$87:$I$107,3,0))</f>
        <v>5</v>
      </c>
      <c r="BL77" s="15">
        <f>IF(ISNA(VLOOKUP(A77,'Données projet'!$A$87:$I$107,4,0)),0,VLOOKUP(A77,'Données projet'!$A$87:$I$107,4,0))</f>
        <v>47.4</v>
      </c>
      <c r="BM77" s="16">
        <f>IF(ISNA(VLOOKUP(A77,'Données projet'!$A$87:$I$107,5,0)),0%,VLOOKUP(A77,'Données projet'!$A$87:$I$107,5,0)*VLOOKUP('Données projet'!$B$11,Paramètres!$A$1:$I$89,7,0))</f>
        <v>0.43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72.158924219937774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72.158924219937774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3.4</v>
      </c>
      <c r="BY77" s="12">
        <f>IF('Données projet'!$A$114&gt;35,BY76+BX77-CG76,IF(A77&lt;'Données projet'!$A$114,$BV$205^A77,IF(A77='Données projet'!$A$114,'Données projet'!$B$114,BY76+BX77-CG76)))</f>
        <v>200.59999999999997</v>
      </c>
      <c r="BZ77" s="13">
        <f>BY77*VLOOKUP('Données projet'!$B$12,Paramètres!$A$1:$I$89,3,0)*VLOOKUP('Données projet'!$B$12,Paramètres!$A$1:$I$89,5,0)</f>
        <v>175.24415999999999</v>
      </c>
      <c r="CA77" s="13">
        <f t="shared" si="93"/>
        <v>44.262456119927037</v>
      </c>
      <c r="CB77" s="20">
        <f t="shared" si="64"/>
        <v>382.30735640887292</v>
      </c>
      <c r="CC77" s="59">
        <f t="shared" si="65"/>
        <v>675.64068974220618</v>
      </c>
      <c r="CD77" s="59">
        <f ca="1">AVERAGE(OFFSET($CC$3,0,0,'Données projet'!$E$12+1,1))-AVERAGE(OFFSET($H$3,0,0,'Données projet'!$E$12+1,1))</f>
        <v>201.70120933876507</v>
      </c>
      <c r="CE77" s="59">
        <f t="shared" si="94"/>
        <v>188.1234063307752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37.626259376569521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37.626259376569521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2.6</v>
      </c>
      <c r="CT77" s="12">
        <f>IF('Données projet'!$A$140&gt;35,CT76+CS77-DB76,IF(A77&lt;'Données projet'!$A$140,$CQ$205^A77,IF(A77='Données projet'!$A$140,'Données projet'!$B$140,CT76+CS77-DB76)))</f>
        <v>211.4</v>
      </c>
      <c r="CU77" s="17">
        <f>CT77*VLOOKUP('Données projet'!$B$13,Paramètres!$A$1:$I$89,3,0)*VLOOKUP('Données projet'!$B$13,Paramètres!$A$1:$I$89,5,0)</f>
        <v>154.99848</v>
      </c>
      <c r="CV77" s="13">
        <f t="shared" si="95"/>
        <v>39.712331964500009</v>
      </c>
      <c r="CW77" s="20">
        <f t="shared" si="67"/>
        <v>339.12133083817082</v>
      </c>
      <c r="CX77" s="59">
        <f t="shared" si="68"/>
        <v>632.45466417150419</v>
      </c>
      <c r="CY77" s="59">
        <f ca="1">AVERAGE(OFFSET($CX$3,0,0,'Données projet'!$E$13+1,1))-AVERAGE(OFFSET($H$3,0,0,'Données projet'!$E$13+1,1))</f>
        <v>141.13780344922503</v>
      </c>
      <c r="CZ77" s="59">
        <f t="shared" si="96"/>
        <v>144.12010599544237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23.380623704180589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23.380623704180589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148.39628895278571</v>
      </c>
      <c r="AO78" s="59">
        <f t="shared" si="90"/>
        <v>361.07991692964788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39.195187254879961</v>
      </c>
      <c r="AW78" s="21">
        <f>EXP(-LN(2)/2)*AW77+(1-EXP(-LN(2)/2))/(LN(2)/2)*AQ78*AT78*VLOOKUP('Données projet'!$B$10,Paramètres!$A$1:$I$89,3,0)*0.475*44/12</f>
        <v>7.5800274229423567E-9</v>
      </c>
      <c r="AX78" s="21">
        <f t="shared" si="60"/>
        <v>39.195187262459989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9.1529999999999969</v>
      </c>
      <c r="BD78" s="12">
        <f>IF('Données projet'!$A$88&gt;35,BD77+BC78-BL77,IF(A78&lt;'Données projet'!$A$88,$BA$205^A78,IF(A78='Données projet'!$A$88,'Données projet'!$B$88,BD77+BC78-BL77)))</f>
        <v>272.71300000000002</v>
      </c>
      <c r="BE78" s="13">
        <f>BD78*VLOOKUP('Données projet'!$B$11,Paramètres!$A$1:$I$89,3,0)*VLOOKUP('Données projet'!$B$11,Paramètres!$A$1:$I$89,5,0)</f>
        <v>246.7507224</v>
      </c>
      <c r="BF78" s="13">
        <f t="shared" si="91"/>
        <v>59.889628081723359</v>
      </c>
      <c r="BG78" s="20">
        <f t="shared" si="61"/>
        <v>534.0652770890016</v>
      </c>
      <c r="BH78" s="59">
        <f t="shared" si="62"/>
        <v>827.39861042233497</v>
      </c>
      <c r="BI78" s="59">
        <f ca="1">AVERAGE(OFFSET($BH$3,0,0,'Données projet'!$E$11+1,1))-AVERAGE(OFFSET($H$3,0,0,'Données projet'!$E$11+1,1))</f>
        <v>465.85201723964195</v>
      </c>
      <c r="BJ78" s="59">
        <f t="shared" si="92"/>
        <v>110.67325286443491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70.74393172858268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70.74393172858268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204</v>
      </c>
      <c r="BW78" s="12">
        <f>VLOOKUP(A78,'Données projet'!$A$113:$I$133,9,0)</f>
        <v>3.4</v>
      </c>
      <c r="BX78" s="12">
        <f t="array" ref="BX78">INDEX(BW:BW,MIN(IF(ISNUMBER(BW78:BW274),ROW(BW78:BW274),"")))</f>
        <v>3.4</v>
      </c>
      <c r="BY78" s="12">
        <f>IF('Données projet'!$A$114&gt;35,BY77+BX78-CG77,IF(A78&lt;'Données projet'!$A$114,$BV$205^A78,IF(A78='Données projet'!$A$114,'Données projet'!$B$114,BY77+BX78-CG77)))</f>
        <v>203.99999999999997</v>
      </c>
      <c r="BZ78" s="13">
        <f>BY78*VLOOKUP('Données projet'!$B$12,Paramètres!$A$1:$I$89,3,0)*VLOOKUP('Données projet'!$B$12,Paramètres!$A$1:$I$89,5,0)</f>
        <v>178.21440000000001</v>
      </c>
      <c r="CA78" s="13">
        <f t="shared" si="93"/>
        <v>44.924692855664368</v>
      </c>
      <c r="CB78" s="20">
        <f t="shared" si="64"/>
        <v>388.63392005694874</v>
      </c>
      <c r="CC78" s="59">
        <f t="shared" si="65"/>
        <v>681.96725339028205</v>
      </c>
      <c r="CD78" s="59">
        <f ca="1">AVERAGE(OFFSET($CC$3,0,0,'Données projet'!$E$12+1,1))-AVERAGE(OFFSET($H$3,0,0,'Données projet'!$E$12+1,1))</f>
        <v>201.70120933876507</v>
      </c>
      <c r="CE78" s="59">
        <f t="shared" si="94"/>
        <v>188.1234063307752</v>
      </c>
      <c r="CF78" s="15">
        <f>IF(ISNA(VLOOKUP(A78,'Données projet'!$A$113:$I$133,3,0)),0,VLOOKUP(A78,'Données projet'!$A$113:$I$133,3,0))</f>
        <v>12</v>
      </c>
      <c r="CG78" s="15">
        <f>IF(ISNA(VLOOKUP(A78,'Données projet'!$A$113:$I$133,4,0)),0,VLOOKUP(A78,'Données projet'!$A$113:$I$133,4,0))</f>
        <v>12</v>
      </c>
      <c r="CH78" s="16">
        <f>IF(ISNA(VLOOKUP(A78,'Données projet'!$A$113:$I$133,5,0)),0%,VLOOKUP(A78,'Données projet'!$A$113:$I$133,5,0)*VLOOKUP('Données projet'!$B$12,Paramètres!$A$1:$I$89,7,0))</f>
        <v>0.43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41.87164422551664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41.87164422551664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214</v>
      </c>
      <c r="CR78" s="12">
        <f>VLOOKUP(A78,'Données projet'!$A$139:$I$159,9,0)</f>
        <v>2.6</v>
      </c>
      <c r="CS78" s="12">
        <f t="array" ref="CS78">INDEX(CR:CR,MIN(IF(ISNUMBER(CR78:CR274),ROW(CR78:CR274),"")))</f>
        <v>2.6</v>
      </c>
      <c r="CT78" s="12">
        <f>IF('Données projet'!$A$140&gt;35,CT77+CS78-DB77,IF(A78&lt;'Données projet'!$A$140,$CQ$205^A78,IF(A78='Données projet'!$A$140,'Données projet'!$B$140,CT77+CS78-DB77)))</f>
        <v>214</v>
      </c>
      <c r="CU78" s="17">
        <f>CT78*VLOOKUP('Données projet'!$B$13,Paramètres!$A$1:$I$89,3,0)*VLOOKUP('Données projet'!$B$13,Paramètres!$A$1:$I$89,5,0)</f>
        <v>156.90479999999999</v>
      </c>
      <c r="CV78" s="13">
        <f t="shared" si="95"/>
        <v>40.143592678874334</v>
      </c>
      <c r="CW78" s="20">
        <f t="shared" si="67"/>
        <v>343.19261724903942</v>
      </c>
      <c r="CX78" s="59">
        <f t="shared" si="68"/>
        <v>636.52595058237273</v>
      </c>
      <c r="CY78" s="59">
        <f ca="1">AVERAGE(OFFSET($CX$3,0,0,'Données projet'!$E$13+1,1))-AVERAGE(OFFSET($H$3,0,0,'Données projet'!$E$13+1,1))</f>
        <v>141.13780344922503</v>
      </c>
      <c r="CZ78" s="59">
        <f t="shared" si="96"/>
        <v>144.12010599544237</v>
      </c>
      <c r="DA78" s="15">
        <f>IF(ISNA(VLOOKUP(A78,'Données projet'!$A$139:$I$159,3,0)),0,VLOOKUP(A78,'Données projet'!$A$139:$I$159,3,0))</f>
        <v>12</v>
      </c>
      <c r="DB78" s="15">
        <f>IF(ISNA(VLOOKUP(A78,'Données projet'!$A$139:$I$159,4,0)),0,VLOOKUP(A78,'Données projet'!$A$139:$I$159,4,0))</f>
        <v>7</v>
      </c>
      <c r="DC78" s="16">
        <f>IF(ISNA(VLOOKUP(A78,'Données projet'!$A$139:$I$159,5,0)),0%,VLOOKUP(A78,'Données projet'!$A$139:$I$159,5,0)*VLOOKUP('Données projet'!$B$13,Paramètres!$A$1:$I$89,7,0))</f>
        <v>0.43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25.361841889757347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25.361841889757347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148.39628895278571</v>
      </c>
      <c r="AO79" s="59">
        <f t="shared" si="90"/>
        <v>361.07991692964788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38.123392798209956</v>
      </c>
      <c r="AW79" s="21">
        <f>EXP(-LN(2)/2)*AW78+(1-EXP(-LN(2)/2))/(LN(2)/2)*AQ79*AT79*VLOOKUP('Données projet'!$B$10,Paramètres!$A$1:$I$89,3,0)*0.475*44/12</f>
        <v>5.3598887923425308E-9</v>
      </c>
      <c r="AX79" s="21">
        <f t="shared" si="60"/>
        <v>38.123392803569843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9.1529999999999969</v>
      </c>
      <c r="BD79" s="12">
        <f>IF('Données projet'!$A$88&gt;35,BD78+BC79-BL78,IF(A79&lt;'Données projet'!$A$88,$BA$205^A79,IF(A79='Données projet'!$A$88,'Données projet'!$B$88,BD78+BC79-BL78)))</f>
        <v>281.86600000000004</v>
      </c>
      <c r="BE79" s="13">
        <f>BD79*VLOOKUP('Données projet'!$B$11,Paramètres!$A$1:$I$89,3,0)*VLOOKUP('Données projet'!$B$11,Paramètres!$A$1:$I$89,5,0)</f>
        <v>255.0323568</v>
      </c>
      <c r="BF79" s="13">
        <f t="shared" si="91"/>
        <v>61.662291230464433</v>
      </c>
      <c r="BG79" s="20">
        <f t="shared" si="61"/>
        <v>551.57651198639223</v>
      </c>
      <c r="BH79" s="59">
        <f t="shared" si="62"/>
        <v>844.90984531972549</v>
      </c>
      <c r="BI79" s="59">
        <f ca="1">AVERAGE(OFFSET($BH$3,0,0,'Données projet'!$E$11+1,1))-AVERAGE(OFFSET($H$3,0,0,'Données projet'!$E$11+1,1))</f>
        <v>465.85201723964195</v>
      </c>
      <c r="BJ79" s="59">
        <f t="shared" si="92"/>
        <v>110.67325286443491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69.356686376922866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69.356686376922866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3.2</v>
      </c>
      <c r="BY79" s="12">
        <f>IF('Données projet'!$A$114&gt;35,BY78+BX79-CG78,IF(A79&lt;'Données projet'!$A$114,$BV$205^A79,IF(A79='Données projet'!$A$114,'Données projet'!$B$114,BY78+BX79-CG78)))</f>
        <v>195.19999999999996</v>
      </c>
      <c r="BZ79" s="13">
        <f>BY79*VLOOKUP('Données projet'!$B$12,Paramètres!$A$1:$I$89,3,0)*VLOOKUP('Données projet'!$B$12,Paramètres!$A$1:$I$89,5,0)</f>
        <v>170.52671999999998</v>
      </c>
      <c r="CA79" s="13">
        <f t="shared" si="93"/>
        <v>43.207970095682747</v>
      </c>
      <c r="CB79" s="20">
        <f t="shared" si="64"/>
        <v>372.25458524998072</v>
      </c>
      <c r="CC79" s="59">
        <f t="shared" si="65"/>
        <v>665.58791858331404</v>
      </c>
      <c r="CD79" s="59">
        <f ca="1">AVERAGE(OFFSET($CC$3,0,0,'Données projet'!$E$12+1,1))-AVERAGE(OFFSET($H$3,0,0,'Données projet'!$E$12+1,1))</f>
        <v>201.70120933876507</v>
      </c>
      <c r="CE79" s="59">
        <f t="shared" si="94"/>
        <v>188.1234063307752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41.050566821435453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41.050566821435453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2.4</v>
      </c>
      <c r="CT79" s="12">
        <f>IF('Données projet'!$A$140&gt;35,CT78+CS79-DB78,IF(A79&lt;'Données projet'!$A$140,$CQ$205^A79,IF(A79='Données projet'!$A$140,'Données projet'!$B$140,CT78+CS79-DB78)))</f>
        <v>209.4</v>
      </c>
      <c r="CU79" s="17">
        <f>CT79*VLOOKUP('Données projet'!$B$13,Paramètres!$A$1:$I$89,3,0)*VLOOKUP('Données projet'!$B$13,Paramètres!$A$1:$I$89,5,0)</f>
        <v>153.53207999999998</v>
      </c>
      <c r="CV79" s="13">
        <f t="shared" si="95"/>
        <v>39.380172968602523</v>
      </c>
      <c r="CW79" s="20">
        <f t="shared" si="67"/>
        <v>335.98884058698269</v>
      </c>
      <c r="CX79" s="59">
        <f t="shared" si="68"/>
        <v>629.322173920316</v>
      </c>
      <c r="CY79" s="59">
        <f ca="1">AVERAGE(OFFSET($CX$3,0,0,'Données projet'!$E$13+1,1))-AVERAGE(OFFSET($H$3,0,0,'Données projet'!$E$13+1,1))</f>
        <v>141.13780344922503</v>
      </c>
      <c r="CZ79" s="59">
        <f t="shared" si="96"/>
        <v>144.12010599544237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24.864511639495301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24.864511639495301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148.39628895278571</v>
      </c>
      <c r="AO80" s="59">
        <f t="shared" si="90"/>
        <v>361.07991692964788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37.080906617320807</v>
      </c>
      <c r="AW80" s="21">
        <f>EXP(-LN(2)/2)*AW79+(1-EXP(-LN(2)/2))/(LN(2)/2)*AQ80*AT80*VLOOKUP('Données projet'!$B$10,Paramètres!$A$1:$I$89,3,0)*0.475*44/12</f>
        <v>3.7900137114711784E-9</v>
      </c>
      <c r="AX80" s="21">
        <f t="shared" si="60"/>
        <v>37.08090662111082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9.1529999999999969</v>
      </c>
      <c r="BD80" s="12">
        <f>IF('Données projet'!$A$88&gt;35,BD79+BC80-BL79,IF(A80&lt;'Données projet'!$A$88,$BA$205^A80,IF(A80='Données projet'!$A$88,'Données projet'!$B$88,BD79+BC80-BL79)))</f>
        <v>291.01900000000006</v>
      </c>
      <c r="BE80" s="13">
        <f>BD80*VLOOKUP('Données projet'!$B$11,Paramètres!$A$1:$I$89,3,0)*VLOOKUP('Données projet'!$B$11,Paramètres!$A$1:$I$89,5,0)</f>
        <v>263.31399120000003</v>
      </c>
      <c r="BF80" s="13">
        <f t="shared" si="91"/>
        <v>63.428265396287479</v>
      </c>
      <c r="BG80" s="20">
        <f t="shared" si="61"/>
        <v>569.07609690520076</v>
      </c>
      <c r="BH80" s="59">
        <f t="shared" si="62"/>
        <v>862.40943023853401</v>
      </c>
      <c r="BI80" s="59">
        <f ca="1">AVERAGE(OFFSET($BH$3,0,0,'Données projet'!$E$11+1,1))-AVERAGE(OFFSET($H$3,0,0,'Données projet'!$E$11+1,1))</f>
        <v>465.85201723964195</v>
      </c>
      <c r="BJ80" s="59">
        <f t="shared" si="92"/>
        <v>110.67325286443491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67.996644060472988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67.996644060472988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3.2</v>
      </c>
      <c r="BY80" s="12">
        <f>IF('Données projet'!$A$114&gt;35,BY79+BX80-CG79,IF(A80&lt;'Données projet'!$A$114,$BV$205^A80,IF(A80='Données projet'!$A$114,'Données projet'!$B$114,BY79+BX80-CG79)))</f>
        <v>198.39999999999995</v>
      </c>
      <c r="BZ80" s="13">
        <f>BY80*VLOOKUP('Données projet'!$B$12,Paramètres!$A$1:$I$89,3,0)*VLOOKUP('Données projet'!$B$12,Paramètres!$A$1:$I$89,5,0)</f>
        <v>173.32223999999999</v>
      </c>
      <c r="CA80" s="13">
        <f t="shared" si="93"/>
        <v>43.833254629845122</v>
      </c>
      <c r="CB80" s="20">
        <f t="shared" si="64"/>
        <v>378.2124864803136</v>
      </c>
      <c r="CC80" s="59">
        <f t="shared" si="65"/>
        <v>671.54581981364686</v>
      </c>
      <c r="CD80" s="59">
        <f ca="1">AVERAGE(OFFSET($CC$3,0,0,'Données projet'!$E$12+1,1))-AVERAGE(OFFSET($H$3,0,0,'Données projet'!$E$12+1,1))</f>
        <v>201.70120933876507</v>
      </c>
      <c r="CE80" s="59">
        <f t="shared" si="94"/>
        <v>188.1234063307752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40.245590244440528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40.245590244440528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2.4</v>
      </c>
      <c r="CT80" s="12">
        <f>IF('Données projet'!$A$140&gt;35,CT79+CS80-DB79,IF(A80&lt;'Données projet'!$A$140,$CQ$205^A80,IF(A80='Données projet'!$A$140,'Données projet'!$B$140,CT79+CS80-DB79)))</f>
        <v>211.8</v>
      </c>
      <c r="CU80" s="17">
        <f>CT80*VLOOKUP('Données projet'!$B$13,Paramètres!$A$1:$I$89,3,0)*VLOOKUP('Données projet'!$B$13,Paramètres!$A$1:$I$89,5,0)</f>
        <v>155.29176000000001</v>
      </c>
      <c r="CV80" s="13">
        <f t="shared" si="95"/>
        <v>39.778719769696814</v>
      </c>
      <c r="CW80" s="20">
        <f t="shared" si="67"/>
        <v>339.74775226555522</v>
      </c>
      <c r="CX80" s="59">
        <f t="shared" si="68"/>
        <v>633.08108559888854</v>
      </c>
      <c r="CY80" s="59">
        <f ca="1">AVERAGE(OFFSET($CX$3,0,0,'Données projet'!$E$13+1,1))-AVERAGE(OFFSET($H$3,0,0,'Données projet'!$E$13+1,1))</f>
        <v>141.13780344922503</v>
      </c>
      <c r="CZ80" s="59">
        <f t="shared" si="96"/>
        <v>144.12010599544237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24.376933732099396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24.376933732099396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148.39628895278571</v>
      </c>
      <c r="AO81" s="59">
        <f t="shared" si="90"/>
        <v>361.07991692964788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36.066927275870043</v>
      </c>
      <c r="AW81" s="21">
        <f>EXP(-LN(2)/2)*AW80+(1-EXP(-LN(2)/2))/(LN(2)/2)*AQ81*AT81*VLOOKUP('Données projet'!$B$10,Paramètres!$A$1:$I$89,3,0)*0.475*44/12</f>
        <v>2.6799443961712654E-9</v>
      </c>
      <c r="AX81" s="21">
        <f t="shared" si="60"/>
        <v>36.06692727854999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9.1529999999999969</v>
      </c>
      <c r="BD81" s="12">
        <f>IF('Données projet'!$A$88&gt;35,BD80+BC81-BL80,IF(A81&lt;'Données projet'!$A$88,$BA$205^A81,IF(A81='Données projet'!$A$88,'Données projet'!$B$88,BD80+BC81-BL80)))</f>
        <v>300.17200000000008</v>
      </c>
      <c r="BE81" s="13">
        <f>BD81*VLOOKUP('Données projet'!$B$11,Paramètres!$A$1:$I$89,3,0)*VLOOKUP('Données projet'!$B$11,Paramètres!$A$1:$I$89,5,0)</f>
        <v>271.59562560000006</v>
      </c>
      <c r="BF81" s="13">
        <f t="shared" si="91"/>
        <v>65.187785095275302</v>
      </c>
      <c r="BG81" s="20">
        <f t="shared" si="61"/>
        <v>586.56444029427121</v>
      </c>
      <c r="BH81" s="59">
        <f t="shared" si="62"/>
        <v>879.89777362760447</v>
      </c>
      <c r="BI81" s="59">
        <f ca="1">AVERAGE(OFFSET($BH$3,0,0,'Données projet'!$E$11+1,1))-AVERAGE(OFFSET($H$3,0,0,'Données projet'!$E$11+1,1))</f>
        <v>465.85201723964195</v>
      </c>
      <c r="BJ81" s="59">
        <f t="shared" si="92"/>
        <v>110.67325286443491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66.663271344304789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66.663271344304789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3.2</v>
      </c>
      <c r="BY81" s="12">
        <f>IF('Données projet'!$A$114&gt;35,BY80+BX81-CG80,IF(A81&lt;'Données projet'!$A$114,$BV$205^A81,IF(A81='Données projet'!$A$114,'Données projet'!$B$114,BY80+BX81-CG80)))</f>
        <v>201.59999999999994</v>
      </c>
      <c r="BZ81" s="13">
        <f>BY81*VLOOKUP('Données projet'!$B$12,Paramètres!$A$1:$I$89,3,0)*VLOOKUP('Données projet'!$B$12,Paramètres!$A$1:$I$89,5,0)</f>
        <v>176.11775999999998</v>
      </c>
      <c r="CA81" s="13">
        <f t="shared" si="93"/>
        <v>44.457366290237204</v>
      </c>
      <c r="CB81" s="20">
        <f t="shared" si="64"/>
        <v>384.16834495549637</v>
      </c>
      <c r="CC81" s="59">
        <f t="shared" si="65"/>
        <v>677.50167828882968</v>
      </c>
      <c r="CD81" s="59">
        <f ca="1">AVERAGE(OFFSET($CC$3,0,0,'Données projet'!$E$12+1,1))-AVERAGE(OFFSET($H$3,0,0,'Données projet'!$E$12+1,1))</f>
        <v>201.70120933876507</v>
      </c>
      <c r="CE81" s="59">
        <f t="shared" si="94"/>
        <v>188.1234063307752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39.456398767133244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39.456398767133244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2.4</v>
      </c>
      <c r="CT81" s="12">
        <f>IF('Données projet'!$A$140&gt;35,CT80+CS81-DB80,IF(A81&lt;'Données projet'!$A$140,$CQ$205^A81,IF(A81='Données projet'!$A$140,'Données projet'!$B$140,CT80+CS81-DB80)))</f>
        <v>214.20000000000002</v>
      </c>
      <c r="CU81" s="17">
        <f>CT81*VLOOKUP('Données projet'!$B$13,Paramètres!$A$1:$I$89,3,0)*VLOOKUP('Données projet'!$B$13,Paramètres!$A$1:$I$89,5,0)</f>
        <v>157.05144000000001</v>
      </c>
      <c r="CV81" s="13">
        <f t="shared" si="95"/>
        <v>40.176741230099708</v>
      </c>
      <c r="CW81" s="20">
        <f t="shared" si="67"/>
        <v>343.50574897575706</v>
      </c>
      <c r="CX81" s="59">
        <f t="shared" si="68"/>
        <v>636.83908230909037</v>
      </c>
      <c r="CY81" s="59">
        <f ca="1">AVERAGE(OFFSET($CX$3,0,0,'Données projet'!$E$13+1,1))-AVERAGE(OFFSET($H$3,0,0,'Données projet'!$E$13+1,1))</f>
        <v>141.13780344922503</v>
      </c>
      <c r="CZ81" s="59">
        <f t="shared" si="96"/>
        <v>144.12010599544237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23.898916930074364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23.898916930074364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148.39628895278571</v>
      </c>
      <c r="AO82" s="59">
        <f t="shared" si="90"/>
        <v>361.07991692964788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35.080675252834105</v>
      </c>
      <c r="AW82" s="21">
        <f>EXP(-LN(2)/2)*AW81+(1-EXP(-LN(2)/2))/(LN(2)/2)*AQ82*AT82*VLOOKUP('Données projet'!$B$10,Paramètres!$A$1:$I$89,3,0)*0.475*44/12</f>
        <v>1.8950068557355892E-9</v>
      </c>
      <c r="AX82" s="21">
        <f t="shared" si="60"/>
        <v>35.080675254729115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9.1529999999999969</v>
      </c>
      <c r="BD82" s="12">
        <f>IF('Données projet'!$A$88&gt;35,BD81+BC82-BL81,IF(A82&lt;'Données projet'!$A$88,$BA$205^A82,IF(A82='Données projet'!$A$88,'Données projet'!$B$88,BD81+BC82-BL81)))</f>
        <v>309.3250000000001</v>
      </c>
      <c r="BE82" s="13">
        <f>BD82*VLOOKUP('Données projet'!$B$11,Paramètres!$A$1:$I$89,3,0)*VLOOKUP('Données projet'!$B$11,Paramètres!$A$1:$I$89,5,0)</f>
        <v>279.87726000000009</v>
      </c>
      <c r="BF82" s="13">
        <f t="shared" si="91"/>
        <v>66.941069728889886</v>
      </c>
      <c r="BG82" s="20">
        <f t="shared" si="61"/>
        <v>604.04192427781663</v>
      </c>
      <c r="BH82" s="59">
        <f t="shared" si="62"/>
        <v>897.37525761114989</v>
      </c>
      <c r="BI82" s="59">
        <f ca="1">AVERAGE(OFFSET($BH$3,0,0,'Données projet'!$E$11+1,1))-AVERAGE(OFFSET($H$3,0,0,'Données projet'!$E$11+1,1))</f>
        <v>465.85201723964195</v>
      </c>
      <c r="BJ82" s="59">
        <f t="shared" si="92"/>
        <v>110.67325286443491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65.356045253823595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65.356045253823595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3.2</v>
      </c>
      <c r="BY82" s="12">
        <f>IF('Données projet'!$A$114&gt;35,BY81+BX82-CG81,IF(A82&lt;'Données projet'!$A$114,$BV$205^A82,IF(A82='Données projet'!$A$114,'Données projet'!$B$114,BY81+BX82-CG81)))</f>
        <v>204.79999999999993</v>
      </c>
      <c r="BZ82" s="13">
        <f>BY82*VLOOKUP('Données projet'!$B$12,Paramètres!$A$1:$I$89,3,0)*VLOOKUP('Données projet'!$B$12,Paramètres!$A$1:$I$89,5,0)</f>
        <v>178.91327999999996</v>
      </c>
      <c r="CA82" s="13">
        <f t="shared" si="93"/>
        <v>45.080325843494805</v>
      </c>
      <c r="CB82" s="20">
        <f t="shared" si="64"/>
        <v>390.12219684408677</v>
      </c>
      <c r="CC82" s="59">
        <f t="shared" si="65"/>
        <v>683.45553017742009</v>
      </c>
      <c r="CD82" s="59">
        <f ca="1">AVERAGE(OFFSET($CC$3,0,0,'Données projet'!$E$12+1,1))-AVERAGE(OFFSET($H$3,0,0,'Données projet'!$E$12+1,1))</f>
        <v>201.70120933876507</v>
      </c>
      <c r="CE82" s="59">
        <f t="shared" si="94"/>
        <v>188.1234063307752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38.682682853336686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38.682682853336686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2.4</v>
      </c>
      <c r="CT82" s="12">
        <f>IF('Données projet'!$A$140&gt;35,CT81+CS82-DB81,IF(A82&lt;'Données projet'!$A$140,$CQ$205^A82,IF(A82='Données projet'!$A$140,'Données projet'!$B$140,CT81+CS82-DB81)))</f>
        <v>216.60000000000002</v>
      </c>
      <c r="CU82" s="17">
        <f>CT82*VLOOKUP('Données projet'!$B$13,Paramètres!$A$1:$I$89,3,0)*VLOOKUP('Données projet'!$B$13,Paramètres!$A$1:$I$89,5,0)</f>
        <v>158.81112000000002</v>
      </c>
      <c r="CV82" s="13">
        <f t="shared" si="95"/>
        <v>40.57424391712447</v>
      </c>
      <c r="CW82" s="20">
        <f t="shared" si="67"/>
        <v>347.26284215565846</v>
      </c>
      <c r="CX82" s="59">
        <f t="shared" si="68"/>
        <v>640.59617548899178</v>
      </c>
      <c r="CY82" s="59">
        <f ca="1">AVERAGE(OFFSET($CX$3,0,0,'Données projet'!$E$13+1,1))-AVERAGE(OFFSET($H$3,0,0,'Données projet'!$E$13+1,1))</f>
        <v>141.13780344922503</v>
      </c>
      <c r="CZ82" s="59">
        <f t="shared" si="96"/>
        <v>144.12010599544237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23.430273745975583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23.430273745975583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148.39628895278571</v>
      </c>
      <c r="AO83" s="59">
        <f t="shared" si="90"/>
        <v>361.07991692964788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34.12139234323282</v>
      </c>
      <c r="AW83" s="21">
        <f>EXP(-LN(2)/2)*AW82+(1-EXP(-LN(2)/2))/(LN(2)/2)*AQ83*AT83*VLOOKUP('Données projet'!$B$10,Paramètres!$A$1:$I$89,3,0)*0.475*44/12</f>
        <v>1.3399721980856327E-9</v>
      </c>
      <c r="AX83" s="21">
        <f t="shared" si="60"/>
        <v>34.12139234457279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9.1529999999999969</v>
      </c>
      <c r="BD83" s="12">
        <f>IF('Données projet'!$A$88&gt;35,BD82+BC83-BL82,IF(A83&lt;'Données projet'!$A$88,$BA$205^A83,IF(A83='Données projet'!$A$88,'Données projet'!$B$88,BD82+BC83-BL82)))</f>
        <v>318.47800000000012</v>
      </c>
      <c r="BE83" s="13">
        <f>BD83*VLOOKUP('Données projet'!$B$11,Paramètres!$A$1:$I$89,3,0)*VLOOKUP('Données projet'!$B$11,Paramètres!$A$1:$I$89,5,0)</f>
        <v>288.15889440000012</v>
      </c>
      <c r="BF83" s="13">
        <f t="shared" si="91"/>
        <v>68.688324976195204</v>
      </c>
      <c r="BG83" s="20">
        <f t="shared" si="61"/>
        <v>621.50890708020677</v>
      </c>
      <c r="BH83" s="59">
        <f t="shared" si="62"/>
        <v>914.84224041354014</v>
      </c>
      <c r="BI83" s="59">
        <f ca="1">AVERAGE(OFFSET($BH$3,0,0,'Données projet'!$E$11+1,1))-AVERAGE(OFFSET($H$3,0,0,'Données projet'!$E$11+1,1))</f>
        <v>465.85201723964195</v>
      </c>
      <c r="BJ83" s="59">
        <f t="shared" si="92"/>
        <v>110.67325286443491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64.074453069647546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64.074453069647546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208</v>
      </c>
      <c r="BW83" s="12">
        <f>VLOOKUP(A83,'Données projet'!$A$113:$I$133,9,0)</f>
        <v>3.2</v>
      </c>
      <c r="BX83" s="12">
        <f t="array" ref="BX83">INDEX(BW:BW,MIN(IF(ISNUMBER(BW83:BW279),ROW(BW83:BW279),"")))</f>
        <v>3.2</v>
      </c>
      <c r="BY83" s="12">
        <f>IF('Données projet'!$A$114&gt;35,BY82+BX83-CG82,IF(A83&lt;'Données projet'!$A$114,$BV$205^A83,IF(A83='Données projet'!$A$114,'Données projet'!$B$114,BY82+BX83-CG82)))</f>
        <v>207.99999999999991</v>
      </c>
      <c r="BZ83" s="13">
        <f>BY83*VLOOKUP('Données projet'!$B$12,Paramètres!$A$1:$I$89,3,0)*VLOOKUP('Données projet'!$B$12,Paramètres!$A$1:$I$89,5,0)</f>
        <v>181.70879999999994</v>
      </c>
      <c r="CA83" s="13">
        <f t="shared" si="93"/>
        <v>45.702153370067769</v>
      </c>
      <c r="CB83" s="20">
        <f t="shared" si="64"/>
        <v>396.07407711953459</v>
      </c>
      <c r="CC83" s="59">
        <f t="shared" si="65"/>
        <v>689.40741045286791</v>
      </c>
      <c r="CD83" s="59">
        <f ca="1">AVERAGE(OFFSET($CC$3,0,0,'Données projet'!$E$12+1,1))-AVERAGE(OFFSET($H$3,0,0,'Données projet'!$E$12+1,1))</f>
        <v>201.70120933876507</v>
      </c>
      <c r="CE83" s="59">
        <f t="shared" si="94"/>
        <v>188.1234063307752</v>
      </c>
      <c r="CF83" s="15">
        <f>IF(ISNA(VLOOKUP(A83,'Données projet'!$A$113:$I$133,3,0)),0,VLOOKUP(A83,'Données projet'!$A$113:$I$133,3,0))</f>
        <v>13</v>
      </c>
      <c r="CG83" s="15">
        <f>IF(ISNA(VLOOKUP(A83,'Données projet'!$A$113:$I$133,4,0)),0,VLOOKUP(A83,'Données projet'!$A$113:$I$133,4,0))</f>
        <v>11</v>
      </c>
      <c r="CH83" s="16">
        <f>IF(ISNA(VLOOKUP(A83,'Données projet'!$A$113:$I$133,5,0)),0%,VLOOKUP(A83,'Données projet'!$A$113:$I$133,5,0)*VLOOKUP('Données projet'!$B$12,Paramètres!$A$1:$I$89,7,0))</f>
        <v>0.43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42.492084145128302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42.492084145128302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219</v>
      </c>
      <c r="CR83" s="12">
        <f>VLOOKUP(A83,'Données projet'!$A$139:$I$159,9,0)</f>
        <v>2.4</v>
      </c>
      <c r="CS83" s="12">
        <f t="array" ref="CS83">INDEX(CR:CR,MIN(IF(ISNUMBER(CR83:CR279),ROW(CR83:CR279),"")))</f>
        <v>2.4</v>
      </c>
      <c r="CT83" s="12">
        <f>IF('Données projet'!$A$140&gt;35,CT82+CS83-DB82,IF(A83&lt;'Données projet'!$A$140,$CQ$205^A83,IF(A83='Données projet'!$A$140,'Données projet'!$B$140,CT82+CS83-DB82)))</f>
        <v>219.00000000000003</v>
      </c>
      <c r="CU83" s="17">
        <f>CT83*VLOOKUP('Données projet'!$B$13,Paramètres!$A$1:$I$89,3,0)*VLOOKUP('Données projet'!$B$13,Paramètres!$A$1:$I$89,5,0)</f>
        <v>160.57080000000002</v>
      </c>
      <c r="CV83" s="13">
        <f t="shared" si="95"/>
        <v>40.971234244168215</v>
      </c>
      <c r="CW83" s="20">
        <f t="shared" si="67"/>
        <v>351.01904297525965</v>
      </c>
      <c r="CX83" s="59">
        <f t="shared" si="68"/>
        <v>644.35237630859297</v>
      </c>
      <c r="CY83" s="59">
        <f ca="1">AVERAGE(OFFSET($CX$3,0,0,'Données projet'!$E$13+1,1))-AVERAGE(OFFSET($H$3,0,0,'Données projet'!$E$13+1,1))</f>
        <v>141.13780344922503</v>
      </c>
      <c r="CZ83" s="59">
        <f t="shared" si="96"/>
        <v>144.12010599544237</v>
      </c>
      <c r="DA83" s="15">
        <f>IF(ISNA(VLOOKUP(A83,'Données projet'!$A$139:$I$159,3,0)),0,VLOOKUP(A83,'Données projet'!$A$139:$I$159,3,0))</f>
        <v>13</v>
      </c>
      <c r="DB83" s="15">
        <f>IF(ISNA(VLOOKUP(A83,'Données projet'!$A$139:$I$159,4,0)),0,VLOOKUP(A83,'Données projet'!$A$139:$I$159,4,0))</f>
        <v>6</v>
      </c>
      <c r="DC83" s="16">
        <f>IF(ISNA(VLOOKUP(A83,'Données projet'!$A$139:$I$159,5,0)),0%,VLOOKUP(A83,'Données projet'!$A$139:$I$159,5,0)*VLOOKUP('Données projet'!$B$13,Paramètres!$A$1:$I$89,7,0))</f>
        <v>0.43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25.061990045138643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25.061990045138643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148.39628895278571</v>
      </c>
      <c r="AO84" s="59">
        <f t="shared" si="90"/>
        <v>361.07991692964788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33.188341075241084</v>
      </c>
      <c r="AW84" s="21">
        <f>EXP(-LN(2)/2)*AW83+(1-EXP(-LN(2)/2))/(LN(2)/2)*AQ84*AT84*VLOOKUP('Données projet'!$B$10,Paramètres!$A$1:$I$89,3,0)*0.475*44/12</f>
        <v>9.4750342786779459E-10</v>
      </c>
      <c r="AX84" s="21">
        <f t="shared" si="60"/>
        <v>33.188341076188586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9.1529999999999969</v>
      </c>
      <c r="BD84" s="12">
        <f>IF('Données projet'!$A$88&gt;35,BD83+BC84-BL83,IF(A84&lt;'Données projet'!$A$88,$BA$205^A84,IF(A84='Données projet'!$A$88,'Données projet'!$B$88,BD83+BC84-BL83)))</f>
        <v>327.63100000000014</v>
      </c>
      <c r="BE84" s="13">
        <f>BD84*VLOOKUP('Données projet'!$B$11,Paramètres!$A$1:$I$89,3,0)*VLOOKUP('Données projet'!$B$11,Paramètres!$A$1:$I$89,5,0)</f>
        <v>296.4405288000001</v>
      </c>
      <c r="BF84" s="13">
        <f t="shared" si="91"/>
        <v>70.42974402153277</v>
      </c>
      <c r="BG84" s="20">
        <f t="shared" si="61"/>
        <v>638.96572516416973</v>
      </c>
      <c r="BH84" s="59">
        <f t="shared" si="62"/>
        <v>932.29905849750298</v>
      </c>
      <c r="BI84" s="59">
        <f ca="1">AVERAGE(OFFSET($BH$3,0,0,'Données projet'!$E$11+1,1))-AVERAGE(OFFSET($H$3,0,0,'Données projet'!$E$11+1,1))</f>
        <v>465.85201723964195</v>
      </c>
      <c r="BJ84" s="59">
        <f t="shared" si="92"/>
        <v>110.67325286443491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62.817992126509147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62.817992126509147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2.8</v>
      </c>
      <c r="BY84" s="12">
        <f>IF('Données projet'!$A$114&gt;35,BY83+BX84-CG83,IF(A84&lt;'Données projet'!$A$114,$BV$205^A84,IF(A84='Données projet'!$A$114,'Données projet'!$B$114,BY83+BX84-CG83)))</f>
        <v>199.79999999999993</v>
      </c>
      <c r="BZ84" s="13">
        <f>BY84*VLOOKUP('Données projet'!$B$12,Paramètres!$A$1:$I$89,3,0)*VLOOKUP('Données projet'!$B$12,Paramètres!$A$1:$I$89,5,0)</f>
        <v>174.54527999999993</v>
      </c>
      <c r="CA84" s="13">
        <f t="shared" si="93"/>
        <v>44.106446559111959</v>
      </c>
      <c r="CB84" s="20">
        <f t="shared" si="64"/>
        <v>380.81842375711989</v>
      </c>
      <c r="CC84" s="59">
        <f t="shared" si="65"/>
        <v>674.1517570904532</v>
      </c>
      <c r="CD84" s="59">
        <f ca="1">AVERAGE(OFFSET($CC$3,0,0,'Données projet'!$E$12+1,1))-AVERAGE(OFFSET($H$3,0,0,'Données projet'!$E$12+1,1))</f>
        <v>201.70120933876507</v>
      </c>
      <c r="CE84" s="59">
        <f t="shared" si="94"/>
        <v>188.1234063307752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41.65884029265451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41.65884029265451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213.00000000000003</v>
      </c>
      <c r="CU84" s="17">
        <f>CT84*VLOOKUP('Données projet'!$B$13,Paramètres!$A$1:$I$89,3,0)*VLOOKUP('Données projet'!$B$13,Paramètres!$A$1:$I$89,5,0)</f>
        <v>156.17160000000004</v>
      </c>
      <c r="CV84" s="13">
        <f t="shared" si="95"/>
        <v>39.977795753356993</v>
      </c>
      <c r="CW84" s="20">
        <f t="shared" si="67"/>
        <v>341.62686427043013</v>
      </c>
      <c r="CX84" s="59">
        <f t="shared" si="68"/>
        <v>634.96019760376339</v>
      </c>
      <c r="CY84" s="59">
        <f ca="1">AVERAGE(OFFSET($CX$3,0,0,'Données projet'!$E$13+1,1))-AVERAGE(OFFSET($H$3,0,0,'Données projet'!$E$13+1,1))</f>
        <v>141.13780344922503</v>
      </c>
      <c r="CZ84" s="59">
        <f t="shared" si="96"/>
        <v>144.12010599544237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24.570539706658003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24.570539706658003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148.39628895278571</v>
      </c>
      <c r="AO85" s="59">
        <f t="shared" si="90"/>
        <v>361.07991692964788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32.280804143239614</v>
      </c>
      <c r="AW85" s="21">
        <f>EXP(-LN(2)/2)*AW84+(1-EXP(-LN(2)/2))/(LN(2)/2)*AQ85*AT85*VLOOKUP('Données projet'!$B$10,Paramètres!$A$1:$I$89,3,0)*0.475*44/12</f>
        <v>6.6998609904281635E-10</v>
      </c>
      <c r="AX85" s="21">
        <f t="shared" si="60"/>
        <v>32.280804143909599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9.1529999999999969</v>
      </c>
      <c r="BD85" s="12">
        <f>IF('Données projet'!$A$88&gt;35,BD84+BC85-BL84,IF(A85&lt;'Données projet'!$A$88,$BA$205^A85,IF(A85='Données projet'!$A$88,'Données projet'!$B$88,BD84+BC85-BL84)))</f>
        <v>336.78400000000016</v>
      </c>
      <c r="BE85" s="13">
        <f>BD85*VLOOKUP('Données projet'!$B$11,Paramètres!$A$1:$I$89,3,0)*VLOOKUP('Données projet'!$B$11,Paramètres!$A$1:$I$89,5,0)</f>
        <v>304.72216320000013</v>
      </c>
      <c r="BF85" s="13">
        <f t="shared" si="91"/>
        <v>72.165508641151035</v>
      </c>
      <c r="BG85" s="20">
        <f t="shared" si="61"/>
        <v>656.41269512333827</v>
      </c>
      <c r="BH85" s="59">
        <f t="shared" si="62"/>
        <v>949.74602845667164</v>
      </c>
      <c r="BI85" s="59">
        <f ca="1">AVERAGE(OFFSET($BH$3,0,0,'Données projet'!$E$11+1,1))-AVERAGE(OFFSET($H$3,0,0,'Données projet'!$E$11+1,1))</f>
        <v>465.85201723964195</v>
      </c>
      <c r="BJ85" s="59">
        <f t="shared" si="92"/>
        <v>110.67325286443491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61.586169616100186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61.586169616100186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2.8</v>
      </c>
      <c r="BY85" s="12">
        <f>IF('Données projet'!$A$114&gt;35,BY84+BX85-CG84,IF(A85&lt;'Données projet'!$A$114,$BV$205^A85,IF(A85='Données projet'!$A$114,'Données projet'!$B$114,BY84+BX85-CG84)))</f>
        <v>202.59999999999994</v>
      </c>
      <c r="BZ85" s="13">
        <f>BY85*VLOOKUP('Données projet'!$B$12,Paramètres!$A$1:$I$89,3,0)*VLOOKUP('Données projet'!$B$12,Paramètres!$A$1:$I$89,5,0)</f>
        <v>176.99135999999996</v>
      </c>
      <c r="CA85" s="13">
        <f t="shared" si="93"/>
        <v>44.65216395512175</v>
      </c>
      <c r="CB85" s="20">
        <f t="shared" si="64"/>
        <v>386.02913755517028</v>
      </c>
      <c r="CC85" s="59">
        <f t="shared" si="65"/>
        <v>679.36247088850359</v>
      </c>
      <c r="CD85" s="59">
        <f ca="1">AVERAGE(OFFSET($CC$3,0,0,'Données projet'!$E$12+1,1))-AVERAGE(OFFSET($H$3,0,0,'Données projet'!$E$12+1,1))</f>
        <v>201.70120933876507</v>
      </c>
      <c r="CE85" s="59">
        <f t="shared" si="94"/>
        <v>188.1234063307752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40.841935843899165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40.841935843899165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213.00000000000003</v>
      </c>
      <c r="CU85" s="17">
        <f>CT85*VLOOKUP('Données projet'!$B$13,Paramètres!$A$1:$I$89,3,0)*VLOOKUP('Données projet'!$B$13,Paramètres!$A$1:$I$89,5,0)</f>
        <v>156.17160000000004</v>
      </c>
      <c r="CV85" s="13">
        <f t="shared" si="95"/>
        <v>39.977795753356993</v>
      </c>
      <c r="CW85" s="20">
        <f t="shared" si="67"/>
        <v>341.62686427043013</v>
      </c>
      <c r="CX85" s="59">
        <f t="shared" si="68"/>
        <v>634.96019760376339</v>
      </c>
      <c r="CY85" s="59">
        <f ca="1">AVERAGE(OFFSET($CX$3,0,0,'Données projet'!$E$13+1,1))-AVERAGE(OFFSET($H$3,0,0,'Données projet'!$E$13+1,1))</f>
        <v>141.13780344922503</v>
      </c>
      <c r="CZ85" s="59">
        <f t="shared" si="96"/>
        <v>144.12010599544237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24.088726409559861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24.088726409559861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148.39628895278571</v>
      </c>
      <c r="AO86" s="59">
        <f t="shared" si="90"/>
        <v>361.07991692964788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31.398083856369016</v>
      </c>
      <c r="AW86" s="21">
        <f>EXP(-LN(2)/2)*AW85+(1-EXP(-LN(2)/2))/(LN(2)/2)*AQ86*AT86*VLOOKUP('Données projet'!$B$10,Paramètres!$A$1:$I$89,3,0)*0.475*44/12</f>
        <v>4.737517139338973E-10</v>
      </c>
      <c r="AX86" s="21">
        <f t="shared" si="60"/>
        <v>31.398083856842767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9.1529999999999969</v>
      </c>
      <c r="BD86" s="12">
        <f>IF('Données projet'!$A$88&gt;35,BD85+BC86-BL85,IF(A86&lt;'Données projet'!$A$88,$BA$205^A86,IF(A86='Données projet'!$A$88,'Données projet'!$B$88,BD85+BC86-BL85)))</f>
        <v>345.93700000000018</v>
      </c>
      <c r="BE86" s="13">
        <f>BD86*VLOOKUP('Données projet'!$B$11,Paramètres!$A$1:$I$89,3,0)*VLOOKUP('Données projet'!$B$11,Paramètres!$A$1:$I$89,5,0)</f>
        <v>313.00379760000015</v>
      </c>
      <c r="BF86" s="13">
        <f t="shared" si="91"/>
        <v>73.895790168384082</v>
      </c>
      <c r="BG86" s="20">
        <f t="shared" si="61"/>
        <v>673.85011536326908</v>
      </c>
      <c r="BH86" s="59">
        <f t="shared" si="62"/>
        <v>967.18344869660245</v>
      </c>
      <c r="BI86" s="59">
        <f ca="1">AVERAGE(OFFSET($BH$3,0,0,'Données projet'!$E$11+1,1))-AVERAGE(OFFSET($H$3,0,0,'Données projet'!$E$11+1,1))</f>
        <v>465.85201723964195</v>
      </c>
      <c r="BJ86" s="59">
        <f t="shared" si="92"/>
        <v>110.67325286443491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60.378502393782803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60.378502393782803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2.8</v>
      </c>
      <c r="BY86" s="12">
        <f>IF('Données projet'!$A$114&gt;35,BY85+BX86-CG85,IF(A86&lt;'Données projet'!$A$114,$BV$205^A86,IF(A86='Données projet'!$A$114,'Données projet'!$B$114,BY85+BX86-CG85)))</f>
        <v>205.39999999999995</v>
      </c>
      <c r="BZ86" s="13">
        <f>BY86*VLOOKUP('Données projet'!$B$12,Paramètres!$A$1:$I$89,3,0)*VLOOKUP('Données projet'!$B$12,Paramètres!$A$1:$I$89,5,0)</f>
        <v>179.43743999999998</v>
      </c>
      <c r="CA86" s="13">
        <f t="shared" si="93"/>
        <v>45.197004138831623</v>
      </c>
      <c r="CB86" s="20">
        <f t="shared" si="64"/>
        <v>391.23832354179837</v>
      </c>
      <c r="CC86" s="59">
        <f t="shared" si="65"/>
        <v>684.57165687513168</v>
      </c>
      <c r="CD86" s="59">
        <f ca="1">AVERAGE(OFFSET($CC$3,0,0,'Données projet'!$E$12+1,1))-AVERAGE(OFFSET($H$3,0,0,'Données projet'!$E$12+1,1))</f>
        <v>201.70120933876507</v>
      </c>
      <c r="CE86" s="59">
        <f t="shared" si="94"/>
        <v>188.1234063307752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40.041050393121395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40.041050393121395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213.00000000000003</v>
      </c>
      <c r="CU86" s="17">
        <f>CT86*VLOOKUP('Données projet'!$B$13,Paramètres!$A$1:$I$89,3,0)*VLOOKUP('Données projet'!$B$13,Paramètres!$A$1:$I$89,5,0)</f>
        <v>156.17160000000004</v>
      </c>
      <c r="CV86" s="13">
        <f t="shared" si="95"/>
        <v>39.977795753356993</v>
      </c>
      <c r="CW86" s="20">
        <f t="shared" si="67"/>
        <v>341.62686427043013</v>
      </c>
      <c r="CX86" s="59">
        <f t="shared" si="68"/>
        <v>634.96019760376339</v>
      </c>
      <c r="CY86" s="59">
        <f ca="1">AVERAGE(OFFSET($CX$3,0,0,'Données projet'!$E$13+1,1))-AVERAGE(OFFSET($H$3,0,0,'Données projet'!$E$13+1,1))</f>
        <v>141.13780344922503</v>
      </c>
      <c r="CZ86" s="59">
        <f t="shared" si="96"/>
        <v>144.12010599544237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23.616361177340721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23.616361177340721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148.39628895278571</v>
      </c>
      <c r="AO87" s="59">
        <f t="shared" si="90"/>
        <v>361.07991692964788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30.539501602163138</v>
      </c>
      <c r="AW87" s="21">
        <f>EXP(-LN(2)/2)*AW86+(1-EXP(-LN(2)/2))/(LN(2)/2)*AQ87*AT87*VLOOKUP('Données projet'!$B$10,Paramètres!$A$1:$I$89,3,0)*0.475*44/12</f>
        <v>3.3499304952140817E-10</v>
      </c>
      <c r="AX87" s="21">
        <f t="shared" si="60"/>
        <v>30.539501602498131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355.09</v>
      </c>
      <c r="BB87" s="12">
        <f>VLOOKUP(A87,'Données projet'!$A$87:$I$107,9,0)</f>
        <v>9.1529999999999969</v>
      </c>
      <c r="BC87" s="12">
        <f t="array" ref="BC87">INDEX(BB:BB,MIN(IF(ISNUMBER(BB87:BB283),ROW(BB87:BB283),"")))</f>
        <v>9.1529999999999969</v>
      </c>
      <c r="BD87" s="12">
        <f>IF('Données projet'!$A$88&gt;35,BD86+BC87-BL86,IF(A87&lt;'Données projet'!$A$88,$BA$205^A87,IF(A87='Données projet'!$A$88,'Données projet'!$B$88,BD86+BC87-BL86)))</f>
        <v>355.0900000000002</v>
      </c>
      <c r="BE87" s="13">
        <f>BD87*VLOOKUP('Données projet'!$B$11,Paramètres!$A$1:$I$89,3,0)*VLOOKUP('Données projet'!$B$11,Paramètres!$A$1:$I$89,5,0)</f>
        <v>321.28543200000013</v>
      </c>
      <c r="BF87" s="13">
        <f t="shared" si="91"/>
        <v>75.620750353808873</v>
      </c>
      <c r="BG87" s="20">
        <f t="shared" si="61"/>
        <v>691.27826759955076</v>
      </c>
      <c r="BH87" s="59">
        <f t="shared" si="62"/>
        <v>984.61160093288413</v>
      </c>
      <c r="BI87" s="59">
        <f ca="1">AVERAGE(OFFSET($BH$3,0,0,'Données projet'!$E$11+1,1))-AVERAGE(OFFSET($H$3,0,0,'Données projet'!$E$11+1,1))</f>
        <v>465.85201723964195</v>
      </c>
      <c r="BJ87" s="59">
        <f t="shared" si="92"/>
        <v>110.67325286443491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61.47</v>
      </c>
      <c r="BM87" s="16">
        <f>IF(ISNA(VLOOKUP(A87,'Données projet'!$A$87:$I$107,5,0)),0%,VLOOKUP(A87,'Données projet'!$A$87:$I$107,5,0)*VLOOKUP('Données projet'!$B$11,Paramètres!$A$1:$I$89,7,0))</f>
        <v>0.43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85.632685583428881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85.632685583428881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2.8</v>
      </c>
      <c r="BY87" s="12">
        <f>IF('Données projet'!$A$114&gt;35,BY86+BX87-CG86,IF(A87&lt;'Données projet'!$A$114,$BV$205^A87,IF(A87='Données projet'!$A$114,'Données projet'!$B$114,BY86+BX87-CG86)))</f>
        <v>208.19999999999996</v>
      </c>
      <c r="BZ87" s="13">
        <f>BY87*VLOOKUP('Données projet'!$B$12,Paramètres!$A$1:$I$89,3,0)*VLOOKUP('Données projet'!$B$12,Paramètres!$A$1:$I$89,5,0)</f>
        <v>181.88351999999998</v>
      </c>
      <c r="CA87" s="13">
        <f t="shared" si="93"/>
        <v>45.740980450513447</v>
      </c>
      <c r="CB87" s="20">
        <f t="shared" si="64"/>
        <v>396.4460049513109</v>
      </c>
      <c r="CC87" s="59">
        <f t="shared" si="65"/>
        <v>689.77933828464415</v>
      </c>
      <c r="CD87" s="59">
        <f ca="1">AVERAGE(OFFSET($CC$3,0,0,'Données projet'!$E$12+1,1))-AVERAGE(OFFSET($H$3,0,0,'Données projet'!$E$12+1,1))</f>
        <v>201.70120933876507</v>
      </c>
      <c r="CE87" s="59">
        <f t="shared" si="94"/>
        <v>188.1234063307752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39.255869817541488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39.255869817541488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213.00000000000003</v>
      </c>
      <c r="CU87" s="17">
        <f>CT87*VLOOKUP('Données projet'!$B$13,Paramètres!$A$1:$I$89,3,0)*VLOOKUP('Données projet'!$B$13,Paramètres!$A$1:$I$89,5,0)</f>
        <v>156.17160000000004</v>
      </c>
      <c r="CV87" s="13">
        <f t="shared" si="95"/>
        <v>39.977795753356993</v>
      </c>
      <c r="CW87" s="20">
        <f t="shared" si="67"/>
        <v>341.62686427043013</v>
      </c>
      <c r="CX87" s="59">
        <f t="shared" si="68"/>
        <v>634.96019760376339</v>
      </c>
      <c r="CY87" s="59">
        <f ca="1">AVERAGE(OFFSET($CX$3,0,0,'Données projet'!$E$13+1,1))-AVERAGE(OFFSET($H$3,0,0,'Données projet'!$E$13+1,1))</f>
        <v>141.13780344922503</v>
      </c>
      <c r="CZ87" s="59">
        <f t="shared" si="96"/>
        <v>144.12010599544237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23.153258739211054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23.153258739211054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148.39628895278571</v>
      </c>
      <c r="AO88" s="59">
        <f t="shared" si="90"/>
        <v>361.07991692964788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29.704397324849396</v>
      </c>
      <c r="AW88" s="21">
        <f>EXP(-LN(2)/2)*AW87+(1-EXP(-LN(2)/2))/(LN(2)/2)*AQ88*AT88*VLOOKUP('Données projet'!$B$10,Paramètres!$A$1:$I$89,3,0)*0.475*44/12</f>
        <v>2.3687585696694865E-10</v>
      </c>
      <c r="AX88" s="21">
        <f t="shared" si="60"/>
        <v>29.704397325086273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8.6509999999999998</v>
      </c>
      <c r="BD88" s="12">
        <f>IF('Données projet'!$A$88&gt;35,BD87+BC88-BL87,IF(A88&lt;'Données projet'!$A$88,$BA$205^A88,IF(A88='Données projet'!$A$88,'Données projet'!$B$88,BD87+BC88-BL87)))</f>
        <v>302.27100000000019</v>
      </c>
      <c r="BE88" s="13">
        <f>BD88*VLOOKUP('Données projet'!$B$11,Paramètres!$A$1:$I$89,3,0)*VLOOKUP('Données projet'!$B$11,Paramètres!$A$1:$I$89,5,0)</f>
        <v>273.49480080000018</v>
      </c>
      <c r="BF88" s="13">
        <f t="shared" si="91"/>
        <v>65.590398164586517</v>
      </c>
      <c r="BG88" s="20">
        <f t="shared" si="61"/>
        <v>590.57338819665517</v>
      </c>
      <c r="BH88" s="59">
        <f t="shared" si="62"/>
        <v>883.90672152998854</v>
      </c>
      <c r="BI88" s="59">
        <f ca="1">AVERAGE(OFFSET($BH$3,0,0,'Données projet'!$E$11+1,1))-AVERAGE(OFFSET($H$3,0,0,'Données projet'!$E$11+1,1))</f>
        <v>465.85201723964195</v>
      </c>
      <c r="BJ88" s="59">
        <f t="shared" si="92"/>
        <v>110.67325286443491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83.953480849918691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83.953480849918691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211</v>
      </c>
      <c r="BW88" s="12">
        <f>VLOOKUP(A88,'Données projet'!$A$113:$I$133,9,0)</f>
        <v>2.8</v>
      </c>
      <c r="BX88" s="12">
        <f t="array" ref="BX88">INDEX(BW:BW,MIN(IF(ISNUMBER(BW88:BW284),ROW(BW88:BW284),"")))</f>
        <v>2.8</v>
      </c>
      <c r="BY88" s="12">
        <f>IF('Données projet'!$A$114&gt;35,BY87+BX88-CG87,IF(A88&lt;'Données projet'!$A$114,$BV$205^A88,IF(A88='Données projet'!$A$114,'Données projet'!$B$114,BY87+BX88-CG87)))</f>
        <v>210.99999999999997</v>
      </c>
      <c r="BZ88" s="13">
        <f>BY88*VLOOKUP('Données projet'!$B$12,Paramètres!$A$1:$I$89,3,0)*VLOOKUP('Données projet'!$B$12,Paramètres!$A$1:$I$89,5,0)</f>
        <v>184.3296</v>
      </c>
      <c r="CA88" s="13">
        <f t="shared" si="93"/>
        <v>46.284105851003062</v>
      </c>
      <c r="CB88" s="20">
        <f t="shared" si="64"/>
        <v>401.65220435716361</v>
      </c>
      <c r="CC88" s="59">
        <f t="shared" si="65"/>
        <v>694.98553769049693</v>
      </c>
      <c r="CD88" s="59">
        <f ca="1">AVERAGE(OFFSET($CC$3,0,0,'Données projet'!$E$12+1,1))-AVERAGE(OFFSET($H$3,0,0,'Données projet'!$E$12+1,1))</f>
        <v>201.70120933876507</v>
      </c>
      <c r="CE88" s="59">
        <f t="shared" si="94"/>
        <v>188.1234063307752</v>
      </c>
      <c r="CF88" s="15">
        <f>IF(ISNA(VLOOKUP(A88,'Données projet'!$A$113:$I$133,3,0)),0,VLOOKUP(A88,'Données projet'!$A$113:$I$133,3,0))</f>
        <v>14</v>
      </c>
      <c r="CG88" s="15">
        <f>IF(ISNA(VLOOKUP(A88,'Données projet'!$A$113:$I$133,4,0)),0,VLOOKUP(A88,'Données projet'!$A$113:$I$133,4,0))</f>
        <v>10</v>
      </c>
      <c r="CH88" s="16">
        <f>IF(ISNA(VLOOKUP(A88,'Données projet'!$A$113:$I$133,5,0)),0%,VLOOKUP(A88,'Données projet'!$A$113:$I$133,5,0)*VLOOKUP('Données projet'!$B$12,Paramètres!$A$1:$I$89,7,0))</f>
        <v>0.43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42.638763525443778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42.638763525443778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213.00000000000003</v>
      </c>
      <c r="CU88" s="17">
        <f>CT88*VLOOKUP('Données projet'!$B$13,Paramètres!$A$1:$I$89,3,0)*VLOOKUP('Données projet'!$B$13,Paramètres!$A$1:$I$89,5,0)</f>
        <v>156.17160000000004</v>
      </c>
      <c r="CV88" s="13">
        <f t="shared" si="95"/>
        <v>39.977795753356993</v>
      </c>
      <c r="CW88" s="20">
        <f t="shared" si="67"/>
        <v>341.62686427043013</v>
      </c>
      <c r="CX88" s="59">
        <f t="shared" si="68"/>
        <v>634.96019760376339</v>
      </c>
      <c r="CY88" s="59">
        <f ca="1">AVERAGE(OFFSET($CX$3,0,0,'Données projet'!$E$13+1,1))-AVERAGE(OFFSET($H$3,0,0,'Données projet'!$E$13+1,1))</f>
        <v>141.13780344922503</v>
      </c>
      <c r="CZ88" s="59">
        <f t="shared" si="96"/>
        <v>144.12010599544237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22.699237457428517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22.699237457428517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148.39628895278571</v>
      </c>
      <c r="AO89" s="59">
        <f t="shared" si="90"/>
        <v>361.07991692964788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28.892129017915025</v>
      </c>
      <c r="AW89" s="21">
        <f>EXP(-LN(2)/2)*AW88+(1-EXP(-LN(2)/2))/(LN(2)/2)*AQ89*AT89*VLOOKUP('Données projet'!$B$10,Paramètres!$A$1:$I$89,3,0)*0.475*44/12</f>
        <v>1.6749652476070409E-10</v>
      </c>
      <c r="AX89" s="21">
        <f t="shared" si="60"/>
        <v>28.892129018082521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8.6509999999999998</v>
      </c>
      <c r="BD89" s="12">
        <f>IF('Données projet'!$A$88&gt;35,BD88+BC89-BL88,IF(A89&lt;'Données projet'!$A$88,$BA$205^A89,IF(A89='Données projet'!$A$88,'Données projet'!$B$88,BD88+BC89-BL88)))</f>
        <v>310.9220000000002</v>
      </c>
      <c r="BE89" s="13">
        <f>BD89*VLOOKUP('Données projet'!$B$11,Paramètres!$A$1:$I$89,3,0)*VLOOKUP('Données projet'!$B$11,Paramètres!$A$1:$I$89,5,0)</f>
        <v>281.32222560000019</v>
      </c>
      <c r="BF89" s="13">
        <f t="shared" si="91"/>
        <v>67.246356499189531</v>
      </c>
      <c r="BG89" s="20">
        <f t="shared" si="61"/>
        <v>607.09028048942207</v>
      </c>
      <c r="BH89" s="59">
        <f t="shared" si="62"/>
        <v>900.42361382275544</v>
      </c>
      <c r="BI89" s="59">
        <f ca="1">AVERAGE(OFFSET($BH$3,0,0,'Données projet'!$E$11+1,1))-AVERAGE(OFFSET($H$3,0,0,'Données projet'!$E$11+1,1))</f>
        <v>465.85201723964195</v>
      </c>
      <c r="BJ89" s="59">
        <f t="shared" si="92"/>
        <v>110.67325286443491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82.30720429701887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82.30720429701887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2.8</v>
      </c>
      <c r="BY89" s="12">
        <f>IF('Données projet'!$A$114&gt;35,BY88+BX89-CG88,IF(A89&lt;'Données projet'!$A$114,$BV$205^A89,IF(A89='Données projet'!$A$114,'Données projet'!$B$114,BY88+BX89-CG88)))</f>
        <v>203.79999999999998</v>
      </c>
      <c r="BZ89" s="13">
        <f>BY89*VLOOKUP('Données projet'!$B$12,Paramètres!$A$1:$I$89,3,0)*VLOOKUP('Données projet'!$B$12,Paramètres!$A$1:$I$89,5,0)</f>
        <v>178.03968</v>
      </c>
      <c r="CA89" s="13">
        <f t="shared" si="93"/>
        <v>44.885773518007284</v>
      </c>
      <c r="CB89" s="20">
        <f t="shared" si="64"/>
        <v>388.26183154386268</v>
      </c>
      <c r="CC89" s="59">
        <f t="shared" si="65"/>
        <v>681.595164877196</v>
      </c>
      <c r="CD89" s="59">
        <f ca="1">AVERAGE(OFFSET($CC$3,0,0,'Données projet'!$E$12+1,1))-AVERAGE(OFFSET($H$3,0,0,'Données projet'!$E$12+1,1))</f>
        <v>201.70120933876507</v>
      </c>
      <c r="CE89" s="59">
        <f t="shared" si="94"/>
        <v>188.1234063307752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41.80264337978759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41.80264337978759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213.00000000000003</v>
      </c>
      <c r="CU89" s="17">
        <f>CT89*VLOOKUP('Données projet'!$B$13,Paramètres!$A$1:$I$89,3,0)*VLOOKUP('Données projet'!$B$13,Paramètres!$A$1:$I$89,5,0)</f>
        <v>156.17160000000004</v>
      </c>
      <c r="CV89" s="13">
        <f t="shared" si="95"/>
        <v>39.977795753356993</v>
      </c>
      <c r="CW89" s="20">
        <f t="shared" si="67"/>
        <v>341.62686427043013</v>
      </c>
      <c r="CX89" s="59">
        <f t="shared" si="68"/>
        <v>634.96019760376339</v>
      </c>
      <c r="CY89" s="59">
        <f ca="1">AVERAGE(OFFSET($CX$3,0,0,'Données projet'!$E$13+1,1))-AVERAGE(OFFSET($H$3,0,0,'Données projet'!$E$13+1,1))</f>
        <v>141.13780344922503</v>
      </c>
      <c r="CZ89" s="59">
        <f t="shared" si="96"/>
        <v>144.12010599544237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22.254119256056097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22.254119256056097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148.39628895278571</v>
      </c>
      <c r="AO90" s="59">
        <f t="shared" si="90"/>
        <v>361.07991692964788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28.102072230549108</v>
      </c>
      <c r="AW90" s="21">
        <f>EXP(-LN(2)/2)*AW89+(1-EXP(-LN(2)/2))/(LN(2)/2)*AQ90*AT90*VLOOKUP('Données projet'!$B$10,Paramètres!$A$1:$I$89,3,0)*0.475*44/12</f>
        <v>1.1843792848347432E-10</v>
      </c>
      <c r="AX90" s="21">
        <f t="shared" si="60"/>
        <v>28.102072230667545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8.6509999999999998</v>
      </c>
      <c r="BD90" s="12">
        <f>IF('Données projet'!$A$88&gt;35,BD89+BC90-BL89,IF(A90&lt;'Données projet'!$A$88,$BA$205^A90,IF(A90='Données projet'!$A$88,'Données projet'!$B$88,BD89+BC90-BL89)))</f>
        <v>319.57300000000021</v>
      </c>
      <c r="BE90" s="13">
        <f>BD90*VLOOKUP('Données projet'!$B$11,Paramètres!$A$1:$I$89,3,0)*VLOOKUP('Données projet'!$B$11,Paramètres!$A$1:$I$89,5,0)</f>
        <v>289.14965040000021</v>
      </c>
      <c r="BF90" s="13">
        <f t="shared" si="91"/>
        <v>68.896959662330573</v>
      </c>
      <c r="BG90" s="20">
        <f t="shared" si="61"/>
        <v>623.59784585855948</v>
      </c>
      <c r="BH90" s="59">
        <f t="shared" si="62"/>
        <v>916.93117919189285</v>
      </c>
      <c r="BI90" s="59">
        <f ca="1">AVERAGE(OFFSET($BH$3,0,0,'Données projet'!$E$11+1,1))-AVERAGE(OFFSET($H$3,0,0,'Données projet'!$E$11+1,1))</f>
        <v>465.85201723964195</v>
      </c>
      <c r="BJ90" s="59">
        <f t="shared" si="92"/>
        <v>110.67325286443491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80.693210223191869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80.693210223191869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2.8</v>
      </c>
      <c r="BY90" s="12">
        <f>IF('Données projet'!$A$114&gt;35,BY89+BX90-CG89,IF(A90&lt;'Données projet'!$A$114,$BV$205^A90,IF(A90='Données projet'!$A$114,'Données projet'!$B$114,BY89+BX90-CG89)))</f>
        <v>206.6</v>
      </c>
      <c r="BZ90" s="13">
        <f>BY90*VLOOKUP('Données projet'!$B$12,Paramètres!$A$1:$I$89,3,0)*VLOOKUP('Données projet'!$B$12,Paramètres!$A$1:$I$89,5,0)</f>
        <v>180.48576000000003</v>
      </c>
      <c r="CA90" s="13">
        <f t="shared" si="93"/>
        <v>45.430241859839441</v>
      </c>
      <c r="CB90" s="20">
        <f t="shared" si="64"/>
        <v>393.47036990588708</v>
      </c>
      <c r="CC90" s="59">
        <f t="shared" si="65"/>
        <v>686.80370323922034</v>
      </c>
      <c r="CD90" s="59">
        <f ca="1">AVERAGE(OFFSET($CC$3,0,0,'Données projet'!$E$12+1,1))-AVERAGE(OFFSET($H$3,0,0,'Données projet'!$E$12+1,1))</f>
        <v>201.70120933876507</v>
      </c>
      <c r="CE90" s="59">
        <f t="shared" si="94"/>
        <v>188.1234063307752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40.982919040204784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40.982919040204784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213.00000000000003</v>
      </c>
      <c r="CU90" s="17">
        <f>CT90*VLOOKUP('Données projet'!$B$13,Paramètres!$A$1:$I$89,3,0)*VLOOKUP('Données projet'!$B$13,Paramètres!$A$1:$I$89,5,0)</f>
        <v>156.17160000000004</v>
      </c>
      <c r="CV90" s="13">
        <f t="shared" si="95"/>
        <v>39.977795753356993</v>
      </c>
      <c r="CW90" s="20">
        <f t="shared" si="67"/>
        <v>341.62686427043013</v>
      </c>
      <c r="CX90" s="59">
        <f t="shared" si="68"/>
        <v>634.96019760376339</v>
      </c>
      <c r="CY90" s="59">
        <f ca="1">AVERAGE(OFFSET($CX$3,0,0,'Données projet'!$E$13+1,1))-AVERAGE(OFFSET($H$3,0,0,'Données projet'!$E$13+1,1))</f>
        <v>141.13780344922503</v>
      </c>
      <c r="CZ90" s="59">
        <f t="shared" si="96"/>
        <v>144.12010599544237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21.817729551117292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21.817729551117292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148.39628895278571</v>
      </c>
      <c r="AO91" s="59">
        <f t="shared" si="90"/>
        <v>361.07991692964788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27.333619587580994</v>
      </c>
      <c r="AW91" s="21">
        <f>EXP(-LN(2)/2)*AW90+(1-EXP(-LN(2)/2))/(LN(2)/2)*AQ91*AT91*VLOOKUP('Données projet'!$B$10,Paramètres!$A$1:$I$89,3,0)*0.475*44/12</f>
        <v>8.3748262380352044E-11</v>
      </c>
      <c r="AX91" s="21">
        <f t="shared" si="60"/>
        <v>27.333619587664742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8.6509999999999998</v>
      </c>
      <c r="BD91" s="12">
        <f>IF('Données projet'!$A$88&gt;35,BD90+BC91-BL90,IF(A91&lt;'Données projet'!$A$88,$BA$205^A91,IF(A91='Données projet'!$A$88,'Données projet'!$B$88,BD90+BC91-BL90)))</f>
        <v>328.22400000000022</v>
      </c>
      <c r="BE91" s="13">
        <f>BD91*VLOOKUP('Données projet'!$B$11,Paramètres!$A$1:$I$89,3,0)*VLOOKUP('Données projet'!$B$11,Paramètres!$A$1:$I$89,5,0)</f>
        <v>296.97707520000017</v>
      </c>
      <c r="BF91" s="13">
        <f t="shared" si="91"/>
        <v>70.542369280601235</v>
      </c>
      <c r="BG91" s="20">
        <f t="shared" si="61"/>
        <v>640.09636580371409</v>
      </c>
      <c r="BH91" s="59">
        <f t="shared" si="62"/>
        <v>933.42969913704746</v>
      </c>
      <c r="BI91" s="59">
        <f ca="1">AVERAGE(OFFSET($BH$3,0,0,'Données projet'!$E$11+1,1))-AVERAGE(OFFSET($H$3,0,0,'Données projet'!$E$11+1,1))</f>
        <v>465.85201723964195</v>
      </c>
      <c r="BJ91" s="59">
        <f t="shared" si="92"/>
        <v>110.67325286443491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79.110865588713438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79.110865588713438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2.8</v>
      </c>
      <c r="BY91" s="12">
        <f>IF('Données projet'!$A$114&gt;35,BY90+BX91-CG90,IF(A91&lt;'Données projet'!$A$114,$BV$205^A91,IF(A91='Données projet'!$A$114,'Données projet'!$B$114,BY90+BX91-CG90)))</f>
        <v>209.4</v>
      </c>
      <c r="BZ91" s="13">
        <f>BY91*VLOOKUP('Données projet'!$B$12,Paramètres!$A$1:$I$89,3,0)*VLOOKUP('Données projet'!$B$12,Paramètres!$A$1:$I$89,5,0)</f>
        <v>182.93184000000002</v>
      </c>
      <c r="CA91" s="13">
        <f t="shared" si="93"/>
        <v>45.973851929814685</v>
      </c>
      <c r="CB91" s="20">
        <f t="shared" si="64"/>
        <v>398.67741344442726</v>
      </c>
      <c r="CC91" s="59">
        <f t="shared" si="65"/>
        <v>692.01074677776057</v>
      </c>
      <c r="CD91" s="59">
        <f ca="1">AVERAGE(OFFSET($CC$3,0,0,'Données projet'!$E$12+1,1))-AVERAGE(OFFSET($H$3,0,0,'Données projet'!$E$12+1,1))</f>
        <v>201.70120933876507</v>
      </c>
      <c r="CE91" s="59">
        <f t="shared" si="94"/>
        <v>188.1234063307752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40.179268994938724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40.179268994938724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213.00000000000003</v>
      </c>
      <c r="CU91" s="17">
        <f>CT91*VLOOKUP('Données projet'!$B$13,Paramètres!$A$1:$I$89,3,0)*VLOOKUP('Données projet'!$B$13,Paramètres!$A$1:$I$89,5,0)</f>
        <v>156.17160000000004</v>
      </c>
      <c r="CV91" s="13">
        <f t="shared" si="95"/>
        <v>39.977795753356993</v>
      </c>
      <c r="CW91" s="20">
        <f t="shared" si="67"/>
        <v>341.62686427043013</v>
      </c>
      <c r="CX91" s="59">
        <f t="shared" si="68"/>
        <v>634.96019760376339</v>
      </c>
      <c r="CY91" s="59">
        <f ca="1">AVERAGE(OFFSET($CX$3,0,0,'Données projet'!$E$13+1,1))-AVERAGE(OFFSET($H$3,0,0,'Données projet'!$E$13+1,1))</f>
        <v>141.13780344922503</v>
      </c>
      <c r="CZ91" s="59">
        <f t="shared" si="96"/>
        <v>144.12010599544237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21.389897182120901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21.389897182120901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148.39628895278571</v>
      </c>
      <c r="AO92" s="59">
        <f t="shared" si="90"/>
        <v>361.07991692964788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26.58618032254601</v>
      </c>
      <c r="AW92" s="21">
        <f>EXP(-LN(2)/2)*AW91+(1-EXP(-LN(2)/2))/(LN(2)/2)*AQ92*AT92*VLOOKUP('Données projet'!$B$10,Paramètres!$A$1:$I$89,3,0)*0.475*44/12</f>
        <v>5.9218964241737162E-11</v>
      </c>
      <c r="AX92" s="21">
        <f t="shared" si="60"/>
        <v>26.58618032260523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8.6509999999999998</v>
      </c>
      <c r="BD92" s="12">
        <f>IF('Données projet'!$A$88&gt;35,BD91+BC92-BL91,IF(A92&lt;'Données projet'!$A$88,$BA$205^A92,IF(A92='Données projet'!$A$88,'Données projet'!$B$88,BD91+BC92-BL91)))</f>
        <v>336.87500000000023</v>
      </c>
      <c r="BE92" s="13">
        <f>BD92*VLOOKUP('Données projet'!$B$11,Paramètres!$A$1:$I$89,3,0)*VLOOKUP('Données projet'!$B$11,Paramètres!$A$1:$I$89,5,0)</f>
        <v>304.80450000000019</v>
      </c>
      <c r="BF92" s="13">
        <f t="shared" si="91"/>
        <v>72.182737975413843</v>
      </c>
      <c r="BG92" s="20">
        <f t="shared" si="61"/>
        <v>656.5861061405127</v>
      </c>
      <c r="BH92" s="59">
        <f t="shared" si="62"/>
        <v>949.91943947384607</v>
      </c>
      <c r="BI92" s="59">
        <f ca="1">AVERAGE(OFFSET($BH$3,0,0,'Données projet'!$E$11+1,1))-AVERAGE(OFFSET($H$3,0,0,'Données projet'!$E$11+1,1))</f>
        <v>465.85201723964195</v>
      </c>
      <c r="BJ92" s="59">
        <f t="shared" si="92"/>
        <v>110.67325286443491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77.559549767382208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77.559549767382208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2.8</v>
      </c>
      <c r="BY92" s="12">
        <f>IF('Données projet'!$A$114&gt;35,BY91+BX92-CG91,IF(A92&lt;'Données projet'!$A$114,$BV$205^A92,IF(A92='Données projet'!$A$114,'Données projet'!$B$114,BY91+BX92-CG91)))</f>
        <v>212.20000000000002</v>
      </c>
      <c r="BZ92" s="13">
        <f>BY92*VLOOKUP('Données projet'!$B$12,Paramètres!$A$1:$I$89,3,0)*VLOOKUP('Données projet'!$B$12,Paramètres!$A$1:$I$89,5,0)</f>
        <v>185.37792000000005</v>
      </c>
      <c r="CA92" s="13">
        <f t="shared" si="93"/>
        <v>46.516616531004161</v>
      </c>
      <c r="CB92" s="20">
        <f t="shared" si="64"/>
        <v>403.88298445816571</v>
      </c>
      <c r="CC92" s="59">
        <f t="shared" si="65"/>
        <v>697.21631779149902</v>
      </c>
      <c r="CD92" s="59">
        <f ca="1">AVERAGE(OFFSET($CC$3,0,0,'Données projet'!$E$12+1,1))-AVERAGE(OFFSET($H$3,0,0,'Données projet'!$E$12+1,1))</f>
        <v>201.70120933876507</v>
      </c>
      <c r="CE92" s="59">
        <f t="shared" si="94"/>
        <v>188.1234063307752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39.391378036882202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39.391378036882202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213.00000000000003</v>
      </c>
      <c r="CU92" s="17">
        <f>CT92*VLOOKUP('Données projet'!$B$13,Paramètres!$A$1:$I$89,3,0)*VLOOKUP('Données projet'!$B$13,Paramètres!$A$1:$I$89,5,0)</f>
        <v>156.17160000000004</v>
      </c>
      <c r="CV92" s="13">
        <f t="shared" si="95"/>
        <v>39.977795753356993</v>
      </c>
      <c r="CW92" s="20">
        <f t="shared" si="67"/>
        <v>341.62686427043013</v>
      </c>
      <c r="CX92" s="59">
        <f t="shared" si="68"/>
        <v>634.96019760376339</v>
      </c>
      <c r="CY92" s="59">
        <f ca="1">AVERAGE(OFFSET($CX$3,0,0,'Données projet'!$E$13+1,1))-AVERAGE(OFFSET($H$3,0,0,'Données projet'!$E$13+1,1))</f>
        <v>141.13780344922503</v>
      </c>
      <c r="CZ92" s="59">
        <f t="shared" si="96"/>
        <v>144.12010599544237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20.970454344928552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20.970454344928552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148.39628895278571</v>
      </c>
      <c r="AO93" s="59">
        <f t="shared" si="90"/>
        <v>361.07991692964788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25.859179823519529</v>
      </c>
      <c r="AW93" s="21">
        <f>EXP(-LN(2)/2)*AW92+(1-EXP(-LN(2)/2))/(LN(2)/2)*AQ93*AT93*VLOOKUP('Données projet'!$B$10,Paramètres!$A$1:$I$89,3,0)*0.475*44/12</f>
        <v>4.1874131190176022E-11</v>
      </c>
      <c r="AX93" s="21">
        <f t="shared" si="60"/>
        <v>25.859179823561405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8.6509999999999998</v>
      </c>
      <c r="BD93" s="12">
        <f>IF('Données projet'!$A$88&gt;35,BD92+BC93-BL92,IF(A93&lt;'Données projet'!$A$88,$BA$205^A93,IF(A93='Données projet'!$A$88,'Données projet'!$B$88,BD92+BC93-BL92)))</f>
        <v>345.52600000000024</v>
      </c>
      <c r="BE93" s="13">
        <f>BD93*VLOOKUP('Données projet'!$B$11,Paramètres!$A$1:$I$89,3,0)*VLOOKUP('Données projet'!$B$11,Paramètres!$A$1:$I$89,5,0)</f>
        <v>312.63192480000021</v>
      </c>
      <c r="BF93" s="13">
        <f t="shared" si="91"/>
        <v>73.818210082926498</v>
      </c>
      <c r="BG93" s="20">
        <f t="shared" si="61"/>
        <v>673.06731825443057</v>
      </c>
      <c r="BH93" s="59">
        <f t="shared" si="62"/>
        <v>966.40065158776383</v>
      </c>
      <c r="BI93" s="59">
        <f ca="1">AVERAGE(OFFSET($BH$3,0,0,'Données projet'!$E$11+1,1))-AVERAGE(OFFSET($H$3,0,0,'Données projet'!$E$11+1,1))</f>
        <v>465.85201723964195</v>
      </c>
      <c r="BJ93" s="59">
        <f t="shared" si="92"/>
        <v>110.67325286443491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76.038654303098056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76.038654303098056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215</v>
      </c>
      <c r="BW93" s="12">
        <f>VLOOKUP(A93,'Données projet'!$A$113:$I$133,9,0)</f>
        <v>2.8</v>
      </c>
      <c r="BX93" s="12">
        <f t="array" ref="BX93">INDEX(BW:BW,MIN(IF(ISNUMBER(BW93:BW289),ROW(BW93:BW289),"")))</f>
        <v>2.8</v>
      </c>
      <c r="BY93" s="12">
        <f>IF('Données projet'!$A$114&gt;35,BY92+BX93-CG92,IF(A93&lt;'Données projet'!$A$114,$BV$205^A93,IF(A93='Données projet'!$A$114,'Données projet'!$B$114,BY92+BX93-CG92)))</f>
        <v>215.00000000000003</v>
      </c>
      <c r="BZ93" s="13">
        <f>BY93*VLOOKUP('Données projet'!$B$12,Paramètres!$A$1:$I$89,3,0)*VLOOKUP('Données projet'!$B$12,Paramètres!$A$1:$I$89,5,0)</f>
        <v>187.82400000000007</v>
      </c>
      <c r="CA93" s="13">
        <f t="shared" si="93"/>
        <v>47.05854810918273</v>
      </c>
      <c r="CB93" s="20">
        <f t="shared" si="64"/>
        <v>409.08710462349336</v>
      </c>
      <c r="CC93" s="59">
        <f t="shared" si="65"/>
        <v>702.42043795682662</v>
      </c>
      <c r="CD93" s="59">
        <f ca="1">AVERAGE(OFFSET($CC$3,0,0,'Données projet'!$E$12+1,1))-AVERAGE(OFFSET($H$3,0,0,'Données projet'!$E$12+1,1))</f>
        <v>201.70120933876507</v>
      </c>
      <c r="CE93" s="59">
        <f t="shared" si="94"/>
        <v>188.1234063307752</v>
      </c>
      <c r="CF93" s="15">
        <f>IF(ISNA(VLOOKUP(A93,'Données projet'!$A$113:$I$133,3,0)),0,VLOOKUP(A93,'Données projet'!$A$113:$I$133,3,0))</f>
        <v>15</v>
      </c>
      <c r="CG93" s="15">
        <f>IF(ISNA(VLOOKUP(A93,'Données projet'!$A$113:$I$133,4,0)),0,VLOOKUP(A93,'Données projet'!$A$113:$I$133,4,0))</f>
        <v>10</v>
      </c>
      <c r="CH93" s="16">
        <f>IF(ISNA(VLOOKUP(A93,'Données projet'!$A$113:$I$133,5,0)),0%,VLOOKUP(A93,'Données projet'!$A$113:$I$133,5,0)*VLOOKUP('Données projet'!$B$12,Paramètres!$A$1:$I$89,7,0))</f>
        <v>0.43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42.771614511255073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42.771614511255073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213.00000000000003</v>
      </c>
      <c r="CU93" s="17">
        <f>CT93*VLOOKUP('Données projet'!$B$13,Paramètres!$A$1:$I$89,3,0)*VLOOKUP('Données projet'!$B$13,Paramètres!$A$1:$I$89,5,0)</f>
        <v>156.17160000000004</v>
      </c>
      <c r="CV93" s="13">
        <f t="shared" si="95"/>
        <v>39.977795753356993</v>
      </c>
      <c r="CW93" s="20">
        <f t="shared" si="67"/>
        <v>341.62686427043013</v>
      </c>
      <c r="CX93" s="59">
        <f t="shared" si="68"/>
        <v>634.96019760376339</v>
      </c>
      <c r="CY93" s="59">
        <f ca="1">AVERAGE(OFFSET($CX$3,0,0,'Données projet'!$E$13+1,1))-AVERAGE(OFFSET($H$3,0,0,'Données projet'!$E$13+1,1))</f>
        <v>141.13780344922503</v>
      </c>
      <c r="CZ93" s="59">
        <f t="shared" si="96"/>
        <v>144.12010599544237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20.559236525938676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20.559236525938676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148.39628895278571</v>
      </c>
      <c r="AO94" s="59">
        <f t="shared" si="90"/>
        <v>361.07991692964788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25.152059191370224</v>
      </c>
      <c r="AW94" s="21">
        <f>EXP(-LN(2)/2)*AW93+(1-EXP(-LN(2)/2))/(LN(2)/2)*AQ94*AT94*VLOOKUP('Données projet'!$B$10,Paramètres!$A$1:$I$89,3,0)*0.475*44/12</f>
        <v>2.9609482120868581E-11</v>
      </c>
      <c r="AX94" s="21">
        <f t="shared" si="60"/>
        <v>25.152059191399832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8.6509999999999998</v>
      </c>
      <c r="BD94" s="12">
        <f>IF('Données projet'!$A$88&gt;35,BD93+BC94-BL93,IF(A94&lt;'Données projet'!$A$88,$BA$205^A94,IF(A94='Données projet'!$A$88,'Données projet'!$B$88,BD93+BC94-BL93)))</f>
        <v>354.17700000000025</v>
      </c>
      <c r="BE94" s="13">
        <f>BD94*VLOOKUP('Données projet'!$B$11,Paramètres!$A$1:$I$89,3,0)*VLOOKUP('Données projet'!$B$11,Paramètres!$A$1:$I$89,5,0)</f>
        <v>320.45934960000022</v>
      </c>
      <c r="BF94" s="13">
        <f t="shared" si="91"/>
        <v>75.448922299838316</v>
      </c>
      <c r="BG94" s="20">
        <f t="shared" si="61"/>
        <v>689.54024022555211</v>
      </c>
      <c r="BH94" s="59">
        <f t="shared" si="62"/>
        <v>982.87357355888548</v>
      </c>
      <c r="BI94" s="59">
        <f ca="1">AVERAGE(OFFSET($BH$3,0,0,'Données projet'!$E$11+1,1))-AVERAGE(OFFSET($H$3,0,0,'Données projet'!$E$11+1,1))</f>
        <v>465.85201723964195</v>
      </c>
      <c r="BJ94" s="59">
        <f t="shared" si="92"/>
        <v>110.67325286443491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74.547582671213888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74.547582671213888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2.8</v>
      </c>
      <c r="BY94" s="12">
        <f>IF('Données projet'!$A$114&gt;35,BY93+BX94-CG93,IF(A94&lt;'Données projet'!$A$114,$BV$205^A94,IF(A94='Données projet'!$A$114,'Données projet'!$B$114,BY93+BX94-CG93)))</f>
        <v>207.80000000000004</v>
      </c>
      <c r="BZ94" s="13">
        <f>BY94*VLOOKUP('Données projet'!$B$12,Paramètres!$A$1:$I$89,3,0)*VLOOKUP('Données projet'!$B$12,Paramètres!$A$1:$I$89,5,0)</f>
        <v>181.53408000000007</v>
      </c>
      <c r="CA94" s="13">
        <f t="shared" si="93"/>
        <v>45.663321943731901</v>
      </c>
      <c r="CB94" s="20">
        <f t="shared" si="64"/>
        <v>395.7021417186665</v>
      </c>
      <c r="CC94" s="59">
        <f t="shared" si="65"/>
        <v>689.03547505199981</v>
      </c>
      <c r="CD94" s="59">
        <f ca="1">AVERAGE(OFFSET($CC$3,0,0,'Données projet'!$E$12+1,1))-AVERAGE(OFFSET($H$3,0,0,'Données projet'!$E$12+1,1))</f>
        <v>201.70120933876507</v>
      </c>
      <c r="CE94" s="59">
        <f t="shared" si="94"/>
        <v>188.1234063307752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41.932889238798225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41.932889238798225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213.00000000000003</v>
      </c>
      <c r="CU94" s="17">
        <f>CT94*VLOOKUP('Données projet'!$B$13,Paramètres!$A$1:$I$89,3,0)*VLOOKUP('Données projet'!$B$13,Paramètres!$A$1:$I$89,5,0)</f>
        <v>156.17160000000004</v>
      </c>
      <c r="CV94" s="13">
        <f t="shared" si="95"/>
        <v>39.977795753356993</v>
      </c>
      <c r="CW94" s="20">
        <f t="shared" si="67"/>
        <v>341.62686427043013</v>
      </c>
      <c r="CX94" s="59">
        <f t="shared" si="68"/>
        <v>634.96019760376339</v>
      </c>
      <c r="CY94" s="59">
        <f ca="1">AVERAGE(OFFSET($CX$3,0,0,'Données projet'!$E$13+1,1))-AVERAGE(OFFSET($H$3,0,0,'Données projet'!$E$13+1,1))</f>
        <v>141.13780344922503</v>
      </c>
      <c r="CZ94" s="59">
        <f t="shared" si="96"/>
        <v>144.12010599544237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20.156082437561089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20.156082437561089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148.39628895278571</v>
      </c>
      <c r="AO95" s="59">
        <f t="shared" si="90"/>
        <v>361.07991692964788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24.464274810092899</v>
      </c>
      <c r="AW95" s="21">
        <f>EXP(-LN(2)/2)*AW94+(1-EXP(-LN(2)/2))/(LN(2)/2)*AQ95*AT95*VLOOKUP('Données projet'!$B$10,Paramètres!$A$1:$I$89,3,0)*0.475*44/12</f>
        <v>2.0937065595088011E-11</v>
      </c>
      <c r="AX95" s="21">
        <f t="shared" si="60"/>
        <v>24.464274810113835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8.6509999999999998</v>
      </c>
      <c r="BD95" s="12">
        <f>IF('Données projet'!$A$88&gt;35,BD94+BC95-BL94,IF(A95&lt;'Données projet'!$A$88,$BA$205^A95,IF(A95='Données projet'!$A$88,'Données projet'!$B$88,BD94+BC95-BL94)))</f>
        <v>362.82800000000026</v>
      </c>
      <c r="BE95" s="13">
        <f>BD95*VLOOKUP('Données projet'!$B$11,Paramètres!$A$1:$I$89,3,0)*VLOOKUP('Données projet'!$B$11,Paramètres!$A$1:$I$89,5,0)</f>
        <v>328.28677440000024</v>
      </c>
      <c r="BF95" s="13">
        <f t="shared" si="91"/>
        <v>77.075004264312383</v>
      </c>
      <c r="BG95" s="20">
        <f t="shared" si="61"/>
        <v>706.00509784034432</v>
      </c>
      <c r="BH95" s="59">
        <f t="shared" si="62"/>
        <v>999.33843117367769</v>
      </c>
      <c r="BI95" s="59">
        <f ca="1">AVERAGE(OFFSET($BH$3,0,0,'Données projet'!$E$11+1,1))-AVERAGE(OFFSET($H$3,0,0,'Données projet'!$E$11+1,1))</f>
        <v>465.85201723964195</v>
      </c>
      <c r="BJ95" s="59">
        <f t="shared" si="92"/>
        <v>110.67325286443491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73.085750044567064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73.085750044567064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2.8</v>
      </c>
      <c r="BY95" s="12">
        <f>IF('Données projet'!$A$114&gt;35,BY94+BX95-CG94,IF(A95&lt;'Données projet'!$A$114,$BV$205^A95,IF(A95='Données projet'!$A$114,'Données projet'!$B$114,BY94+BX95-CG94)))</f>
        <v>210.60000000000005</v>
      </c>
      <c r="BZ95" s="13">
        <f>BY95*VLOOKUP('Données projet'!$B$12,Paramètres!$A$1:$I$89,3,0)*VLOOKUP('Données projet'!$B$12,Paramètres!$A$1:$I$89,5,0)</f>
        <v>183.98016000000007</v>
      </c>
      <c r="CA95" s="13">
        <f t="shared" si="93"/>
        <v>46.206568123393758</v>
      </c>
      <c r="CB95" s="20">
        <f t="shared" si="64"/>
        <v>400.9085514815776</v>
      </c>
      <c r="CC95" s="59">
        <f t="shared" si="65"/>
        <v>694.24188481491092</v>
      </c>
      <c r="CD95" s="59">
        <f ca="1">AVERAGE(OFFSET($CC$3,0,0,'Données projet'!$E$12+1,1))-AVERAGE(OFFSET($H$3,0,0,'Données projet'!$E$12+1,1))</f>
        <v>201.70120933876507</v>
      </c>
      <c r="CE95" s="59">
        <f t="shared" si="94"/>
        <v>188.1234063307752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41.110610857362353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41.110610857362353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213.00000000000003</v>
      </c>
      <c r="CU95" s="17">
        <f>CT95*VLOOKUP('Données projet'!$B$13,Paramètres!$A$1:$I$89,3,0)*VLOOKUP('Données projet'!$B$13,Paramètres!$A$1:$I$89,5,0)</f>
        <v>156.17160000000004</v>
      </c>
      <c r="CV95" s="13">
        <f t="shared" si="95"/>
        <v>39.977795753356993</v>
      </c>
      <c r="CW95" s="20">
        <f t="shared" si="67"/>
        <v>341.62686427043013</v>
      </c>
      <c r="CX95" s="59">
        <f t="shared" si="68"/>
        <v>634.96019760376339</v>
      </c>
      <c r="CY95" s="59">
        <f ca="1">AVERAGE(OFFSET($CX$3,0,0,'Données projet'!$E$13+1,1))-AVERAGE(OFFSET($H$3,0,0,'Données projet'!$E$13+1,1))</f>
        <v>141.13780344922503</v>
      </c>
      <c r="CZ95" s="59">
        <f t="shared" si="96"/>
        <v>144.12010599544237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19.760833954956873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19.760833954956873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148.39628895278571</v>
      </c>
      <c r="AO96" s="59">
        <f t="shared" si="90"/>
        <v>361.07991692964788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23.795297928890609</v>
      </c>
      <c r="AW96" s="21">
        <f>EXP(-LN(2)/2)*AW95+(1-EXP(-LN(2)/2))/(LN(2)/2)*AQ96*AT96*VLOOKUP('Données projet'!$B$10,Paramètres!$A$1:$I$89,3,0)*0.475*44/12</f>
        <v>1.480474106043429E-11</v>
      </c>
      <c r="AX96" s="21">
        <f t="shared" si="60"/>
        <v>23.795297928905413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8.6509999999999998</v>
      </c>
      <c r="BD96" s="12">
        <f>IF('Données projet'!$A$88&gt;35,BD95+BC96-BL95,IF(A96&lt;'Données projet'!$A$88,$BA$205^A96,IF(A96='Données projet'!$A$88,'Données projet'!$B$88,BD95+BC96-BL95)))</f>
        <v>371.47900000000027</v>
      </c>
      <c r="BE96" s="13">
        <f>BD96*VLOOKUP('Données projet'!$B$11,Paramètres!$A$1:$I$89,3,0)*VLOOKUP('Données projet'!$B$11,Paramètres!$A$1:$I$89,5,0)</f>
        <v>336.11419920000026</v>
      </c>
      <c r="BF96" s="13">
        <f t="shared" si="91"/>
        <v>78.696579079933812</v>
      </c>
      <c r="BG96" s="20">
        <f t="shared" si="61"/>
        <v>722.46210550421847</v>
      </c>
      <c r="BH96" s="59">
        <f t="shared" si="62"/>
        <v>1015.7954388375517</v>
      </c>
      <c r="BI96" s="59">
        <f ca="1">AVERAGE(OFFSET($BH$3,0,0,'Données projet'!$E$11+1,1))-AVERAGE(OFFSET($H$3,0,0,'Données projet'!$E$11+1,1))</f>
        <v>465.85201723964195</v>
      </c>
      <c r="BJ96" s="59">
        <f t="shared" si="92"/>
        <v>110.67325286443491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71.652583064098934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71.652583064098934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2.8</v>
      </c>
      <c r="BY96" s="12">
        <f>IF('Données projet'!$A$114&gt;35,BY95+BX96-CG95,IF(A96&lt;'Données projet'!$A$114,$BV$205^A96,IF(A96='Données projet'!$A$114,'Données projet'!$B$114,BY95+BX96-CG95)))</f>
        <v>213.40000000000006</v>
      </c>
      <c r="BZ96" s="13">
        <f>BY96*VLOOKUP('Données projet'!$B$12,Paramètres!$A$1:$I$89,3,0)*VLOOKUP('Données projet'!$B$12,Paramètres!$A$1:$I$89,5,0)</f>
        <v>186.42624000000009</v>
      </c>
      <c r="CA96" s="13">
        <f t="shared" si="93"/>
        <v>46.748974211060826</v>
      </c>
      <c r="CB96" s="20">
        <f t="shared" si="64"/>
        <v>406.11349808426439</v>
      </c>
      <c r="CC96" s="59">
        <f t="shared" si="65"/>
        <v>699.44683141759765</v>
      </c>
      <c r="CD96" s="59">
        <f ca="1">AVERAGE(OFFSET($CC$3,0,0,'Données projet'!$E$12+1,1))-AVERAGE(OFFSET($H$3,0,0,'Données projet'!$E$12+1,1))</f>
        <v>201.70120933876507</v>
      </c>
      <c r="CE96" s="59">
        <f t="shared" si="94"/>
        <v>188.1234063307752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40.304456853446148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40.304456853446148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213.00000000000003</v>
      </c>
      <c r="CU96" s="17">
        <f>CT96*VLOOKUP('Données projet'!$B$13,Paramètres!$A$1:$I$89,3,0)*VLOOKUP('Données projet'!$B$13,Paramètres!$A$1:$I$89,5,0)</f>
        <v>156.17160000000004</v>
      </c>
      <c r="CV96" s="13">
        <f t="shared" si="95"/>
        <v>39.977795753356993</v>
      </c>
      <c r="CW96" s="20">
        <f t="shared" si="67"/>
        <v>341.62686427043013</v>
      </c>
      <c r="CX96" s="59">
        <f t="shared" si="68"/>
        <v>634.96019760376339</v>
      </c>
      <c r="CY96" s="59">
        <f ca="1">AVERAGE(OFFSET($CX$3,0,0,'Données projet'!$E$13+1,1))-AVERAGE(OFFSET($H$3,0,0,'Données projet'!$E$13+1,1))</f>
        <v>141.13780344922503</v>
      </c>
      <c r="CZ96" s="59">
        <f t="shared" si="96"/>
        <v>144.12010599544237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19.373336054018754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19.373336054018754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148.39628895278571</v>
      </c>
      <c r="AO97" s="59">
        <f t="shared" si="90"/>
        <v>361.07991692964788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23.144614255684761</v>
      </c>
      <c r="AW97" s="21">
        <f>EXP(-LN(2)/2)*AW96+(1-EXP(-LN(2)/2))/(LN(2)/2)*AQ97*AT97*VLOOKUP('Données projet'!$B$10,Paramètres!$A$1:$I$89,3,0)*0.475*44/12</f>
        <v>1.0468532797544005E-11</v>
      </c>
      <c r="AX97" s="21">
        <f t="shared" si="60"/>
        <v>23.144614255695231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>
        <f>VLOOKUP(A97,'Données projet'!$A$87:$I$107,2,0)</f>
        <v>380.13</v>
      </c>
      <c r="BB97" s="12">
        <f>VLOOKUP(A97,'Données projet'!$A$87:$I$107,9,0)</f>
        <v>8.6509999999999998</v>
      </c>
      <c r="BC97" s="12">
        <f t="array" ref="BC97">INDEX(BB:BB,MIN(IF(ISNUMBER(BB97:BB293),ROW(BB97:BB293),"")))</f>
        <v>8.6509999999999998</v>
      </c>
      <c r="BD97" s="12">
        <f>IF('Données projet'!$A$88&gt;35,BD96+BC97-BL96,IF(A97&lt;'Données projet'!$A$88,$BA$205^A97,IF(A97='Données projet'!$A$88,'Données projet'!$B$88,BD96+BC97-BL96)))</f>
        <v>380.13000000000028</v>
      </c>
      <c r="BE97" s="13">
        <f>BD97*VLOOKUP('Données projet'!$B$11,Paramètres!$A$1:$I$89,3,0)*VLOOKUP('Données projet'!$B$11,Paramètres!$A$1:$I$89,5,0)</f>
        <v>343.94162400000022</v>
      </c>
      <c r="BF97" s="13">
        <f t="shared" si="91"/>
        <v>80.313763789484895</v>
      </c>
      <c r="BG97" s="20">
        <f t="shared" si="61"/>
        <v>738.91146706668644</v>
      </c>
      <c r="BH97" s="59">
        <f t="shared" si="62"/>
        <v>1032.2448004000198</v>
      </c>
      <c r="BI97" s="59">
        <f ca="1">AVERAGE(OFFSET($BH$3,0,0,'Données projet'!$E$11+1,1))-AVERAGE(OFFSET($H$3,0,0,'Données projet'!$E$11+1,1))</f>
        <v>465.85201723964195</v>
      </c>
      <c r="BJ97" s="59">
        <f t="shared" si="92"/>
        <v>110.67325286443491</v>
      </c>
      <c r="BK97" s="15">
        <f>IF(ISNA(VLOOKUP(A97,'Données projet'!$A$87:$I$107,3,0)),0,VLOOKUP(A97,'Données projet'!$A$87:$I$107,3,0))</f>
        <v>7</v>
      </c>
      <c r="BL97" s="15">
        <f>IF(ISNA(VLOOKUP(A97,'Données projet'!$A$87:$I$107,4,0)),0,VLOOKUP(A97,'Données projet'!$A$87:$I$107,4,0))</f>
        <v>61.85</v>
      </c>
      <c r="BM97" s="16">
        <f>IF(ISNA(VLOOKUP(A97,'Données projet'!$A$87:$I$107,5,0)),0%,VLOOKUP(A97,'Données projet'!$A$87:$I$107,5,0)*VLOOKUP('Données projet'!$B$11,Paramètres!$A$1:$I$89,7,0))</f>
        <v>0.43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96.849125924852515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96.849125924852515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2.8</v>
      </c>
      <c r="BY97" s="12">
        <f>IF('Données projet'!$A$114&gt;35,BY96+BX97-CG96,IF(A97&lt;'Données projet'!$A$114,$BV$205^A97,IF(A97='Données projet'!$A$114,'Données projet'!$B$114,BY96+BX97-CG96)))</f>
        <v>216.20000000000007</v>
      </c>
      <c r="BZ97" s="13">
        <f>BY97*VLOOKUP('Données projet'!$B$12,Paramètres!$A$1:$I$89,3,0)*VLOOKUP('Données projet'!$B$12,Paramètres!$A$1:$I$89,5,0)</f>
        <v>188.87232000000009</v>
      </c>
      <c r="CA97" s="13">
        <f t="shared" si="93"/>
        <v>47.290552503862891</v>
      </c>
      <c r="CB97" s="20">
        <f t="shared" si="64"/>
        <v>411.31700294422802</v>
      </c>
      <c r="CC97" s="59">
        <f t="shared" si="65"/>
        <v>704.65033627756134</v>
      </c>
      <c r="CD97" s="59">
        <f ca="1">AVERAGE(OFFSET($CC$3,0,0,'Données projet'!$E$12+1,1))-AVERAGE(OFFSET($H$3,0,0,'Données projet'!$E$12+1,1))</f>
        <v>201.70120933876507</v>
      </c>
      <c r="CE97" s="59">
        <f t="shared" si="94"/>
        <v>188.1234063307752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39.514111037841353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39.514111037841353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213.00000000000003</v>
      </c>
      <c r="CU97" s="17">
        <f>CT97*VLOOKUP('Données projet'!$B$13,Paramètres!$A$1:$I$89,3,0)*VLOOKUP('Données projet'!$B$13,Paramètres!$A$1:$I$89,5,0)</f>
        <v>156.17160000000004</v>
      </c>
      <c r="CV97" s="13">
        <f t="shared" si="95"/>
        <v>39.977795753356993</v>
      </c>
      <c r="CW97" s="20">
        <f t="shared" si="67"/>
        <v>341.62686427043013</v>
      </c>
      <c r="CX97" s="59">
        <f t="shared" si="68"/>
        <v>634.96019760376339</v>
      </c>
      <c r="CY97" s="59">
        <f ca="1">AVERAGE(OFFSET($CX$3,0,0,'Données projet'!$E$13+1,1))-AVERAGE(OFFSET($H$3,0,0,'Données projet'!$E$13+1,1))</f>
        <v>141.13780344922503</v>
      </c>
      <c r="CZ97" s="59">
        <f t="shared" si="96"/>
        <v>144.12010599544237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18.99343675056765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18.99343675056765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148.39628895278571</v>
      </c>
      <c r="AO98" s="59">
        <f t="shared" si="90"/>
        <v>361.07991692964788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22.511723561740695</v>
      </c>
      <c r="AW98" s="21">
        <f>EXP(-LN(2)/2)*AW97+(1-EXP(-LN(2)/2))/(LN(2)/2)*AQ98*AT98*VLOOKUP('Données projet'!$B$10,Paramètres!$A$1:$I$89,3,0)*0.475*44/12</f>
        <v>7.4023705302171452E-12</v>
      </c>
      <c r="AX98" s="21">
        <f t="shared" si="60"/>
        <v>22.511723561748099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8.3920000000000012</v>
      </c>
      <c r="BD98" s="12">
        <f>IF('Données projet'!$A$88&gt;35,BD97+BC98-BL97,IF(A98&lt;'Données projet'!$A$88,$BA$205^A98,IF(A98='Données projet'!$A$88,'Données projet'!$B$88,BD97+BC98-BL97)))</f>
        <v>326.67200000000025</v>
      </c>
      <c r="BE98" s="13">
        <f>BD98*VLOOKUP('Données projet'!$B$11,Paramètres!$A$1:$I$89,3,0)*VLOOKUP('Données projet'!$B$11,Paramètres!$A$1:$I$89,5,0)</f>
        <v>295.57282560000021</v>
      </c>
      <c r="BF98" s="13">
        <f t="shared" si="91"/>
        <v>70.247556135835751</v>
      </c>
      <c r="BG98" s="20">
        <f t="shared" si="61"/>
        <v>637.13716485658085</v>
      </c>
      <c r="BH98" s="59">
        <f t="shared" si="62"/>
        <v>930.47049818991422</v>
      </c>
      <c r="BI98" s="59">
        <f ca="1">AVERAGE(OFFSET($BH$3,0,0,'Données projet'!$E$11+1,1))-AVERAGE(OFFSET($H$3,0,0,'Données projet'!$E$11+1,1))</f>
        <v>465.85201723964195</v>
      </c>
      <c r="BJ98" s="59">
        <f t="shared" si="92"/>
        <v>110.67325286443491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94.949973637600081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94.949973637600081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>
        <f>VLOOKUP(A98,'Données projet'!$A$113:$I$133,2,0)</f>
        <v>219</v>
      </c>
      <c r="BW98" s="12">
        <f>VLOOKUP(A98,'Données projet'!$A$113:$I$133,9,0)</f>
        <v>2.8</v>
      </c>
      <c r="BX98" s="12">
        <f t="array" ref="BX98">INDEX(BW:BW,MIN(IF(ISNUMBER(BW98:BW294),ROW(BW98:BW294),"")))</f>
        <v>2.8</v>
      </c>
      <c r="BY98" s="12">
        <f>IF('Données projet'!$A$114&gt;35,BY97+BX98-CG97,IF(A98&lt;'Données projet'!$A$114,$BV$205^A98,IF(A98='Données projet'!$A$114,'Données projet'!$B$114,BY97+BX98-CG97)))</f>
        <v>219.00000000000009</v>
      </c>
      <c r="BZ98" s="13">
        <f>BY98*VLOOKUP('Données projet'!$B$12,Paramètres!$A$1:$I$89,3,0)*VLOOKUP('Données projet'!$B$12,Paramètres!$A$1:$I$89,5,0)</f>
        <v>191.31840000000008</v>
      </c>
      <c r="CA98" s="13">
        <f t="shared" si="93"/>
        <v>47.831314962098396</v>
      </c>
      <c r="CB98" s="20">
        <f t="shared" si="64"/>
        <v>416.51908689232147</v>
      </c>
      <c r="CC98" s="59">
        <f t="shared" si="65"/>
        <v>709.85242022565478</v>
      </c>
      <c r="CD98" s="59">
        <f ca="1">AVERAGE(OFFSET($CC$3,0,0,'Données projet'!$E$12+1,1))-AVERAGE(OFFSET($H$3,0,0,'Données projet'!$E$12+1,1))</f>
        <v>201.70120933876507</v>
      </c>
      <c r="CE98" s="59">
        <f t="shared" si="94"/>
        <v>188.1234063307752</v>
      </c>
      <c r="CF98" s="15">
        <f>IF(ISNA(VLOOKUP(A98,'Données projet'!$A$113:$I$133,3,0)),0,VLOOKUP(A98,'Données projet'!$A$113:$I$133,3,0))</f>
        <v>16</v>
      </c>
      <c r="CG98" s="15">
        <f>IF(ISNA(VLOOKUP(A98,'Données projet'!$A$113:$I$133,4,0)),0,VLOOKUP(A98,'Données projet'!$A$113:$I$133,4,0))</f>
        <v>11</v>
      </c>
      <c r="CH98" s="16">
        <f>IF(ISNA(VLOOKUP(A98,'Données projet'!$A$113:$I$133,5,0)),0%,VLOOKUP(A98,'Données projet'!$A$113:$I$133,5,0)*VLOOKUP('Données projet'!$B$12,Paramètres!$A$1:$I$89,7,0))</f>
        <v>0.43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43.307208530055945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43.307208530055945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213.00000000000003</v>
      </c>
      <c r="CU98" s="17">
        <f>CT98*VLOOKUP('Données projet'!$B$13,Paramètres!$A$1:$I$89,3,0)*VLOOKUP('Données projet'!$B$13,Paramètres!$A$1:$I$89,5,0)</f>
        <v>156.17160000000004</v>
      </c>
      <c r="CV98" s="13">
        <f t="shared" si="95"/>
        <v>39.977795753356993</v>
      </c>
      <c r="CW98" s="20">
        <f t="shared" si="67"/>
        <v>341.62686427043013</v>
      </c>
      <c r="CX98" s="59">
        <f t="shared" si="68"/>
        <v>634.96019760376339</v>
      </c>
      <c r="CY98" s="59">
        <f ca="1">AVERAGE(OFFSET($CX$3,0,0,'Données projet'!$E$13+1,1))-AVERAGE(OFFSET($H$3,0,0,'Données projet'!$E$13+1,1))</f>
        <v>141.13780344922503</v>
      </c>
      <c r="CZ98" s="59">
        <f t="shared" si="96"/>
        <v>144.12010599544237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18.620987040741525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18.620987040741525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148.39628895278571</v>
      </c>
      <c r="AO99" s="59">
        <f t="shared" si="90"/>
        <v>361.07991692964788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21.896139297104806</v>
      </c>
      <c r="AW99" s="21">
        <f>EXP(-LN(2)/2)*AW98+(1-EXP(-LN(2)/2))/(LN(2)/2)*AQ99*AT99*VLOOKUP('Données projet'!$B$10,Paramètres!$A$1:$I$89,3,0)*0.475*44/12</f>
        <v>5.2342663987720027E-12</v>
      </c>
      <c r="AX99" s="21">
        <f t="shared" si="60"/>
        <v>21.896139297110039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8.3920000000000012</v>
      </c>
      <c r="BD99" s="12">
        <f>IF('Données projet'!$A$88&gt;35,BD98+BC99-BL98,IF(A99&lt;'Données projet'!$A$88,$BA$205^A99,IF(A99='Données projet'!$A$88,'Données projet'!$B$88,BD98+BC99-BL98)))</f>
        <v>335.06400000000025</v>
      </c>
      <c r="BE99" s="13">
        <f>BD99*VLOOKUP('Données projet'!$B$11,Paramètres!$A$1:$I$89,3,0)*VLOOKUP('Données projet'!$B$11,Paramètres!$A$1:$I$89,5,0)</f>
        <v>303.16590720000022</v>
      </c>
      <c r="BF99" s="13">
        <f t="shared" si="91"/>
        <v>71.839753187954926</v>
      </c>
      <c r="BG99" s="20">
        <f t="shared" si="61"/>
        <v>653.1348585090218</v>
      </c>
      <c r="BH99" s="59">
        <f t="shared" si="62"/>
        <v>946.46819184235505</v>
      </c>
      <c r="BI99" s="59">
        <f ca="1">AVERAGE(OFFSET($BH$3,0,0,'Données projet'!$E$11+1,1))-AVERAGE(OFFSET($H$3,0,0,'Données projet'!$E$11+1,1))</f>
        <v>465.85201723964195</v>
      </c>
      <c r="BJ99" s="59">
        <f t="shared" si="92"/>
        <v>110.67325286443491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93.088062568332148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93.088062568332148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3</v>
      </c>
      <c r="BY99" s="12">
        <f>IF('Données projet'!$A$114&gt;35,BY98+BX99-CG98,IF(A99&lt;'Données projet'!$A$114,$BV$205^A99,IF(A99='Données projet'!$A$114,'Données projet'!$B$114,BY98+BX99-CG98)))</f>
        <v>211.00000000000009</v>
      </c>
      <c r="BZ99" s="13">
        <f>BY99*VLOOKUP('Données projet'!$B$12,Paramètres!$A$1:$I$89,3,0)*VLOOKUP('Données projet'!$B$12,Paramètres!$A$1:$I$89,5,0)</f>
        <v>184.32960000000008</v>
      </c>
      <c r="CA99" s="13">
        <f t="shared" si="93"/>
        <v>46.284105851003098</v>
      </c>
      <c r="CB99" s="20">
        <f t="shared" si="64"/>
        <v>401.65220435716384</v>
      </c>
      <c r="CC99" s="59">
        <f t="shared" si="65"/>
        <v>694.98553769049715</v>
      </c>
      <c r="CD99" s="59">
        <f ca="1">AVERAGE(OFFSET($CC$3,0,0,'Données projet'!$E$12+1,1))-AVERAGE(OFFSET($H$3,0,0,'Données projet'!$E$12+1,1))</f>
        <v>201.70120933876507</v>
      </c>
      <c r="CE99" s="59">
        <f t="shared" si="94"/>
        <v>188.1234063307752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42.45798058557051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42.45798058557051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213.00000000000003</v>
      </c>
      <c r="CU99" s="17">
        <f>CT99*VLOOKUP('Données projet'!$B$13,Paramètres!$A$1:$I$89,3,0)*VLOOKUP('Données projet'!$B$13,Paramètres!$A$1:$I$89,5,0)</f>
        <v>156.17160000000004</v>
      </c>
      <c r="CV99" s="13">
        <f t="shared" si="95"/>
        <v>39.977795753356993</v>
      </c>
      <c r="CW99" s="20">
        <f t="shared" si="67"/>
        <v>341.62686427043013</v>
      </c>
      <c r="CX99" s="59">
        <f t="shared" si="68"/>
        <v>634.96019760376339</v>
      </c>
      <c r="CY99" s="59">
        <f ca="1">AVERAGE(OFFSET($CX$3,0,0,'Données projet'!$E$13+1,1))-AVERAGE(OFFSET($H$3,0,0,'Données projet'!$E$13+1,1))</f>
        <v>141.13780344922503</v>
      </c>
      <c r="CZ99" s="59">
        <f t="shared" si="96"/>
        <v>144.12010599544237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18.255840842553201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18.255840842553201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148.39628895278571</v>
      </c>
      <c r="AO100" s="59">
        <f t="shared" si="90"/>
        <v>361.07991692964788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21.297388216557554</v>
      </c>
      <c r="AW100" s="21">
        <f>EXP(-LN(2)/2)*AW99+(1-EXP(-LN(2)/2))/(LN(2)/2)*AQ100*AT100*VLOOKUP('Données projet'!$B$10,Paramètres!$A$1:$I$89,3,0)*0.475*44/12</f>
        <v>3.7011852651085726E-12</v>
      </c>
      <c r="AX100" s="21">
        <f t="shared" si="60"/>
        <v>21.297388216561256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8.3920000000000012</v>
      </c>
      <c r="BD100" s="12">
        <f>IF('Données projet'!$A$88&gt;35,BD99+BC100-BL99,IF(A100&lt;'Données projet'!$A$88,$BA$205^A100,IF(A100='Données projet'!$A$88,'Données projet'!$B$88,BD99+BC100-BL99)))</f>
        <v>343.45600000000024</v>
      </c>
      <c r="BE100" s="13">
        <f>BD100*VLOOKUP('Données projet'!$B$11,Paramètres!$A$1:$I$89,3,0)*VLOOKUP('Données projet'!$B$11,Paramètres!$A$1:$I$89,5,0)</f>
        <v>310.75898880000022</v>
      </c>
      <c r="BF100" s="13">
        <f t="shared" si="91"/>
        <v>73.427314676048425</v>
      </c>
      <c r="BG100" s="20">
        <f t="shared" si="61"/>
        <v>669.12447855411801</v>
      </c>
      <c r="BH100" s="59">
        <f t="shared" si="62"/>
        <v>962.45781188745127</v>
      </c>
      <c r="BI100" s="59">
        <f ca="1">AVERAGE(OFFSET($BH$3,0,0,'Données projet'!$E$11+1,1))-AVERAGE(OFFSET($H$3,0,0,'Données projet'!$E$11+1,1))</f>
        <v>465.85201723964195</v>
      </c>
      <c r="BJ100" s="59">
        <f t="shared" si="92"/>
        <v>110.67325286443491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91.262662439478945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91.262662439478945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3</v>
      </c>
      <c r="BY100" s="12">
        <f>IF('Données projet'!$A$114&gt;35,BY99+BX100-CG99,IF(A100&lt;'Données projet'!$A$114,$BV$205^A100,IF(A100='Données projet'!$A$114,'Données projet'!$B$114,BY99+BX100-CG99)))</f>
        <v>214.00000000000009</v>
      </c>
      <c r="BZ100" s="13">
        <f>BY100*VLOOKUP('Données projet'!$B$12,Paramètres!$A$1:$I$89,3,0)*VLOOKUP('Données projet'!$B$12,Paramètres!$A$1:$I$89,5,0)</f>
        <v>186.95040000000009</v>
      </c>
      <c r="CA100" s="13">
        <f t="shared" si="93"/>
        <v>46.865095976617653</v>
      </c>
      <c r="CB100" s="20">
        <f t="shared" si="64"/>
        <v>407.22865549260922</v>
      </c>
      <c r="CC100" s="59">
        <f t="shared" si="65"/>
        <v>700.56198882594254</v>
      </c>
      <c r="CD100" s="59">
        <f ca="1">AVERAGE(OFFSET($CC$3,0,0,'Données projet'!$E$12+1,1))-AVERAGE(OFFSET($H$3,0,0,'Données projet'!$E$12+1,1))</f>
        <v>201.70120933876507</v>
      </c>
      <c r="CE100" s="59">
        <f t="shared" si="94"/>
        <v>188.1234063307752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41.625405483098532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41.625405483098532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213.00000000000003</v>
      </c>
      <c r="CU100" s="17">
        <f>CT100*VLOOKUP('Données projet'!$B$13,Paramètres!$A$1:$I$89,3,0)*VLOOKUP('Données projet'!$B$13,Paramètres!$A$1:$I$89,5,0)</f>
        <v>156.17160000000004</v>
      </c>
      <c r="CV100" s="13">
        <f t="shared" si="95"/>
        <v>39.977795753356993</v>
      </c>
      <c r="CW100" s="20">
        <f t="shared" si="67"/>
        <v>341.62686427043013</v>
      </c>
      <c r="CX100" s="59">
        <f t="shared" si="68"/>
        <v>634.96019760376339</v>
      </c>
      <c r="CY100" s="59">
        <f ca="1">AVERAGE(OFFSET($CX$3,0,0,'Données projet'!$E$13+1,1))-AVERAGE(OFFSET($H$3,0,0,'Données projet'!$E$13+1,1))</f>
        <v>141.13780344922503</v>
      </c>
      <c r="CZ100" s="59">
        <f t="shared" si="96"/>
        <v>144.12010599544237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17.897854938594161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17.897854938594161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148.39628895278571</v>
      </c>
      <c r="AO101" s="59">
        <f t="shared" si="90"/>
        <v>361.07991692964788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20.715010015794817</v>
      </c>
      <c r="AW101" s="21">
        <f>EXP(-LN(2)/2)*AW100+(1-EXP(-LN(2)/2))/(LN(2)/2)*AQ101*AT101*VLOOKUP('Données projet'!$B$10,Paramètres!$A$1:$I$89,3,0)*0.475*44/12</f>
        <v>2.6171331993860014E-12</v>
      </c>
      <c r="AX101" s="21">
        <f t="shared" si="60"/>
        <v>20.715010015797436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8.3920000000000012</v>
      </c>
      <c r="BD101" s="12">
        <f>IF('Données projet'!$A$88&gt;35,BD100+BC101-BL100,IF(A101&lt;'Données projet'!$A$88,$BA$205^A101,IF(A101='Données projet'!$A$88,'Données projet'!$B$88,BD100+BC101-BL100)))</f>
        <v>351.84800000000024</v>
      </c>
      <c r="BE101" s="13">
        <f>BD101*VLOOKUP('Données projet'!$B$11,Paramètres!$A$1:$I$89,3,0)*VLOOKUP('Données projet'!$B$11,Paramètres!$A$1:$I$89,5,0)</f>
        <v>318.35207040000023</v>
      </c>
      <c r="BF101" s="13">
        <f t="shared" si="91"/>
        <v>75.01036689528604</v>
      </c>
      <c r="BG101" s="20">
        <f t="shared" si="61"/>
        <v>685.10624495595687</v>
      </c>
      <c r="BH101" s="59">
        <f t="shared" si="62"/>
        <v>978.43957828929024</v>
      </c>
      <c r="BI101" s="59">
        <f ca="1">AVERAGE(OFFSET($BH$3,0,0,'Données projet'!$E$11+1,1))-AVERAGE(OFFSET($H$3,0,0,'Données projet'!$E$11+1,1))</f>
        <v>465.85201723964195</v>
      </c>
      <c r="BJ101" s="59">
        <f t="shared" si="92"/>
        <v>110.67325286443491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89.47305729376842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89.47305729376842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3</v>
      </c>
      <c r="BY101" s="12">
        <f>IF('Données projet'!$A$114&gt;35,BY100+BX101-CG100,IF(A101&lt;'Données projet'!$A$114,$BV$205^A101,IF(A101='Données projet'!$A$114,'Données projet'!$B$114,BY100+BX101-CG100)))</f>
        <v>217.00000000000009</v>
      </c>
      <c r="BZ101" s="13">
        <f>BY101*VLOOKUP('Données projet'!$B$12,Paramètres!$A$1:$I$89,3,0)*VLOOKUP('Données projet'!$B$12,Paramètres!$A$1:$I$89,5,0)</f>
        <v>189.57120000000009</v>
      </c>
      <c r="CA101" s="13">
        <f t="shared" si="93"/>
        <v>47.445138796932483</v>
      </c>
      <c r="CB101" s="20">
        <f t="shared" si="64"/>
        <v>412.80345673799087</v>
      </c>
      <c r="CC101" s="59">
        <f t="shared" si="65"/>
        <v>706.13679007132419</v>
      </c>
      <c r="CD101" s="59">
        <f ca="1">AVERAGE(OFFSET($CC$3,0,0,'Données projet'!$E$12+1,1))-AVERAGE(OFFSET($H$3,0,0,'Données projet'!$E$12+1,1))</f>
        <v>201.70120933876507</v>
      </c>
      <c r="CE101" s="59">
        <f t="shared" si="94"/>
        <v>188.1234063307752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40.809156670565358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40.809156670565358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213.00000000000003</v>
      </c>
      <c r="CU101" s="17">
        <f>CT101*VLOOKUP('Données projet'!$B$13,Paramètres!$A$1:$I$89,3,0)*VLOOKUP('Données projet'!$B$13,Paramètres!$A$1:$I$89,5,0)</f>
        <v>156.17160000000004</v>
      </c>
      <c r="CV101" s="13">
        <f t="shared" si="95"/>
        <v>39.977795753356993</v>
      </c>
      <c r="CW101" s="20">
        <f t="shared" si="67"/>
        <v>341.62686427043013</v>
      </c>
      <c r="CX101" s="59">
        <f t="shared" si="68"/>
        <v>634.96019760376339</v>
      </c>
      <c r="CY101" s="59">
        <f ca="1">AVERAGE(OFFSET($CX$3,0,0,'Données projet'!$E$13+1,1))-AVERAGE(OFFSET($H$3,0,0,'Données projet'!$E$13+1,1))</f>
        <v>141.13780344922503</v>
      </c>
      <c r="CZ101" s="59">
        <f t="shared" si="96"/>
        <v>144.12010599544237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17.546888919861917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17.546888919861917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148.39628895278571</v>
      </c>
      <c r="AO102" s="59">
        <f t="shared" si="90"/>
        <v>361.07991692964788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20.148556977557877</v>
      </c>
      <c r="AW102" s="21">
        <f>EXP(-LN(2)/2)*AW101+(1-EXP(-LN(2)/2))/(LN(2)/2)*AQ102*AT102*VLOOKUP('Données projet'!$B$10,Paramètres!$A$1:$I$89,3,0)*0.475*44/12</f>
        <v>1.8505926325542863E-12</v>
      </c>
      <c r="AX102" s="21">
        <f t="shared" si="60"/>
        <v>20.148556977559728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8.3920000000000012</v>
      </c>
      <c r="BD102" s="12">
        <f>IF('Données projet'!$A$88&gt;35,BD101+BC102-BL101,IF(A102&lt;'Données projet'!$A$88,$BA$205^A102,IF(A102='Données projet'!$A$88,'Données projet'!$B$88,BD101+BC102-BL101)))</f>
        <v>360.24000000000024</v>
      </c>
      <c r="BE102" s="13">
        <f>BD102*VLOOKUP('Données projet'!$B$11,Paramètres!$A$1:$I$89,3,0)*VLOOKUP('Données projet'!$B$11,Paramètres!$A$1:$I$89,5,0)</f>
        <v>325.94515200000018</v>
      </c>
      <c r="BF102" s="13">
        <f t="shared" si="91"/>
        <v>76.589029772645205</v>
      </c>
      <c r="BG102" s="20">
        <f t="shared" si="61"/>
        <v>701.08036658735728</v>
      </c>
      <c r="BH102" s="59">
        <f t="shared" si="62"/>
        <v>994.41369992069053</v>
      </c>
      <c r="BI102" s="59">
        <f ca="1">AVERAGE(OFFSET($BH$3,0,0,'Données projet'!$E$11+1,1))-AVERAGE(OFFSET($H$3,0,0,'Données projet'!$E$11+1,1))</f>
        <v>465.85201723964195</v>
      </c>
      <c r="BJ102" s="59">
        <f t="shared" si="92"/>
        <v>110.67325286443491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87.718545213413918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87.718545213413918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3</v>
      </c>
      <c r="BY102" s="12">
        <f>IF('Données projet'!$A$114&gt;35,BY101+BX102-CG101,IF(A102&lt;'Données projet'!$A$114,$BV$205^A102,IF(A102='Données projet'!$A$114,'Données projet'!$B$114,BY101+BX102-CG101)))</f>
        <v>220.00000000000009</v>
      </c>
      <c r="BZ102" s="13">
        <f>BY102*VLOOKUP('Données projet'!$B$12,Paramètres!$A$1:$I$89,3,0)*VLOOKUP('Données projet'!$B$12,Paramètres!$A$1:$I$89,5,0)</f>
        <v>192.19200000000009</v>
      </c>
      <c r="CA102" s="13">
        <f t="shared" si="93"/>
        <v>48.024248921932482</v>
      </c>
      <c r="CB102" s="20">
        <f t="shared" si="64"/>
        <v>418.37663353903253</v>
      </c>
      <c r="CC102" s="59">
        <f t="shared" si="65"/>
        <v>711.70996687236584</v>
      </c>
      <c r="CD102" s="59">
        <f ca="1">AVERAGE(OFFSET($CC$3,0,0,'Données projet'!$E$12+1,1))-AVERAGE(OFFSET($H$3,0,0,'Données projet'!$E$12+1,1))</f>
        <v>201.70120933876507</v>
      </c>
      <c r="CE102" s="59">
        <f t="shared" si="94"/>
        <v>188.1234063307752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40.008913999383346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40.008913999383346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213.00000000000003</v>
      </c>
      <c r="CU102" s="17">
        <f>CT102*VLOOKUP('Données projet'!$B$13,Paramètres!$A$1:$I$89,3,0)*VLOOKUP('Données projet'!$B$13,Paramètres!$A$1:$I$89,5,0)</f>
        <v>156.17160000000004</v>
      </c>
      <c r="CV102" s="13">
        <f t="shared" si="95"/>
        <v>39.977795753356993</v>
      </c>
      <c r="CW102" s="20">
        <f t="shared" si="67"/>
        <v>341.62686427043013</v>
      </c>
      <c r="CX102" s="59">
        <f t="shared" si="68"/>
        <v>634.96019760376339</v>
      </c>
      <c r="CY102" s="59">
        <f ca="1">AVERAGE(OFFSET($CX$3,0,0,'Données projet'!$E$13+1,1))-AVERAGE(OFFSET($H$3,0,0,'Données projet'!$E$13+1,1))</f>
        <v>141.13780344922503</v>
      </c>
      <c r="CZ102" s="59">
        <f t="shared" si="96"/>
        <v>144.12010599544237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17.202805130688876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17.202805130688876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148.39628895278571</v>
      </c>
      <c r="AO103" s="59">
        <f t="shared" si="90"/>
        <v>361.07991692964788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19.597593627439995</v>
      </c>
      <c r="AW103" s="21">
        <f>EXP(-LN(2)/2)*AW102+(1-EXP(-LN(2)/2))/(LN(2)/2)*AQ103*AT103*VLOOKUP('Données projet'!$B$10,Paramètres!$A$1:$I$89,3,0)*0.475*44/12</f>
        <v>1.3085665996930007E-12</v>
      </c>
      <c r="AX103" s="21">
        <f t="shared" si="60"/>
        <v>19.597593627441302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8.3920000000000012</v>
      </c>
      <c r="BD103" s="12">
        <f>IF('Données projet'!$A$88&gt;35,BD102+BC103-BL102,IF(A103&lt;'Données projet'!$A$88,$BA$205^A103,IF(A103='Données projet'!$A$88,'Données projet'!$B$88,BD102+BC103-BL102)))</f>
        <v>368.63200000000023</v>
      </c>
      <c r="BE103" s="13">
        <f>BD103*VLOOKUP('Données projet'!$B$11,Paramètres!$A$1:$I$89,3,0)*VLOOKUP('Données projet'!$B$11,Paramètres!$A$1:$I$89,5,0)</f>
        <v>333.53823360000024</v>
      </c>
      <c r="BF103" s="13">
        <f t="shared" si="91"/>
        <v>78.163417328773136</v>
      </c>
      <c r="BG103" s="20">
        <f t="shared" si="61"/>
        <v>717.04704203428025</v>
      </c>
      <c r="BH103" s="59">
        <f t="shared" si="62"/>
        <v>1010.3803753676136</v>
      </c>
      <c r="BI103" s="59">
        <f ca="1">AVERAGE(OFFSET($BH$3,0,0,'Données projet'!$E$11+1,1))-AVERAGE(OFFSET($H$3,0,0,'Données projet'!$E$11+1,1))</f>
        <v>465.85201723964195</v>
      </c>
      <c r="BJ103" s="59">
        <f t="shared" si="92"/>
        <v>110.67325286443491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85.998438044808466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85.998438044808466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223</v>
      </c>
      <c r="BW103" s="12">
        <f>VLOOKUP(A103,'Données projet'!$A$113:$I$133,9,0)</f>
        <v>3</v>
      </c>
      <c r="BX103" s="12">
        <f t="array" ref="BX103">INDEX(BW:BW,MIN(IF(ISNUMBER(BW103:BW299),ROW(BW103:BW299),"")))</f>
        <v>3</v>
      </c>
      <c r="BY103" s="12">
        <f>IF('Données projet'!$A$114&gt;35,BY102+BX103-CG102,IF(A103&lt;'Données projet'!$A$114,$BV$205^A103,IF(A103='Données projet'!$A$114,'Données projet'!$B$114,BY102+BX103-CG102)))</f>
        <v>223.00000000000009</v>
      </c>
      <c r="BZ103" s="13">
        <f>BY103*VLOOKUP('Données projet'!$B$12,Paramètres!$A$1:$I$89,3,0)*VLOOKUP('Données projet'!$B$12,Paramètres!$A$1:$I$89,5,0)</f>
        <v>194.81280000000012</v>
      </c>
      <c r="CA103" s="13">
        <f t="shared" si="93"/>
        <v>48.602440540253902</v>
      </c>
      <c r="CB103" s="20">
        <f t="shared" si="64"/>
        <v>423.9482106076091</v>
      </c>
      <c r="CC103" s="59">
        <f t="shared" si="65"/>
        <v>717.28154394094236</v>
      </c>
      <c r="CD103" s="59">
        <f ca="1">AVERAGE(OFFSET($CC$3,0,0,'Données projet'!$E$12+1,1))-AVERAGE(OFFSET($H$3,0,0,'Données projet'!$E$12+1,1))</f>
        <v>201.70120933876507</v>
      </c>
      <c r="CE103" s="59">
        <f t="shared" si="94"/>
        <v>188.1234063307752</v>
      </c>
      <c r="CF103" s="15">
        <f>IF(ISNA(VLOOKUP(A103,'Données projet'!$A$113:$I$133,3,0)),0,VLOOKUP(A103,'Données projet'!$A$113:$I$133,3,0))</f>
        <v>17</v>
      </c>
      <c r="CG103" s="15">
        <f>IF(ISNA(VLOOKUP(A103,'Données projet'!$A$113:$I$133,4,0)),0,VLOOKUP(A103,'Données projet'!$A$113:$I$133,4,0))</f>
        <v>11</v>
      </c>
      <c r="CH103" s="16">
        <f>IF(ISNA(VLOOKUP(A103,'Données projet'!$A$113:$I$133,5,0)),0%,VLOOKUP(A103,'Données projet'!$A$113:$I$133,5,0)*VLOOKUP('Données projet'!$B$12,Paramètres!$A$1:$I$89,7,0))</f>
        <v>0.43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43.792308707322107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43.792308707322107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213.00000000000003</v>
      </c>
      <c r="CU103" s="17">
        <f>CT103*VLOOKUP('Données projet'!$B$13,Paramètres!$A$1:$I$89,3,0)*VLOOKUP('Données projet'!$B$13,Paramètres!$A$1:$I$89,5,0)</f>
        <v>156.17160000000004</v>
      </c>
      <c r="CV103" s="13">
        <f t="shared" si="95"/>
        <v>39.977795753356993</v>
      </c>
      <c r="CW103" s="20">
        <f t="shared" si="67"/>
        <v>341.62686427043013</v>
      </c>
      <c r="CX103" s="59">
        <f t="shared" si="68"/>
        <v>634.96019760376339</v>
      </c>
      <c r="CY103" s="59">
        <f ca="1">AVERAGE(OFFSET($CX$3,0,0,'Données projet'!$E$13+1,1))-AVERAGE(OFFSET($H$3,0,0,'Données projet'!$E$13+1,1))</f>
        <v>141.13780344922503</v>
      </c>
      <c r="CZ103" s="59">
        <f t="shared" si="96"/>
        <v>144.12010599544237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16.86546861475113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16.86546861475113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148.39628895278571</v>
      </c>
      <c r="AO104" s="59">
        <f t="shared" si="90"/>
        <v>361.07991692964788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19.061696399104989</v>
      </c>
      <c r="AW104" s="21">
        <f>EXP(-LN(2)/2)*AW103+(1-EXP(-LN(2)/2))/(LN(2)/2)*AQ104*AT104*VLOOKUP('Données projet'!$B$10,Paramètres!$A$1:$I$89,3,0)*0.475*44/12</f>
        <v>9.2529631627714316E-13</v>
      </c>
      <c r="AX104" s="21">
        <f t="shared" si="60"/>
        <v>19.061696399105912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8.3920000000000012</v>
      </c>
      <c r="BD104" s="12">
        <f>IF('Données projet'!$A$88&gt;35,BD103+BC104-BL103,IF(A104&lt;'Données projet'!$A$88,$BA$205^A104,IF(A104='Données projet'!$A$88,'Données projet'!$B$88,BD103+BC104-BL103)))</f>
        <v>377.02400000000023</v>
      </c>
      <c r="BE104" s="13">
        <f>BD104*VLOOKUP('Données projet'!$B$11,Paramètres!$A$1:$I$89,3,0)*VLOOKUP('Données projet'!$B$11,Paramètres!$A$1:$I$89,5,0)</f>
        <v>341.13131520000019</v>
      </c>
      <c r="BF104" s="13">
        <f t="shared" si="91"/>
        <v>79.733638096605603</v>
      </c>
      <c r="BG104" s="20">
        <f t="shared" si="61"/>
        <v>733.0064603249217</v>
      </c>
      <c r="BH104" s="59">
        <f t="shared" si="62"/>
        <v>1026.3397936582551</v>
      </c>
      <c r="BI104" s="59">
        <f ca="1">AVERAGE(OFFSET($BH$3,0,0,'Données projet'!$E$11+1,1))-AVERAGE(OFFSET($H$3,0,0,'Données projet'!$E$11+1,1))</f>
        <v>465.85201723964195</v>
      </c>
      <c r="BJ104" s="59">
        <f t="shared" si="92"/>
        <v>110.67325286443491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84.312061128617586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84.312061128617586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212.00000000000009</v>
      </c>
      <c r="BZ104" s="13">
        <f>BY104*VLOOKUP('Données projet'!$B$12,Paramètres!$A$1:$I$89,3,0)*VLOOKUP('Données projet'!$B$12,Paramètres!$A$1:$I$89,5,0)</f>
        <v>185.20320000000009</v>
      </c>
      <c r="CA104" s="13">
        <f t="shared" si="93"/>
        <v>46.477875402099386</v>
      </c>
      <c r="CB104" s="20">
        <f t="shared" si="64"/>
        <v>403.5112063253232</v>
      </c>
      <c r="CC104" s="59">
        <f t="shared" si="65"/>
        <v>696.84453965865646</v>
      </c>
      <c r="CD104" s="59">
        <f ca="1">AVERAGE(OFFSET($CC$3,0,0,'Données projet'!$E$12+1,1))-AVERAGE(OFFSET($H$3,0,0,'Données projet'!$E$12+1,1))</f>
        <v>201.70120933876507</v>
      </c>
      <c r="CE104" s="59">
        <f t="shared" si="94"/>
        <v>188.1234063307752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42.933568244242373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42.933568244242373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213.00000000000003</v>
      </c>
      <c r="CU104" s="17">
        <f>CT104*VLOOKUP('Données projet'!$B$13,Paramètres!$A$1:$I$89,3,0)*VLOOKUP('Données projet'!$B$13,Paramètres!$A$1:$I$89,5,0)</f>
        <v>156.17160000000004</v>
      </c>
      <c r="CV104" s="13">
        <f t="shared" si="95"/>
        <v>39.977795753356993</v>
      </c>
      <c r="CW104" s="20">
        <f t="shared" si="67"/>
        <v>341.62686427043013</v>
      </c>
      <c r="CX104" s="59">
        <f t="shared" si="68"/>
        <v>634.96019760376339</v>
      </c>
      <c r="CY104" s="59">
        <f ca="1">AVERAGE(OFFSET($CX$3,0,0,'Données projet'!$E$13+1,1))-AVERAGE(OFFSET($H$3,0,0,'Données projet'!$E$13+1,1))</f>
        <v>141.13780344922503</v>
      </c>
      <c r="CZ104" s="59">
        <f t="shared" si="96"/>
        <v>144.12010599544237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16.534747062135967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16.534747062135967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148.39628895278571</v>
      </c>
      <c r="AO105" s="59">
        <f t="shared" si="90"/>
        <v>361.07991692964788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18.540453308660414</v>
      </c>
      <c r="AW105" s="21">
        <f>EXP(-LN(2)/2)*AW104+(1-EXP(-LN(2)/2))/(LN(2)/2)*AQ105*AT105*VLOOKUP('Données projet'!$B$10,Paramètres!$A$1:$I$89,3,0)*0.475*44/12</f>
        <v>6.5428329984650034E-13</v>
      </c>
      <c r="AX105" s="21">
        <f t="shared" si="60"/>
        <v>18.540453308661068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8.3920000000000012</v>
      </c>
      <c r="BD105" s="12">
        <f>IF('Données projet'!$A$88&gt;35,BD104+BC105-BL104,IF(A105&lt;'Données projet'!$A$88,$BA$205^A105,IF(A105='Données projet'!$A$88,'Données projet'!$B$88,BD104+BC105-BL104)))</f>
        <v>385.41600000000022</v>
      </c>
      <c r="BE105" s="13">
        <f>BD105*VLOOKUP('Données projet'!$B$11,Paramètres!$A$1:$I$89,3,0)*VLOOKUP('Données projet'!$B$11,Paramètres!$A$1:$I$89,5,0)</f>
        <v>348.72439680000019</v>
      </c>
      <c r="BF105" s="13">
        <f t="shared" si="91"/>
        <v>81.299795501664008</v>
      </c>
      <c r="BG105" s="20">
        <f t="shared" si="61"/>
        <v>748.95880159206502</v>
      </c>
      <c r="BH105" s="59">
        <f t="shared" si="62"/>
        <v>1042.2921349253984</v>
      </c>
      <c r="BI105" s="59">
        <f ca="1">AVERAGE(OFFSET($BH$3,0,0,'Données projet'!$E$11+1,1))-AVERAGE(OFFSET($H$3,0,0,'Données projet'!$E$11+1,1))</f>
        <v>465.85201723964195</v>
      </c>
      <c r="BJ105" s="59">
        <f t="shared" si="92"/>
        <v>110.67325286443491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82.658753035164864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82.658753035164864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212.00000000000009</v>
      </c>
      <c r="BZ105" s="13">
        <f>BY105*VLOOKUP('Données projet'!$B$12,Paramètres!$A$1:$I$89,3,0)*VLOOKUP('Données projet'!$B$12,Paramètres!$A$1:$I$89,5,0)</f>
        <v>185.20320000000009</v>
      </c>
      <c r="CA105" s="13">
        <f t="shared" si="93"/>
        <v>46.477875402099386</v>
      </c>
      <c r="CB105" s="20">
        <f t="shared" si="64"/>
        <v>403.5112063253232</v>
      </c>
      <c r="CC105" s="59">
        <f t="shared" si="65"/>
        <v>696.84453965865646</v>
      </c>
      <c r="CD105" s="59">
        <f ca="1">AVERAGE(OFFSET($CC$3,0,0,'Données projet'!$E$12+1,1))-AVERAGE(OFFSET($H$3,0,0,'Données projet'!$E$12+1,1))</f>
        <v>201.70120933876507</v>
      </c>
      <c r="CE105" s="59">
        <f t="shared" si="94"/>
        <v>188.1234063307752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42.091667157863668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42.091667157863668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213.00000000000003</v>
      </c>
      <c r="CU105" s="17">
        <f>CT105*VLOOKUP('Données projet'!$B$13,Paramètres!$A$1:$I$89,3,0)*VLOOKUP('Données projet'!$B$13,Paramètres!$A$1:$I$89,5,0)</f>
        <v>156.17160000000004</v>
      </c>
      <c r="CV105" s="13">
        <f t="shared" si="95"/>
        <v>39.977795753356993</v>
      </c>
      <c r="CW105" s="20">
        <f t="shared" si="67"/>
        <v>341.62686427043013</v>
      </c>
      <c r="CX105" s="59">
        <f t="shared" si="68"/>
        <v>634.96019760376339</v>
      </c>
      <c r="CY105" s="59">
        <f ca="1">AVERAGE(OFFSET($CX$3,0,0,'Données projet'!$E$13+1,1))-AVERAGE(OFFSET($H$3,0,0,'Données projet'!$E$13+1,1))</f>
        <v>141.13780344922503</v>
      </c>
      <c r="CZ105" s="59">
        <f t="shared" si="96"/>
        <v>144.12010599544237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16.210510757447359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16.210510757447359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148.39628895278571</v>
      </c>
      <c r="AO106" s="59">
        <f t="shared" si="90"/>
        <v>361.07991692964788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18.033463637935029</v>
      </c>
      <c r="AW106" s="21">
        <f>EXP(-LN(2)/2)*AW105+(1-EXP(-LN(2)/2))/(LN(2)/2)*AQ106*AT106*VLOOKUP('Données projet'!$B$10,Paramètres!$A$1:$I$89,3,0)*0.475*44/12</f>
        <v>4.6264815813857158E-13</v>
      </c>
      <c r="AX106" s="21">
        <f t="shared" si="60"/>
        <v>18.03346363793549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8.3920000000000012</v>
      </c>
      <c r="BD106" s="12">
        <f>IF('Données projet'!$A$88&gt;35,BD105+BC106-BL105,IF(A106&lt;'Données projet'!$A$88,$BA$205^A106,IF(A106='Données projet'!$A$88,'Données projet'!$B$88,BD105+BC106-BL105)))</f>
        <v>393.80800000000022</v>
      </c>
      <c r="BE106" s="13">
        <f>BD106*VLOOKUP('Données projet'!$B$11,Paramètres!$A$1:$I$89,3,0)*VLOOKUP('Données projet'!$B$11,Paramètres!$A$1:$I$89,5,0)</f>
        <v>356.3174784000002</v>
      </c>
      <c r="BF106" s="13">
        <f t="shared" si="91"/>
        <v>82.861988208294747</v>
      </c>
      <c r="BG106" s="20">
        <f t="shared" si="61"/>
        <v>764.90423767611367</v>
      </c>
      <c r="BH106" s="59">
        <f t="shared" si="62"/>
        <v>1058.237571009447</v>
      </c>
      <c r="BI106" s="59">
        <f ca="1">AVERAGE(OFFSET($BH$3,0,0,'Données projet'!$E$11+1,1))-AVERAGE(OFFSET($H$3,0,0,'Données projet'!$E$11+1,1))</f>
        <v>465.85201723964195</v>
      </c>
      <c r="BJ106" s="59">
        <f t="shared" si="92"/>
        <v>110.67325286443491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81.037865305006378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81.037865305006378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212.00000000000009</v>
      </c>
      <c r="BZ106" s="13">
        <f>BY106*VLOOKUP('Données projet'!$B$12,Paramètres!$A$1:$I$89,3,0)*VLOOKUP('Données projet'!$B$12,Paramètres!$A$1:$I$89,5,0)</f>
        <v>185.20320000000009</v>
      </c>
      <c r="CA106" s="13">
        <f t="shared" si="93"/>
        <v>46.477875402099386</v>
      </c>
      <c r="CB106" s="20">
        <f t="shared" si="64"/>
        <v>403.5112063253232</v>
      </c>
      <c r="CC106" s="59">
        <f t="shared" si="65"/>
        <v>696.84453965865646</v>
      </c>
      <c r="CD106" s="59">
        <f ca="1">AVERAGE(OFFSET($CC$3,0,0,'Données projet'!$E$12+1,1))-AVERAGE(OFFSET($H$3,0,0,'Données projet'!$E$12+1,1))</f>
        <v>201.70120933876507</v>
      </c>
      <c r="CE106" s="59">
        <f t="shared" si="94"/>
        <v>188.1234063307752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41.266275238279889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41.266275238279889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213.00000000000003</v>
      </c>
      <c r="CU106" s="17">
        <f>CT106*VLOOKUP('Données projet'!$B$13,Paramètres!$A$1:$I$89,3,0)*VLOOKUP('Données projet'!$B$13,Paramètres!$A$1:$I$89,5,0)</f>
        <v>156.17160000000004</v>
      </c>
      <c r="CV106" s="13">
        <f t="shared" si="95"/>
        <v>39.977795753356993</v>
      </c>
      <c r="CW106" s="20">
        <f t="shared" si="67"/>
        <v>341.62686427043013</v>
      </c>
      <c r="CX106" s="59">
        <f t="shared" si="68"/>
        <v>634.96019760376339</v>
      </c>
      <c r="CY106" s="59">
        <f ca="1">AVERAGE(OFFSET($CX$3,0,0,'Données projet'!$E$13+1,1))-AVERAGE(OFFSET($H$3,0,0,'Données projet'!$E$13+1,1))</f>
        <v>141.13780344922503</v>
      </c>
      <c r="CZ106" s="59">
        <f t="shared" si="96"/>
        <v>144.12010599544237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15.892632528929076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15.892632528929076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148.39628895278571</v>
      </c>
      <c r="AO107" s="59">
        <f t="shared" si="90"/>
        <v>361.07991692964788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17.54033762641706</v>
      </c>
      <c r="AW107" s="21">
        <f>EXP(-LN(2)/2)*AW106+(1-EXP(-LN(2)/2))/(LN(2)/2)*AQ107*AT107*VLOOKUP('Données projet'!$B$10,Paramètres!$A$1:$I$89,3,0)*0.475*44/12</f>
        <v>3.2714164992325017E-13</v>
      </c>
      <c r="AX107" s="21">
        <f t="shared" si="60"/>
        <v>17.540337626417386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>
        <f>VLOOKUP(A107,'Données projet'!$A$87:$I$107,2,0)</f>
        <v>402.2</v>
      </c>
      <c r="BB107" s="12">
        <f>VLOOKUP(A107,'Données projet'!$A$87:$I$107,9,0)</f>
        <v>8.3920000000000012</v>
      </c>
      <c r="BC107" s="12">
        <f t="array" ref="BC107">INDEX(BB:BB,MIN(IF(ISNUMBER(BB107:BB303),ROW(BB107:BB303),"")))</f>
        <v>8.3920000000000012</v>
      </c>
      <c r="BD107" s="12">
        <f>IF('Données projet'!$A$88&gt;35,BD106+BC107-BL106,IF(A107&lt;'Données projet'!$A$88,$BA$205^A107,IF(A107='Données projet'!$A$88,'Données projet'!$B$88,BD106+BC107-BL106)))</f>
        <v>402.20000000000022</v>
      </c>
      <c r="BE107" s="13">
        <f>BD107*VLOOKUP('Données projet'!$B$11,Paramètres!$A$1:$I$89,3,0)*VLOOKUP('Données projet'!$B$11,Paramètres!$A$1:$I$89,5,0)</f>
        <v>363.91056000000015</v>
      </c>
      <c r="BF107" s="13">
        <f t="shared" si="91"/>
        <v>84.420310435564389</v>
      </c>
      <c r="BG107" s="20">
        <f t="shared" si="61"/>
        <v>780.84293267527482</v>
      </c>
      <c r="BH107" s="59">
        <f t="shared" si="62"/>
        <v>1074.1762660086081</v>
      </c>
      <c r="BI107" s="59">
        <f ca="1">AVERAGE(OFFSET($BH$3,0,0,'Données projet'!$E$11+1,1))-AVERAGE(OFFSET($H$3,0,0,'Données projet'!$E$11+1,1))</f>
        <v>465.85201723964195</v>
      </c>
      <c r="BJ107" s="59">
        <f t="shared" si="92"/>
        <v>110.67325286443491</v>
      </c>
      <c r="BK107" s="15">
        <f>IF(ISNA(VLOOKUP(A107,'Données projet'!$A$87:$I$107,3,0)),0,VLOOKUP(A107,'Données projet'!$A$87:$I$107,3,0))</f>
        <v>8</v>
      </c>
      <c r="BL107" s="15">
        <f>IF(ISNA(VLOOKUP(A107,'Données projet'!$A$87:$I$107,4,0)),0,VLOOKUP(A107,'Données projet'!$A$87:$I$107,4,0))</f>
        <v>60.19</v>
      </c>
      <c r="BM107" s="16">
        <f>IF(ISNA(VLOOKUP(A107,'Données projet'!$A$87:$I$107,5,0)),0%,VLOOKUP(A107,'Données projet'!$A$87:$I$107,5,0)*VLOOKUP('Données projet'!$B$11,Paramètres!$A$1:$I$89,7,0))</f>
        <v>0.43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105.33640461741996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105.33640461741996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212.00000000000009</v>
      </c>
      <c r="BZ107" s="13">
        <f>BY107*VLOOKUP('Données projet'!$B$12,Paramètres!$A$1:$I$89,3,0)*VLOOKUP('Données projet'!$B$12,Paramètres!$A$1:$I$89,5,0)</f>
        <v>185.20320000000009</v>
      </c>
      <c r="CA107" s="13">
        <f t="shared" si="93"/>
        <v>46.477875402099386</v>
      </c>
      <c r="CB107" s="20">
        <f t="shared" si="64"/>
        <v>403.5112063253232</v>
      </c>
      <c r="CC107" s="59">
        <f t="shared" si="65"/>
        <v>696.84453965865646</v>
      </c>
      <c r="CD107" s="59">
        <f ca="1">AVERAGE(OFFSET($CC$3,0,0,'Données projet'!$E$12+1,1))-AVERAGE(OFFSET($H$3,0,0,'Données projet'!$E$12+1,1))</f>
        <v>201.70120933876507</v>
      </c>
      <c r="CE107" s="59">
        <f t="shared" si="94"/>
        <v>188.1234063307752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40.457068750799792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40.457068750799792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213.00000000000003</v>
      </c>
      <c r="CU107" s="17">
        <f>CT107*VLOOKUP('Données projet'!$B$13,Paramètres!$A$1:$I$89,3,0)*VLOOKUP('Données projet'!$B$13,Paramètres!$A$1:$I$89,5,0)</f>
        <v>156.17160000000004</v>
      </c>
      <c r="CV107" s="13">
        <f t="shared" si="95"/>
        <v>39.977795753356993</v>
      </c>
      <c r="CW107" s="20">
        <f t="shared" si="67"/>
        <v>341.62686427043013</v>
      </c>
      <c r="CX107" s="59">
        <f t="shared" si="68"/>
        <v>634.96019760376339</v>
      </c>
      <c r="CY107" s="59">
        <f ca="1">AVERAGE(OFFSET($CX$3,0,0,'Données projet'!$E$13+1,1))-AVERAGE(OFFSET($H$3,0,0,'Données projet'!$E$13+1,1))</f>
        <v>141.13780344922503</v>
      </c>
      <c r="CZ107" s="59">
        <f t="shared" si="96"/>
        <v>144.12010599544237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15.58098769858546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15.58098769858546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148.39628895278571</v>
      </c>
      <c r="AO108" s="59">
        <f t="shared" si="90"/>
        <v>361.07991692964788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17.060696171616417</v>
      </c>
      <c r="AW108" s="21">
        <f>EXP(-LN(2)/2)*AW107+(1-EXP(-LN(2)/2))/(LN(2)/2)*AQ108*AT108*VLOOKUP('Données projet'!$B$10,Paramètres!$A$1:$I$89,3,0)*0.475*44/12</f>
        <v>2.3132407906928579E-13</v>
      </c>
      <c r="AX108" s="21">
        <f t="shared" si="60"/>
        <v>17.060696171616648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8.2550000000000008</v>
      </c>
      <c r="BD108" s="12">
        <f>IF('Données projet'!$A$88&gt;35,BD107+BC108-BL107,IF(A108&lt;'Données projet'!$A$88,$BA$205^A108,IF(A108='Données projet'!$A$88,'Données projet'!$B$88,BD107+BC108-BL107)))</f>
        <v>350.26500000000021</v>
      </c>
      <c r="BE108" s="13">
        <f>BD108*VLOOKUP('Données projet'!$B$11,Paramètres!$A$1:$I$89,3,0)*VLOOKUP('Données projet'!$B$11,Paramètres!$A$1:$I$89,5,0)</f>
        <v>316.91977200000019</v>
      </c>
      <c r="BF108" s="13">
        <f t="shared" si="91"/>
        <v>74.712091987581459</v>
      </c>
      <c r="BG108" s="20">
        <f t="shared" si="61"/>
        <v>682.09216311170474</v>
      </c>
      <c r="BH108" s="59">
        <f t="shared" si="62"/>
        <v>975.42549644503811</v>
      </c>
      <c r="BI108" s="59">
        <f ca="1">AVERAGE(OFFSET($BH$3,0,0,'Données projet'!$E$11+1,1))-AVERAGE(OFFSET($H$3,0,0,'Données projet'!$E$11+1,1))</f>
        <v>465.85201723964195</v>
      </c>
      <c r="BJ108" s="59">
        <f t="shared" si="92"/>
        <v>110.67325286443491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103.27082197173512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103.27082197173512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212.00000000000009</v>
      </c>
      <c r="BZ108" s="13">
        <f>BY108*VLOOKUP('Données projet'!$B$12,Paramètres!$A$1:$I$89,3,0)*VLOOKUP('Données projet'!$B$12,Paramètres!$A$1:$I$89,5,0)</f>
        <v>185.20320000000009</v>
      </c>
      <c r="CA108" s="13">
        <f t="shared" si="93"/>
        <v>46.477875402099386</v>
      </c>
      <c r="CB108" s="20">
        <f t="shared" si="64"/>
        <v>403.5112063253232</v>
      </c>
      <c r="CC108" s="59">
        <f t="shared" si="65"/>
        <v>696.84453965865646</v>
      </c>
      <c r="CD108" s="59">
        <f ca="1">AVERAGE(OFFSET($CC$3,0,0,'Données projet'!$E$12+1,1))-AVERAGE(OFFSET($H$3,0,0,'Données projet'!$E$12+1,1))</f>
        <v>201.70120933876507</v>
      </c>
      <c r="CE108" s="59">
        <f t="shared" si="94"/>
        <v>188.1234063307752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39.663730308971957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39.663730308971957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213.00000000000003</v>
      </c>
      <c r="CU108" s="17">
        <f>CT108*VLOOKUP('Données projet'!$B$13,Paramètres!$A$1:$I$89,3,0)*VLOOKUP('Données projet'!$B$13,Paramètres!$A$1:$I$89,5,0)</f>
        <v>156.17160000000004</v>
      </c>
      <c r="CV108" s="13">
        <f t="shared" si="95"/>
        <v>39.977795753356993</v>
      </c>
      <c r="CW108" s="20">
        <f t="shared" si="67"/>
        <v>341.62686427043013</v>
      </c>
      <c r="CX108" s="59">
        <f t="shared" si="68"/>
        <v>634.96019760376339</v>
      </c>
      <c r="CY108" s="59">
        <f ca="1">AVERAGE(OFFSET($CX$3,0,0,'Données projet'!$E$13+1,1))-AVERAGE(OFFSET($H$3,0,0,'Données projet'!$E$13+1,1))</f>
        <v>141.13780344922503</v>
      </c>
      <c r="CZ108" s="59">
        <f t="shared" si="96"/>
        <v>144.12010599544237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15.275454033280306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15.275454033280306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148.39628895278571</v>
      </c>
      <c r="AO109" s="59">
        <f t="shared" si="90"/>
        <v>361.07991692964788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16.594170537620549</v>
      </c>
      <c r="AW109" s="21">
        <f>EXP(-LN(2)/2)*AW108+(1-EXP(-LN(2)/2))/(LN(2)/2)*AQ109*AT109*VLOOKUP('Données projet'!$B$10,Paramètres!$A$1:$I$89,3,0)*0.475*44/12</f>
        <v>1.6357082496162509E-13</v>
      </c>
      <c r="AX109" s="21">
        <f t="shared" si="60"/>
        <v>16.594170537620712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8.2550000000000008</v>
      </c>
      <c r="BD109" s="12">
        <f>IF('Données projet'!$A$88&gt;35,BD108+BC109-BL108,IF(A109&lt;'Données projet'!$A$88,$BA$205^A109,IF(A109='Données projet'!$A$88,'Données projet'!$B$88,BD108+BC109-BL108)))</f>
        <v>358.52000000000021</v>
      </c>
      <c r="BE109" s="13">
        <f>BD109*VLOOKUP('Données projet'!$B$11,Paramètres!$A$1:$I$89,3,0)*VLOOKUP('Données projet'!$B$11,Paramètres!$A$1:$I$89,5,0)</f>
        <v>324.38889600000016</v>
      </c>
      <c r="BF109" s="13">
        <f t="shared" si="91"/>
        <v>76.26582358349178</v>
      </c>
      <c r="BG109" s="20">
        <f t="shared" si="61"/>
        <v>697.80696994124844</v>
      </c>
      <c r="BH109" s="59">
        <f t="shared" si="62"/>
        <v>991.14030327458181</v>
      </c>
      <c r="BI109" s="59">
        <f ca="1">AVERAGE(OFFSET($BH$3,0,0,'Données projet'!$E$11+1,1))-AVERAGE(OFFSET($H$3,0,0,'Données projet'!$E$11+1,1))</f>
        <v>465.85201723964195</v>
      </c>
      <c r="BJ109" s="59">
        <f t="shared" si="92"/>
        <v>110.67325286443491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101.24574414185115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101.24574414185115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212.00000000000009</v>
      </c>
      <c r="BZ109" s="13">
        <f>BY109*VLOOKUP('Données projet'!$B$12,Paramètres!$A$1:$I$89,3,0)*VLOOKUP('Données projet'!$B$12,Paramètres!$A$1:$I$89,5,0)</f>
        <v>185.20320000000009</v>
      </c>
      <c r="CA109" s="13">
        <f t="shared" si="93"/>
        <v>46.477875402099386</v>
      </c>
      <c r="CB109" s="20">
        <f t="shared" si="64"/>
        <v>403.5112063253232</v>
      </c>
      <c r="CC109" s="59">
        <f t="shared" si="65"/>
        <v>696.84453965865646</v>
      </c>
      <c r="CD109" s="59">
        <f ca="1">AVERAGE(OFFSET($CC$3,0,0,'Données projet'!$E$12+1,1))-AVERAGE(OFFSET($H$3,0,0,'Données projet'!$E$12+1,1))</f>
        <v>201.70120933876507</v>
      </c>
      <c r="CE109" s="59">
        <f t="shared" si="94"/>
        <v>188.1234063307752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38.885948750099693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38.885948750099693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213.00000000000003</v>
      </c>
      <c r="CU109" s="17">
        <f>CT109*VLOOKUP('Données projet'!$B$13,Paramètres!$A$1:$I$89,3,0)*VLOOKUP('Données projet'!$B$13,Paramètres!$A$1:$I$89,5,0)</f>
        <v>156.17160000000004</v>
      </c>
      <c r="CV109" s="13">
        <f t="shared" si="95"/>
        <v>39.977795753356993</v>
      </c>
      <c r="CW109" s="20">
        <f t="shared" si="67"/>
        <v>341.62686427043013</v>
      </c>
      <c r="CX109" s="59">
        <f t="shared" si="68"/>
        <v>634.96019760376339</v>
      </c>
      <c r="CY109" s="59">
        <f ca="1">AVERAGE(OFFSET($CX$3,0,0,'Données projet'!$E$13+1,1))-AVERAGE(OFFSET($H$3,0,0,'Données projet'!$E$13+1,1))</f>
        <v>141.13780344922503</v>
      </c>
      <c r="CZ109" s="59">
        <f t="shared" si="96"/>
        <v>144.12010599544237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14.975911696794652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14.975911696794652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148.39628895278571</v>
      </c>
      <c r="AO110" s="59">
        <f t="shared" si="90"/>
        <v>361.07991692964788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16.140402071619814</v>
      </c>
      <c r="AW110" s="21">
        <f>EXP(-LN(2)/2)*AW109+(1-EXP(-LN(2)/2))/(LN(2)/2)*AQ110*AT110*VLOOKUP('Données projet'!$B$10,Paramètres!$A$1:$I$89,3,0)*0.475*44/12</f>
        <v>1.1566203953464289E-13</v>
      </c>
      <c r="AX110" s="21">
        <f t="shared" si="60"/>
        <v>16.140402071619931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8.2550000000000008</v>
      </c>
      <c r="BD110" s="12">
        <f>IF('Données projet'!$A$88&gt;35,BD109+BC110-BL109,IF(A110&lt;'Données projet'!$A$88,$BA$205^A110,IF(A110='Données projet'!$A$88,'Données projet'!$B$88,BD109+BC110-BL109)))</f>
        <v>366.7750000000002</v>
      </c>
      <c r="BE110" s="13">
        <f>BD110*VLOOKUP('Données projet'!$B$11,Paramètres!$A$1:$I$89,3,0)*VLOOKUP('Données projet'!$B$11,Paramètres!$A$1:$I$89,5,0)</f>
        <v>331.85802000000018</v>
      </c>
      <c r="BF110" s="13">
        <f t="shared" si="91"/>
        <v>77.815396155904594</v>
      </c>
      <c r="BG110" s="20">
        <f t="shared" si="61"/>
        <v>713.51453313820082</v>
      </c>
      <c r="BH110" s="59">
        <f t="shared" si="62"/>
        <v>1006.8478664715342</v>
      </c>
      <c r="BI110" s="59">
        <f ca="1">AVERAGE(OFFSET($BH$3,0,0,'Données projet'!$E$11+1,1))-AVERAGE(OFFSET($H$3,0,0,'Données projet'!$E$11+1,1))</f>
        <v>465.85201723964195</v>
      </c>
      <c r="BJ110" s="59">
        <f t="shared" si="92"/>
        <v>110.67325286443491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99.260376853035694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99.260376853035694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212.00000000000009</v>
      </c>
      <c r="BZ110" s="13">
        <f>BY110*VLOOKUP('Données projet'!$B$12,Paramètres!$A$1:$I$89,3,0)*VLOOKUP('Données projet'!$B$12,Paramètres!$A$1:$I$89,5,0)</f>
        <v>185.20320000000009</v>
      </c>
      <c r="CA110" s="13">
        <f t="shared" si="93"/>
        <v>46.477875402099386</v>
      </c>
      <c r="CB110" s="20">
        <f t="shared" si="64"/>
        <v>403.5112063253232</v>
      </c>
      <c r="CC110" s="59">
        <f t="shared" si="65"/>
        <v>696.84453965865646</v>
      </c>
      <c r="CD110" s="59">
        <f ca="1">AVERAGE(OFFSET($CC$3,0,0,'Données projet'!$E$12+1,1))-AVERAGE(OFFSET($H$3,0,0,'Données projet'!$E$12+1,1))</f>
        <v>201.70120933876507</v>
      </c>
      <c r="CE110" s="59">
        <f t="shared" si="94"/>
        <v>188.1234063307752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38.123419013197008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38.123419013197008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213.00000000000003</v>
      </c>
      <c r="CU110" s="17">
        <f>CT110*VLOOKUP('Données projet'!$B$13,Paramètres!$A$1:$I$89,3,0)*VLOOKUP('Données projet'!$B$13,Paramètres!$A$1:$I$89,5,0)</f>
        <v>156.17160000000004</v>
      </c>
      <c r="CV110" s="13">
        <f t="shared" si="95"/>
        <v>39.977795753356993</v>
      </c>
      <c r="CW110" s="20">
        <f t="shared" si="67"/>
        <v>341.62686427043013</v>
      </c>
      <c r="CX110" s="59">
        <f t="shared" si="68"/>
        <v>634.96019760376339</v>
      </c>
      <c r="CY110" s="59">
        <f ca="1">AVERAGE(OFFSET($CX$3,0,0,'Données projet'!$E$13+1,1))-AVERAGE(OFFSET($H$3,0,0,'Données projet'!$E$13+1,1))</f>
        <v>141.13780344922503</v>
      </c>
      <c r="CZ110" s="59">
        <f t="shared" si="96"/>
        <v>144.12010599544237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14.682243202824697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14.682243202824697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148.39628895278571</v>
      </c>
      <c r="AO111" s="59">
        <f t="shared" si="90"/>
        <v>361.07991692964788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15.699041928184515</v>
      </c>
      <c r="AW111" s="21">
        <f>EXP(-LN(2)/2)*AW110+(1-EXP(-LN(2)/2))/(LN(2)/2)*AQ111*AT111*VLOOKUP('Données projet'!$B$10,Paramètres!$A$1:$I$89,3,0)*0.475*44/12</f>
        <v>8.1785412480812543E-14</v>
      </c>
      <c r="AX111" s="21">
        <f t="shared" si="60"/>
        <v>15.699041928184597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8.2550000000000008</v>
      </c>
      <c r="BD111" s="12">
        <f>IF('Données projet'!$A$88&gt;35,BD110+BC111-BL110,IF(A111&lt;'Données projet'!$A$88,$BA$205^A111,IF(A111='Données projet'!$A$88,'Données projet'!$B$88,BD110+BC111-BL110)))</f>
        <v>375.0300000000002</v>
      </c>
      <c r="BE111" s="13">
        <f>BD111*VLOOKUP('Données projet'!$B$11,Paramètres!$A$1:$I$89,3,0)*VLOOKUP('Données projet'!$B$11,Paramètres!$A$1:$I$89,5,0)</f>
        <v>339.32714400000015</v>
      </c>
      <c r="BF111" s="13">
        <f t="shared" si="91"/>
        <v>79.360914088808499</v>
      </c>
      <c r="BG111" s="20">
        <f t="shared" si="61"/>
        <v>729.21503450467515</v>
      </c>
      <c r="BH111" s="59">
        <f t="shared" si="62"/>
        <v>1022.5483678380085</v>
      </c>
      <c r="BI111" s="59">
        <f ca="1">AVERAGE(OFFSET($BH$3,0,0,'Données projet'!$E$11+1,1))-AVERAGE(OFFSET($H$3,0,0,'Données projet'!$E$11+1,1))</f>
        <v>465.85201723964195</v>
      </c>
      <c r="BJ111" s="59">
        <f t="shared" si="92"/>
        <v>110.67325286443491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97.31394140579944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97.31394140579944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212.00000000000009</v>
      </c>
      <c r="BZ111" s="13">
        <f>BY111*VLOOKUP('Données projet'!$B$12,Paramètres!$A$1:$I$89,3,0)*VLOOKUP('Données projet'!$B$12,Paramètres!$A$1:$I$89,5,0)</f>
        <v>185.20320000000009</v>
      </c>
      <c r="CA111" s="13">
        <f t="shared" si="93"/>
        <v>46.477875402099386</v>
      </c>
      <c r="CB111" s="20">
        <f t="shared" si="64"/>
        <v>403.5112063253232</v>
      </c>
      <c r="CC111" s="59">
        <f t="shared" si="65"/>
        <v>696.84453965865646</v>
      </c>
      <c r="CD111" s="59">
        <f ca="1">AVERAGE(OFFSET($CC$3,0,0,'Données projet'!$E$12+1,1))-AVERAGE(OFFSET($H$3,0,0,'Données projet'!$E$12+1,1))</f>
        <v>201.70120933876507</v>
      </c>
      <c r="CE111" s="59">
        <f t="shared" si="94"/>
        <v>188.1234063307752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37.375842019337767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37.375842019337767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213.00000000000003</v>
      </c>
      <c r="CU111" s="17">
        <f>CT111*VLOOKUP('Données projet'!$B$13,Paramètres!$A$1:$I$89,3,0)*VLOOKUP('Données projet'!$B$13,Paramètres!$A$1:$I$89,5,0)</f>
        <v>156.17160000000004</v>
      </c>
      <c r="CV111" s="13">
        <f t="shared" si="95"/>
        <v>39.977795753356993</v>
      </c>
      <c r="CW111" s="20">
        <f t="shared" si="67"/>
        <v>341.62686427043013</v>
      </c>
      <c r="CX111" s="59">
        <f t="shared" si="68"/>
        <v>634.96019760376339</v>
      </c>
      <c r="CY111" s="59">
        <f ca="1">AVERAGE(OFFSET($CX$3,0,0,'Données projet'!$E$13+1,1))-AVERAGE(OFFSET($H$3,0,0,'Données projet'!$E$13+1,1))</f>
        <v>141.13780344922503</v>
      </c>
      <c r="CZ111" s="59">
        <f t="shared" si="96"/>
        <v>144.12010599544237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14.394333368901398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14.394333368901398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148.39628895278571</v>
      </c>
      <c r="AO112" s="59">
        <f t="shared" si="90"/>
        <v>361.07991692964788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15.269750801081575</v>
      </c>
      <c r="AW112" s="21">
        <f>EXP(-LN(2)/2)*AW111+(1-EXP(-LN(2)/2))/(LN(2)/2)*AQ112*AT112*VLOOKUP('Données projet'!$B$10,Paramètres!$A$1:$I$89,3,0)*0.475*44/12</f>
        <v>5.7831019767321447E-14</v>
      </c>
      <c r="AX112" s="21">
        <f t="shared" si="60"/>
        <v>15.269750801081633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8.2550000000000008</v>
      </c>
      <c r="BD112" s="12">
        <f>IF('Données projet'!$A$88&gt;35,BD111+BC112-BL111,IF(A112&lt;'Données projet'!$A$88,$BA$205^A112,IF(A112='Données projet'!$A$88,'Données projet'!$B$88,BD111+BC112-BL111)))</f>
        <v>383.2850000000002</v>
      </c>
      <c r="BE112" s="13">
        <f>BD112*VLOOKUP('Données projet'!$B$11,Paramètres!$A$1:$I$89,3,0)*VLOOKUP('Données projet'!$B$11,Paramètres!$A$1:$I$89,5,0)</f>
        <v>346.79626800000017</v>
      </c>
      <c r="BF112" s="13">
        <f t="shared" si="91"/>
        <v>80.902476908478974</v>
      </c>
      <c r="BG112" s="20">
        <f t="shared" si="61"/>
        <v>744.90864738226776</v>
      </c>
      <c r="BH112" s="59">
        <f t="shared" si="62"/>
        <v>1038.2419807156011</v>
      </c>
      <c r="BI112" s="59">
        <f ca="1">AVERAGE(OFFSET($BH$3,0,0,'Données projet'!$E$11+1,1))-AVERAGE(OFFSET($H$3,0,0,'Données projet'!$E$11+1,1))</f>
        <v>465.85201723964195</v>
      </c>
      <c r="BJ112" s="59">
        <f t="shared" si="92"/>
        <v>110.67325286443491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95.405674370475083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95.405674370475083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212.00000000000009</v>
      </c>
      <c r="BZ112" s="13">
        <f>BY112*VLOOKUP('Données projet'!$B$12,Paramètres!$A$1:$I$89,3,0)*VLOOKUP('Données projet'!$B$12,Paramètres!$A$1:$I$89,5,0)</f>
        <v>185.20320000000009</v>
      </c>
      <c r="CA112" s="13">
        <f t="shared" si="93"/>
        <v>46.477875402099386</v>
      </c>
      <c r="CB112" s="20">
        <f t="shared" si="64"/>
        <v>403.5112063253232</v>
      </c>
      <c r="CC112" s="59">
        <f t="shared" si="65"/>
        <v>696.84453965865646</v>
      </c>
      <c r="CD112" s="59">
        <f ca="1">AVERAGE(OFFSET($CC$3,0,0,'Données projet'!$E$12+1,1))-AVERAGE(OFFSET($H$3,0,0,'Données projet'!$E$12+1,1))</f>
        <v>201.70120933876507</v>
      </c>
      <c r="CE112" s="59">
        <f t="shared" si="94"/>
        <v>188.1234063307752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36.642924554351168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36.642924554351168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213.00000000000003</v>
      </c>
      <c r="CU112" s="17">
        <f>CT112*VLOOKUP('Données projet'!$B$13,Paramètres!$A$1:$I$89,3,0)*VLOOKUP('Données projet'!$B$13,Paramètres!$A$1:$I$89,5,0)</f>
        <v>156.17160000000004</v>
      </c>
      <c r="CV112" s="13">
        <f t="shared" si="95"/>
        <v>39.977795753356993</v>
      </c>
      <c r="CW112" s="20">
        <f t="shared" si="67"/>
        <v>341.62686427043013</v>
      </c>
      <c r="CX112" s="59">
        <f t="shared" si="68"/>
        <v>634.96019760376339</v>
      </c>
      <c r="CY112" s="59">
        <f ca="1">AVERAGE(OFFSET($CX$3,0,0,'Données projet'!$E$13+1,1))-AVERAGE(OFFSET($H$3,0,0,'Données projet'!$E$13+1,1))</f>
        <v>141.13780344922503</v>
      </c>
      <c r="CZ112" s="59">
        <f t="shared" si="96"/>
        <v>144.12010599544237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14.112069271213675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14.112069271213675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148.39628895278571</v>
      </c>
      <c r="AO113" s="59">
        <f t="shared" si="90"/>
        <v>361.07991692964788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14.852198662424703</v>
      </c>
      <c r="AW113" s="21">
        <f>EXP(-LN(2)/2)*AW112+(1-EXP(-LN(2)/2))/(LN(2)/2)*AQ113*AT113*VLOOKUP('Données projet'!$B$10,Paramètres!$A$1:$I$89,3,0)*0.475*44/12</f>
        <v>4.0892706240406271E-14</v>
      </c>
      <c r="AX113" s="21">
        <f t="shared" si="60"/>
        <v>14.852198662424744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8.2550000000000008</v>
      </c>
      <c r="BD113" s="12">
        <f>IF('Données projet'!$A$88&gt;35,BD112+BC113-BL112,IF(A113&lt;'Données projet'!$A$88,$BA$205^A113,IF(A113='Données projet'!$A$88,'Données projet'!$B$88,BD112+BC113-BL112)))</f>
        <v>391.54000000000019</v>
      </c>
      <c r="BE113" s="13">
        <f>BD113*VLOOKUP('Données projet'!$B$11,Paramètres!$A$1:$I$89,3,0)*VLOOKUP('Données projet'!$B$11,Paramètres!$A$1:$I$89,5,0)</f>
        <v>354.26539200000013</v>
      </c>
      <c r="BF113" s="13">
        <f t="shared" si="91"/>
        <v>82.44017960921768</v>
      </c>
      <c r="BG113" s="20">
        <f t="shared" si="61"/>
        <v>760.59553721938767</v>
      </c>
      <c r="BH113" s="59">
        <f t="shared" si="62"/>
        <v>1053.928870552721</v>
      </c>
      <c r="BI113" s="59">
        <f ca="1">AVERAGE(OFFSET($BH$3,0,0,'Données projet'!$E$11+1,1))-AVERAGE(OFFSET($H$3,0,0,'Données projet'!$E$11+1,1))</f>
        <v>465.85201723964195</v>
      </c>
      <c r="BJ113" s="59">
        <f t="shared" si="92"/>
        <v>110.67325286443491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93.534827287785475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93.534827287785475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212.00000000000009</v>
      </c>
      <c r="BZ113" s="13">
        <f>BY113*VLOOKUP('Données projet'!$B$12,Paramètres!$A$1:$I$89,3,0)*VLOOKUP('Données projet'!$B$12,Paramètres!$A$1:$I$89,5,0)</f>
        <v>185.20320000000009</v>
      </c>
      <c r="CA113" s="13">
        <f t="shared" si="93"/>
        <v>46.477875402099386</v>
      </c>
      <c r="CB113" s="20">
        <f t="shared" si="64"/>
        <v>403.5112063253232</v>
      </c>
      <c r="CC113" s="59">
        <f t="shared" si="65"/>
        <v>696.84453965865646</v>
      </c>
      <c r="CD113" s="59">
        <f ca="1">AVERAGE(OFFSET($CC$3,0,0,'Données projet'!$E$12+1,1))-AVERAGE(OFFSET($H$3,0,0,'Données projet'!$E$12+1,1))</f>
        <v>201.70120933876507</v>
      </c>
      <c r="CE113" s="59">
        <f t="shared" si="94"/>
        <v>188.1234063307752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35.924379153817441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35.924379153817441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213.00000000000003</v>
      </c>
      <c r="CU113" s="17">
        <f>CT113*VLOOKUP('Données projet'!$B$13,Paramètres!$A$1:$I$89,3,0)*VLOOKUP('Données projet'!$B$13,Paramètres!$A$1:$I$89,5,0)</f>
        <v>156.17160000000004</v>
      </c>
      <c r="CV113" s="13">
        <f t="shared" si="95"/>
        <v>39.977795753356993</v>
      </c>
      <c r="CW113" s="20">
        <f t="shared" si="67"/>
        <v>341.62686427043013</v>
      </c>
      <c r="CX113" s="59">
        <f t="shared" si="68"/>
        <v>634.96019760376339</v>
      </c>
      <c r="CY113" s="59">
        <f ca="1">AVERAGE(OFFSET($CX$3,0,0,'Données projet'!$E$13+1,1))-AVERAGE(OFFSET($H$3,0,0,'Données projet'!$E$13+1,1))</f>
        <v>141.13780344922503</v>
      </c>
      <c r="CZ113" s="59">
        <f t="shared" si="96"/>
        <v>144.12010599544237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13.835340200317509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13.835340200317509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148.39628895278571</v>
      </c>
      <c r="AO114" s="59">
        <f t="shared" si="90"/>
        <v>361.07991692964788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14.446064508957518</v>
      </c>
      <c r="AW114" s="21">
        <f>EXP(-LN(2)/2)*AW113+(1-EXP(-LN(2)/2))/(LN(2)/2)*AQ114*AT114*VLOOKUP('Données projet'!$B$10,Paramètres!$A$1:$I$89,3,0)*0.475*44/12</f>
        <v>2.8915509883660724E-14</v>
      </c>
      <c r="AX114" s="21">
        <f t="shared" si="60"/>
        <v>14.446064508957546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8.2550000000000008</v>
      </c>
      <c r="BD114" s="12">
        <f>IF('Données projet'!$A$88&gt;35,BD113+BC114-BL113,IF(A114&lt;'Données projet'!$A$88,$BA$205^A114,IF(A114='Données projet'!$A$88,'Données projet'!$B$88,BD113+BC114-BL113)))</f>
        <v>399.79500000000019</v>
      </c>
      <c r="BE114" s="13">
        <f>BD114*VLOOKUP('Données projet'!$B$11,Paramètres!$A$1:$I$89,3,0)*VLOOKUP('Données projet'!$B$11,Paramètres!$A$1:$I$89,5,0)</f>
        <v>361.73451600000016</v>
      </c>
      <c r="BF114" s="13">
        <f t="shared" si="91"/>
        <v>83.974112950846617</v>
      </c>
      <c r="BG114" s="20">
        <f t="shared" si="61"/>
        <v>776.27586208939147</v>
      </c>
      <c r="BH114" s="59">
        <f t="shared" si="62"/>
        <v>1069.6091954227247</v>
      </c>
      <c r="BI114" s="59">
        <f ca="1">AVERAGE(OFFSET($BH$3,0,0,'Données projet'!$E$11+1,1))-AVERAGE(OFFSET($H$3,0,0,'Données projet'!$E$11+1,1))</f>
        <v>465.85201723964195</v>
      </c>
      <c r="BJ114" s="59">
        <f t="shared" si="92"/>
        <v>110.67325286443491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91.700666375283362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91.700666375283362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212.00000000000009</v>
      </c>
      <c r="BZ114" s="13">
        <f>BY114*VLOOKUP('Données projet'!$B$12,Paramètres!$A$1:$I$89,3,0)*VLOOKUP('Données projet'!$B$12,Paramètres!$A$1:$I$89,5,0)</f>
        <v>185.20320000000009</v>
      </c>
      <c r="CA114" s="13">
        <f t="shared" si="93"/>
        <v>46.477875402099386</v>
      </c>
      <c r="CB114" s="20">
        <f t="shared" si="64"/>
        <v>403.5112063253232</v>
      </c>
      <c r="CC114" s="59">
        <f t="shared" si="65"/>
        <v>696.84453965865646</v>
      </c>
      <c r="CD114" s="59">
        <f ca="1">AVERAGE(OFFSET($CC$3,0,0,'Données projet'!$E$12+1,1))-AVERAGE(OFFSET($H$3,0,0,'Données projet'!$E$12+1,1))</f>
        <v>201.70120933876507</v>
      </c>
      <c r="CE114" s="59">
        <f t="shared" si="94"/>
        <v>188.1234063307752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35.219923990318762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35.219923990318762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213.00000000000003</v>
      </c>
      <c r="CU114" s="17">
        <f>CT114*VLOOKUP('Données projet'!$B$13,Paramètres!$A$1:$I$89,3,0)*VLOOKUP('Données projet'!$B$13,Paramètres!$A$1:$I$89,5,0)</f>
        <v>156.17160000000004</v>
      </c>
      <c r="CV114" s="13">
        <f t="shared" si="95"/>
        <v>39.977795753356993</v>
      </c>
      <c r="CW114" s="20">
        <f t="shared" si="67"/>
        <v>341.62686427043013</v>
      </c>
      <c r="CX114" s="59">
        <f t="shared" si="68"/>
        <v>634.96019760376339</v>
      </c>
      <c r="CY114" s="59">
        <f ca="1">AVERAGE(OFFSET($CX$3,0,0,'Données projet'!$E$13+1,1))-AVERAGE(OFFSET($H$3,0,0,'Données projet'!$E$13+1,1))</f>
        <v>141.13780344922503</v>
      </c>
      <c r="CZ114" s="59">
        <f t="shared" si="96"/>
        <v>144.12010599544237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13.56403761771355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13.56403761771355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148.39628895278571</v>
      </c>
      <c r="AO115" s="59">
        <f t="shared" si="90"/>
        <v>361.07991692964788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14.05103611527456</v>
      </c>
      <c r="AW115" s="21">
        <f>EXP(-LN(2)/2)*AW114+(1-EXP(-LN(2)/2))/(LN(2)/2)*AQ115*AT115*VLOOKUP('Données projet'!$B$10,Paramètres!$A$1:$I$89,3,0)*0.475*44/12</f>
        <v>2.0446353120203136E-14</v>
      </c>
      <c r="AX115" s="21">
        <f t="shared" si="60"/>
        <v>14.051036115274581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8.2550000000000008</v>
      </c>
      <c r="BD115" s="12">
        <f>IF('Données projet'!$A$88&gt;35,BD114+BC115-BL114,IF(A115&lt;'Données projet'!$A$88,$BA$205^A115,IF(A115='Données projet'!$A$88,'Données projet'!$B$88,BD114+BC115-BL114)))</f>
        <v>408.05000000000018</v>
      </c>
      <c r="BE115" s="13">
        <f>BD115*VLOOKUP('Données projet'!$B$11,Paramètres!$A$1:$I$89,3,0)*VLOOKUP('Données projet'!$B$11,Paramètres!$A$1:$I$89,5,0)</f>
        <v>369.20364000000018</v>
      </c>
      <c r="BF115" s="13">
        <f t="shared" si="91"/>
        <v>85.504363730937129</v>
      </c>
      <c r="BG115" s="20">
        <f t="shared" si="61"/>
        <v>791.94977316471579</v>
      </c>
      <c r="BH115" s="59">
        <f t="shared" si="62"/>
        <v>1085.2831064980492</v>
      </c>
      <c r="BI115" s="59">
        <f ca="1">AVERAGE(OFFSET($BH$3,0,0,'Données projet'!$E$11+1,1))-AVERAGE(OFFSET($H$3,0,0,'Données projet'!$E$11+1,1))</f>
        <v>465.85201723964195</v>
      </c>
      <c r="BJ115" s="59">
        <f t="shared" si="92"/>
        <v>110.67325286443491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89.902472239547734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89.902472239547734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212.00000000000009</v>
      </c>
      <c r="BZ115" s="13">
        <f>BY115*VLOOKUP('Données projet'!$B$12,Paramètres!$A$1:$I$89,3,0)*VLOOKUP('Données projet'!$B$12,Paramètres!$A$1:$I$89,5,0)</f>
        <v>185.20320000000009</v>
      </c>
      <c r="CA115" s="13">
        <f t="shared" si="93"/>
        <v>46.477875402099386</v>
      </c>
      <c r="CB115" s="20">
        <f t="shared" si="64"/>
        <v>403.5112063253232</v>
      </c>
      <c r="CC115" s="59">
        <f t="shared" si="65"/>
        <v>696.84453965865646</v>
      </c>
      <c r="CD115" s="59">
        <f ca="1">AVERAGE(OFFSET($CC$3,0,0,'Données projet'!$E$12+1,1))-AVERAGE(OFFSET($H$3,0,0,'Données projet'!$E$12+1,1))</f>
        <v>201.70120933876507</v>
      </c>
      <c r="CE115" s="59">
        <f t="shared" si="94"/>
        <v>188.1234063307752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34.529282762901069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34.529282762901069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213.00000000000003</v>
      </c>
      <c r="CU115" s="17">
        <f>CT115*VLOOKUP('Données projet'!$B$13,Paramètres!$A$1:$I$89,3,0)*VLOOKUP('Données projet'!$B$13,Paramètres!$A$1:$I$89,5,0)</f>
        <v>156.17160000000004</v>
      </c>
      <c r="CV115" s="13">
        <f t="shared" si="95"/>
        <v>39.977795753356993</v>
      </c>
      <c r="CW115" s="20">
        <f t="shared" si="67"/>
        <v>341.62686427043013</v>
      </c>
      <c r="CX115" s="59">
        <f t="shared" si="68"/>
        <v>634.96019760376339</v>
      </c>
      <c r="CY115" s="59">
        <f ca="1">AVERAGE(OFFSET($CX$3,0,0,'Données projet'!$E$13+1,1))-AVERAGE(OFFSET($H$3,0,0,'Données projet'!$E$13+1,1))</f>
        <v>141.13780344922503</v>
      </c>
      <c r="CZ115" s="59">
        <f t="shared" si="96"/>
        <v>144.12010599544237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13.29805511327622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13.29805511327622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148.39628895278571</v>
      </c>
      <c r="AO116" s="59">
        <f t="shared" si="90"/>
        <v>361.07991692964788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13.666809793790501</v>
      </c>
      <c r="AW116" s="21">
        <f>EXP(-LN(2)/2)*AW115+(1-EXP(-LN(2)/2))/(LN(2)/2)*AQ116*AT116*VLOOKUP('Données projet'!$B$10,Paramètres!$A$1:$I$89,3,0)*0.475*44/12</f>
        <v>1.4457754941830362E-14</v>
      </c>
      <c r="AX116" s="21">
        <f t="shared" si="60"/>
        <v>13.666809793790515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8.2550000000000008</v>
      </c>
      <c r="BD116" s="12">
        <f>IF('Données projet'!$A$88&gt;35,BD115+BC116-BL115,IF(A116&lt;'Données projet'!$A$88,$BA$205^A116,IF(A116='Données projet'!$A$88,'Données projet'!$B$88,BD115+BC116-BL115)))</f>
        <v>416.30500000000018</v>
      </c>
      <c r="BE116" s="13">
        <f>BD116*VLOOKUP('Données projet'!$B$11,Paramètres!$A$1:$I$89,3,0)*VLOOKUP('Données projet'!$B$11,Paramètres!$A$1:$I$89,5,0)</f>
        <v>376.67276400000014</v>
      </c>
      <c r="BF116" s="13">
        <f t="shared" si="91"/>
        <v>87.031015034387593</v>
      </c>
      <c r="BG116" s="20">
        <f t="shared" si="61"/>
        <v>807.61741515155848</v>
      </c>
      <c r="BH116" s="59">
        <f t="shared" si="62"/>
        <v>1100.9507484848918</v>
      </c>
      <c r="BI116" s="59">
        <f ca="1">AVERAGE(OFFSET($BH$3,0,0,'Données projet'!$E$11+1,1))-AVERAGE(OFFSET($H$3,0,0,'Données projet'!$E$11+1,1))</f>
        <v>465.85201723964195</v>
      </c>
      <c r="BJ116" s="59">
        <f t="shared" si="92"/>
        <v>110.67325286443491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88.139539594023759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88.139539594023759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212.00000000000009</v>
      </c>
      <c r="BZ116" s="13">
        <f>BY116*VLOOKUP('Données projet'!$B$12,Paramètres!$A$1:$I$89,3,0)*VLOOKUP('Données projet'!$B$12,Paramètres!$A$1:$I$89,5,0)</f>
        <v>185.20320000000009</v>
      </c>
      <c r="CA116" s="13">
        <f t="shared" si="93"/>
        <v>46.477875402099386</v>
      </c>
      <c r="CB116" s="20">
        <f t="shared" si="64"/>
        <v>403.5112063253232</v>
      </c>
      <c r="CC116" s="59">
        <f t="shared" si="65"/>
        <v>696.84453965865646</v>
      </c>
      <c r="CD116" s="59">
        <f ca="1">AVERAGE(OFFSET($CC$3,0,0,'Données projet'!$E$12+1,1))-AVERAGE(OFFSET($H$3,0,0,'Données projet'!$E$12+1,1))</f>
        <v>201.70120933876507</v>
      </c>
      <c r="CE116" s="59">
        <f t="shared" si="94"/>
        <v>188.1234063307752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33.852184588703487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33.852184588703487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213.00000000000003</v>
      </c>
      <c r="CU116" s="17">
        <f>CT116*VLOOKUP('Données projet'!$B$13,Paramètres!$A$1:$I$89,3,0)*VLOOKUP('Données projet'!$B$13,Paramètres!$A$1:$I$89,5,0)</f>
        <v>156.17160000000004</v>
      </c>
      <c r="CV116" s="13">
        <f t="shared" si="95"/>
        <v>39.977795753356993</v>
      </c>
      <c r="CW116" s="20">
        <f t="shared" si="67"/>
        <v>341.62686427043013</v>
      </c>
      <c r="CX116" s="59">
        <f t="shared" si="68"/>
        <v>634.96019760376339</v>
      </c>
      <c r="CY116" s="59">
        <f ca="1">AVERAGE(OFFSET($CX$3,0,0,'Données projet'!$E$13+1,1))-AVERAGE(OFFSET($H$3,0,0,'Données projet'!$E$13+1,1))</f>
        <v>141.13780344922503</v>
      </c>
      <c r="CZ116" s="59">
        <f t="shared" si="96"/>
        <v>144.12010599544237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13.037288363517597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13.037288363517597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148.39628895278571</v>
      </c>
      <c r="AO117" s="59">
        <f t="shared" si="90"/>
        <v>361.07991692964788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13.293090161273009</v>
      </c>
      <c r="AW117" s="21">
        <f>EXP(-LN(2)/2)*AW116+(1-EXP(-LN(2)/2))/(LN(2)/2)*AQ117*AT117*VLOOKUP('Données projet'!$B$10,Paramètres!$A$1:$I$89,3,0)*0.475*44/12</f>
        <v>1.0223176560101568E-14</v>
      </c>
      <c r="AX117" s="21">
        <f t="shared" si="60"/>
        <v>13.293090161273019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>
        <f>VLOOKUP(A117,'Données projet'!$A$87:$I$107,2,0)</f>
        <v>424.56</v>
      </c>
      <c r="BB117" s="12">
        <f>VLOOKUP(A117,'Données projet'!$A$87:$I$107,9,0)</f>
        <v>8.2550000000000008</v>
      </c>
      <c r="BC117" s="12">
        <f t="array" ref="BC117">INDEX(BB:BB,MIN(IF(ISNUMBER(BB117:BB313),ROW(BB117:BB313),"")))</f>
        <v>8.2550000000000008</v>
      </c>
      <c r="BD117" s="12">
        <f>IF('Données projet'!$A$88&gt;35,BD116+BC117-BL116,IF(A117&lt;'Données projet'!$A$88,$BA$205^A117,IF(A117='Données projet'!$A$88,'Données projet'!$B$88,BD116+BC117-BL116)))</f>
        <v>424.56000000000017</v>
      </c>
      <c r="BE117" s="13">
        <f>BD117*VLOOKUP('Données projet'!$B$11,Paramètres!$A$1:$I$89,3,0)*VLOOKUP('Données projet'!$B$11,Paramètres!$A$1:$I$89,5,0)</f>
        <v>384.14188800000016</v>
      </c>
      <c r="BF117" s="13">
        <f t="shared" si="91"/>
        <v>88.554146462646813</v>
      </c>
      <c r="BG117" s="20">
        <f t="shared" si="61"/>
        <v>823.27892668911011</v>
      </c>
      <c r="BH117" s="59">
        <f t="shared" si="62"/>
        <v>1116.6122600224435</v>
      </c>
      <c r="BI117" s="59">
        <f ca="1">AVERAGE(OFFSET($BH$3,0,0,'Données projet'!$E$11+1,1))-AVERAGE(OFFSET($H$3,0,0,'Données projet'!$E$11+1,1))</f>
        <v>465.85201723964195</v>
      </c>
      <c r="BJ117" s="59">
        <f t="shared" si="92"/>
        <v>110.67325286443491</v>
      </c>
      <c r="BK117" s="15">
        <f>IF(ISNA(VLOOKUP(A117,'Données projet'!$A$87:$I$107,3,0)),0,VLOOKUP(A117,'Données projet'!$A$87:$I$107,3,0))</f>
        <v>9</v>
      </c>
      <c r="BL117" s="15">
        <f>IF(ISNA(VLOOKUP(A117,'Données projet'!$A$87:$I$107,4,0)),0,VLOOKUP(A117,'Données projet'!$A$87:$I$107,4,0))</f>
        <v>56.07</v>
      </c>
      <c r="BM117" s="16">
        <f>IF(ISNA(VLOOKUP(A117,'Données projet'!$A$87:$I$107,5,0)),0%,VLOOKUP(A117,'Données projet'!$A$87:$I$107,5,0)*VLOOKUP('Données projet'!$B$11,Paramètres!$A$1:$I$89,7,0))</f>
        <v>0.43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110.52681264692377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110.52681264692377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212.00000000000009</v>
      </c>
      <c r="BZ117" s="13">
        <f>BY117*VLOOKUP('Données projet'!$B$12,Paramètres!$A$1:$I$89,3,0)*VLOOKUP('Données projet'!$B$12,Paramètres!$A$1:$I$89,5,0)</f>
        <v>185.20320000000009</v>
      </c>
      <c r="CA117" s="13">
        <f t="shared" si="93"/>
        <v>46.477875402099386</v>
      </c>
      <c r="CB117" s="20">
        <f t="shared" si="64"/>
        <v>403.5112063253232</v>
      </c>
      <c r="CC117" s="59">
        <f t="shared" si="65"/>
        <v>696.84453965865646</v>
      </c>
      <c r="CD117" s="59">
        <f ca="1">AVERAGE(OFFSET($CC$3,0,0,'Données projet'!$E$12+1,1))-AVERAGE(OFFSET($H$3,0,0,'Données projet'!$E$12+1,1))</f>
        <v>201.70120933876507</v>
      </c>
      <c r="CE117" s="59">
        <f t="shared" si="94"/>
        <v>188.1234063307752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33.188363896712808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33.188363896712808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213.00000000000003</v>
      </c>
      <c r="CU117" s="17">
        <f>CT117*VLOOKUP('Données projet'!$B$13,Paramètres!$A$1:$I$89,3,0)*VLOOKUP('Données projet'!$B$13,Paramètres!$A$1:$I$89,5,0)</f>
        <v>156.17160000000004</v>
      </c>
      <c r="CV117" s="13">
        <f t="shared" si="95"/>
        <v>39.977795753356993</v>
      </c>
      <c r="CW117" s="20">
        <f t="shared" si="67"/>
        <v>341.62686427043013</v>
      </c>
      <c r="CX117" s="59">
        <f t="shared" si="68"/>
        <v>634.96019760376339</v>
      </c>
      <c r="CY117" s="59">
        <f ca="1">AVERAGE(OFFSET($CX$3,0,0,'Données projet'!$E$13+1,1))-AVERAGE(OFFSET($H$3,0,0,'Données projet'!$E$13+1,1))</f>
        <v>141.13780344922503</v>
      </c>
      <c r="CZ117" s="59">
        <f t="shared" si="96"/>
        <v>144.12010599544237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12.781635090669727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12.781635090669727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148.39628895278571</v>
      </c>
      <c r="AO118" s="59">
        <f t="shared" si="90"/>
        <v>361.07991692964788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12.929589911759768</v>
      </c>
      <c r="AW118" s="21">
        <f>EXP(-LN(2)/2)*AW117+(1-EXP(-LN(2)/2))/(LN(2)/2)*AQ118*AT118*VLOOKUP('Données projet'!$B$10,Paramètres!$A$1:$I$89,3,0)*0.475*44/12</f>
        <v>7.2288774709151809E-15</v>
      </c>
      <c r="AX118" s="21">
        <f t="shared" si="60"/>
        <v>12.929589911759775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8.3369999999999997</v>
      </c>
      <c r="BD118" s="12">
        <f>IF('Données projet'!$A$88&gt;35,BD117+BC118-BL117,IF(A118&lt;'Données projet'!$A$88,$BA$205^A118,IF(A118='Données projet'!$A$88,'Données projet'!$B$88,BD117+BC118-BL117)))</f>
        <v>376.82700000000017</v>
      </c>
      <c r="BE118" s="13">
        <f>BD118*VLOOKUP('Données projet'!$B$11,Paramètres!$A$1:$I$89,3,0)*VLOOKUP('Données projet'!$B$11,Paramètres!$A$1:$I$89,5,0)</f>
        <v>340.95306960000016</v>
      </c>
      <c r="BF118" s="13">
        <f t="shared" si="91"/>
        <v>79.69682454429082</v>
      </c>
      <c r="BG118" s="20">
        <f t="shared" si="61"/>
        <v>732.63189896797348</v>
      </c>
      <c r="BH118" s="59">
        <f t="shared" si="62"/>
        <v>1025.9652323013067</v>
      </c>
      <c r="BI118" s="59">
        <f ca="1">AVERAGE(OFFSET($BH$3,0,0,'Données projet'!$E$11+1,1))-AVERAGE(OFFSET($H$3,0,0,'Données projet'!$E$11+1,1))</f>
        <v>465.85201723964195</v>
      </c>
      <c r="BJ118" s="59">
        <f t="shared" si="92"/>
        <v>110.67325286443491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108.35944926561666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108.35944926561666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212.00000000000009</v>
      </c>
      <c r="BZ118" s="13">
        <f>BY118*VLOOKUP('Données projet'!$B$12,Paramètres!$A$1:$I$89,3,0)*VLOOKUP('Données projet'!$B$12,Paramètres!$A$1:$I$89,5,0)</f>
        <v>185.20320000000009</v>
      </c>
      <c r="CA118" s="13">
        <f t="shared" si="93"/>
        <v>46.477875402099386</v>
      </c>
      <c r="CB118" s="20">
        <f t="shared" si="64"/>
        <v>403.5112063253232</v>
      </c>
      <c r="CC118" s="59">
        <f t="shared" si="65"/>
        <v>696.84453965865646</v>
      </c>
      <c r="CD118" s="59">
        <f ca="1">AVERAGE(OFFSET($CC$3,0,0,'Données projet'!$E$12+1,1))-AVERAGE(OFFSET($H$3,0,0,'Données projet'!$E$12+1,1))</f>
        <v>201.70120933876507</v>
      </c>
      <c r="CE118" s="59">
        <f t="shared" si="94"/>
        <v>188.1234063307752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32.537560323601426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32.537560323601426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213.00000000000003</v>
      </c>
      <c r="CU118" s="17">
        <f>CT118*VLOOKUP('Données projet'!$B$13,Paramètres!$A$1:$I$89,3,0)*VLOOKUP('Données projet'!$B$13,Paramètres!$A$1:$I$89,5,0)</f>
        <v>156.17160000000004</v>
      </c>
      <c r="CV118" s="13">
        <f t="shared" si="95"/>
        <v>39.977795753356993</v>
      </c>
      <c r="CW118" s="20">
        <f t="shared" si="67"/>
        <v>341.62686427043013</v>
      </c>
      <c r="CX118" s="59">
        <f t="shared" si="68"/>
        <v>634.96019760376339</v>
      </c>
      <c r="CY118" s="59">
        <f ca="1">AVERAGE(OFFSET($CX$3,0,0,'Données projet'!$E$13+1,1))-AVERAGE(OFFSET($H$3,0,0,'Données projet'!$E$13+1,1))</f>
        <v>141.13780344922503</v>
      </c>
      <c r="CZ118" s="59">
        <f t="shared" si="96"/>
        <v>144.12010599544237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12.530995022569305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12.530995022569305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148.39628895278571</v>
      </c>
      <c r="AO119" s="59">
        <f t="shared" si="90"/>
        <v>361.07991692964788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12.576029595685116</v>
      </c>
      <c r="AW119" s="21">
        <f>EXP(-LN(2)/2)*AW118+(1-EXP(-LN(2)/2))/(LN(2)/2)*AQ119*AT119*VLOOKUP('Données projet'!$B$10,Paramètres!$A$1:$I$89,3,0)*0.475*44/12</f>
        <v>5.1115882800507839E-15</v>
      </c>
      <c r="AX119" s="21">
        <f t="shared" si="60"/>
        <v>12.576029595685121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8.3369999999999997</v>
      </c>
      <c r="BD119" s="12">
        <f>IF('Données projet'!$A$88&gt;35,BD118+BC119-BL118,IF(A119&lt;'Données projet'!$A$88,$BA$205^A119,IF(A119='Données projet'!$A$88,'Données projet'!$B$88,BD118+BC119-BL118)))</f>
        <v>385.16400000000016</v>
      </c>
      <c r="BE119" s="13">
        <f>BD119*VLOOKUP('Données projet'!$B$11,Paramètres!$A$1:$I$89,3,0)*VLOOKUP('Données projet'!$B$11,Paramètres!$A$1:$I$89,5,0)</f>
        <v>348.49638720000013</v>
      </c>
      <c r="BF119" s="13">
        <f t="shared" si="91"/>
        <v>81.252824211250186</v>
      </c>
      <c r="BG119" s="20">
        <f t="shared" si="61"/>
        <v>748.47987654126098</v>
      </c>
      <c r="BH119" s="59">
        <f t="shared" si="62"/>
        <v>1041.8132098745943</v>
      </c>
      <c r="BI119" s="59">
        <f ca="1">AVERAGE(OFFSET($BH$3,0,0,'Données projet'!$E$11+1,1))-AVERAGE(OFFSET($H$3,0,0,'Données projet'!$E$11+1,1))</f>
        <v>465.85201723964195</v>
      </c>
      <c r="BJ119" s="59">
        <f t="shared" si="92"/>
        <v>110.67325286443491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106.23458655825586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106.23458655825586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212.00000000000009</v>
      </c>
      <c r="BZ119" s="13">
        <f>BY119*VLOOKUP('Données projet'!$B$12,Paramètres!$A$1:$I$89,3,0)*VLOOKUP('Données projet'!$B$12,Paramètres!$A$1:$I$89,5,0)</f>
        <v>185.20320000000009</v>
      </c>
      <c r="CA119" s="13">
        <f t="shared" si="93"/>
        <v>46.477875402099386</v>
      </c>
      <c r="CB119" s="20">
        <f t="shared" si="64"/>
        <v>403.5112063253232</v>
      </c>
      <c r="CC119" s="59">
        <f t="shared" si="65"/>
        <v>696.84453965865646</v>
      </c>
      <c r="CD119" s="59">
        <f ca="1">AVERAGE(OFFSET($CC$3,0,0,'Données projet'!$E$12+1,1))-AVERAGE(OFFSET($H$3,0,0,'Données projet'!$E$12+1,1))</f>
        <v>201.70120933876507</v>
      </c>
      <c r="CE119" s="59">
        <f t="shared" si="94"/>
        <v>188.1234063307752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31.899518611607775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31.899518611607775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213.00000000000003</v>
      </c>
      <c r="CU119" s="17">
        <f>CT119*VLOOKUP('Données projet'!$B$13,Paramètres!$A$1:$I$89,3,0)*VLOOKUP('Données projet'!$B$13,Paramètres!$A$1:$I$89,5,0)</f>
        <v>156.17160000000004</v>
      </c>
      <c r="CV119" s="13">
        <f t="shared" si="95"/>
        <v>39.977795753356993</v>
      </c>
      <c r="CW119" s="20">
        <f t="shared" si="67"/>
        <v>341.62686427043013</v>
      </c>
      <c r="CX119" s="59">
        <f t="shared" si="68"/>
        <v>634.96019760376339</v>
      </c>
      <c r="CY119" s="59">
        <f ca="1">AVERAGE(OFFSET($CX$3,0,0,'Données projet'!$E$13+1,1))-AVERAGE(OFFSET($H$3,0,0,'Données projet'!$E$13+1,1))</f>
        <v>141.13780344922503</v>
      </c>
      <c r="CZ119" s="59">
        <f t="shared" si="96"/>
        <v>144.12010599544237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12.285269853328986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12.285269853328986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148.39628895278571</v>
      </c>
      <c r="AO120" s="59">
        <f t="shared" si="90"/>
        <v>361.07991692964788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12.232137405046453</v>
      </c>
      <c r="AW120" s="21">
        <f>EXP(-LN(2)/2)*AW119+(1-EXP(-LN(2)/2))/(LN(2)/2)*AQ120*AT120*VLOOKUP('Données projet'!$B$10,Paramètres!$A$1:$I$89,3,0)*0.475*44/12</f>
        <v>3.6144387354575905E-15</v>
      </c>
      <c r="AX120" s="21">
        <f t="shared" si="60"/>
        <v>12.232137405046457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8.3369999999999997</v>
      </c>
      <c r="BD120" s="12">
        <f>IF('Données projet'!$A$88&gt;35,BD119+BC120-BL119,IF(A120&lt;'Données projet'!$A$88,$BA$205^A120,IF(A120='Données projet'!$A$88,'Données projet'!$B$88,BD119+BC120-BL119)))</f>
        <v>393.50100000000015</v>
      </c>
      <c r="BE120" s="13">
        <f>BD120*VLOOKUP('Données projet'!$B$11,Paramètres!$A$1:$I$89,3,0)*VLOOKUP('Données projet'!$B$11,Paramètres!$A$1:$I$89,5,0)</f>
        <v>356.0397048000001</v>
      </c>
      <c r="BF120" s="13">
        <f t="shared" si="91"/>
        <v>82.804908123771014</v>
      </c>
      <c r="BG120" s="20">
        <f t="shared" si="61"/>
        <v>764.321034175568</v>
      </c>
      <c r="BH120" s="59">
        <f t="shared" si="62"/>
        <v>1057.6543675089013</v>
      </c>
      <c r="BI120" s="59">
        <f ca="1">AVERAGE(OFFSET($BH$3,0,0,'Données projet'!$E$11+1,1))-AVERAGE(OFFSET($H$3,0,0,'Données projet'!$E$11+1,1))</f>
        <v>465.85201723964195</v>
      </c>
      <c r="BJ120" s="59">
        <f t="shared" si="92"/>
        <v>110.67325286443491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104.15139111254811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104.15139111254811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212.00000000000009</v>
      </c>
      <c r="BZ120" s="13">
        <f>BY120*VLOOKUP('Données projet'!$B$12,Paramètres!$A$1:$I$89,3,0)*VLOOKUP('Données projet'!$B$12,Paramètres!$A$1:$I$89,5,0)</f>
        <v>185.20320000000009</v>
      </c>
      <c r="CA120" s="13">
        <f t="shared" si="93"/>
        <v>46.477875402099386</v>
      </c>
      <c r="CB120" s="20">
        <f t="shared" si="64"/>
        <v>403.5112063253232</v>
      </c>
      <c r="CC120" s="59">
        <f t="shared" si="65"/>
        <v>696.84453965865646</v>
      </c>
      <c r="CD120" s="59">
        <f ca="1">AVERAGE(OFFSET($CC$3,0,0,'Données projet'!$E$12+1,1))-AVERAGE(OFFSET($H$3,0,0,'Données projet'!$E$12+1,1))</f>
        <v>201.70120933876507</v>
      </c>
      <c r="CE120" s="59">
        <f t="shared" si="94"/>
        <v>188.1234063307752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31.273988508419301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31.273988508419301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213.00000000000003</v>
      </c>
      <c r="CU120" s="17">
        <f>CT120*VLOOKUP('Données projet'!$B$13,Paramètres!$A$1:$I$89,3,0)*VLOOKUP('Données projet'!$B$13,Paramètres!$A$1:$I$89,5,0)</f>
        <v>156.17160000000004</v>
      </c>
      <c r="CV120" s="13">
        <f t="shared" si="95"/>
        <v>39.977795753356993</v>
      </c>
      <c r="CW120" s="20">
        <f t="shared" si="67"/>
        <v>341.62686427043013</v>
      </c>
      <c r="CX120" s="59">
        <f t="shared" si="68"/>
        <v>634.96019760376339</v>
      </c>
      <c r="CY120" s="59">
        <f ca="1">AVERAGE(OFFSET($CX$3,0,0,'Données projet'!$E$13+1,1))-AVERAGE(OFFSET($H$3,0,0,'Données projet'!$E$13+1,1))</f>
        <v>141.13780344922503</v>
      </c>
      <c r="CZ120" s="59">
        <f t="shared" si="96"/>
        <v>144.12010599544237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12.044363204779915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12.044363204779915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148.39628895278571</v>
      </c>
      <c r="AO121" s="59">
        <f t="shared" si="90"/>
        <v>361.07991692964788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11.897648964445308</v>
      </c>
      <c r="AW121" s="21">
        <f>EXP(-LN(2)/2)*AW120+(1-EXP(-LN(2)/2))/(LN(2)/2)*AQ121*AT121*VLOOKUP('Données projet'!$B$10,Paramètres!$A$1:$I$89,3,0)*0.475*44/12</f>
        <v>2.555794140025392E-15</v>
      </c>
      <c r="AX121" s="21">
        <f t="shared" si="60"/>
        <v>11.89764896444531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8.3369999999999997</v>
      </c>
      <c r="BD121" s="12">
        <f>IF('Données projet'!$A$88&gt;35,BD120+BC121-BL120,IF(A121&lt;'Données projet'!$A$88,$BA$205^A121,IF(A121='Données projet'!$A$88,'Données projet'!$B$88,BD120+BC121-BL120)))</f>
        <v>401.83800000000014</v>
      </c>
      <c r="BE121" s="13">
        <f>BD121*VLOOKUP('Données projet'!$B$11,Paramètres!$A$1:$I$89,3,0)*VLOOKUP('Données projet'!$B$11,Paramètres!$A$1:$I$89,5,0)</f>
        <v>363.58302240000012</v>
      </c>
      <c r="BF121" s="13">
        <f t="shared" si="91"/>
        <v>84.353168800537972</v>
      </c>
      <c r="BG121" s="20">
        <f t="shared" si="61"/>
        <v>780.15553300760382</v>
      </c>
      <c r="BH121" s="59">
        <f t="shared" si="62"/>
        <v>1073.4888663409372</v>
      </c>
      <c r="BI121" s="59">
        <f ca="1">AVERAGE(OFFSET($BH$3,0,0,'Données projet'!$E$11+1,1))-AVERAGE(OFFSET($H$3,0,0,'Données projet'!$E$11+1,1))</f>
        <v>465.85201723964195</v>
      </c>
      <c r="BJ121" s="59">
        <f t="shared" si="92"/>
        <v>110.67325286443491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102.10904585890694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102.10904585890694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212.00000000000009</v>
      </c>
      <c r="BZ121" s="13">
        <f>BY121*VLOOKUP('Données projet'!$B$12,Paramètres!$A$1:$I$89,3,0)*VLOOKUP('Données projet'!$B$12,Paramètres!$A$1:$I$89,5,0)</f>
        <v>185.20320000000009</v>
      </c>
      <c r="CA121" s="13">
        <f t="shared" si="93"/>
        <v>46.477875402099386</v>
      </c>
      <c r="CB121" s="20">
        <f t="shared" si="64"/>
        <v>403.5112063253232</v>
      </c>
      <c r="CC121" s="59">
        <f t="shared" si="65"/>
        <v>696.84453965865646</v>
      </c>
      <c r="CD121" s="59">
        <f ca="1">AVERAGE(OFFSET($CC$3,0,0,'Données projet'!$E$12+1,1))-AVERAGE(OFFSET($H$3,0,0,'Données projet'!$E$12+1,1))</f>
        <v>201.70120933876507</v>
      </c>
      <c r="CE121" s="59">
        <f t="shared" si="94"/>
        <v>188.1234063307752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30.660724669018663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30.660724669018663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213.00000000000003</v>
      </c>
      <c r="CU121" s="17">
        <f>CT121*VLOOKUP('Données projet'!$B$13,Paramètres!$A$1:$I$89,3,0)*VLOOKUP('Données projet'!$B$13,Paramètres!$A$1:$I$89,5,0)</f>
        <v>156.17160000000004</v>
      </c>
      <c r="CV121" s="13">
        <f t="shared" si="95"/>
        <v>39.977795753356993</v>
      </c>
      <c r="CW121" s="20">
        <f t="shared" si="67"/>
        <v>341.62686427043013</v>
      </c>
      <c r="CX121" s="59">
        <f t="shared" si="68"/>
        <v>634.96019760376339</v>
      </c>
      <c r="CY121" s="59">
        <f ca="1">AVERAGE(OFFSET($CX$3,0,0,'Données projet'!$E$13+1,1))-AVERAGE(OFFSET($H$3,0,0,'Données projet'!$E$13+1,1))</f>
        <v>141.13780344922503</v>
      </c>
      <c r="CZ121" s="59">
        <f t="shared" si="96"/>
        <v>144.12010599544237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11.808180588670345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11.808180588670345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148.39628895278571</v>
      </c>
      <c r="AO122" s="59">
        <f t="shared" si="90"/>
        <v>361.07991692964788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11.572307127842384</v>
      </c>
      <c r="AW122" s="21">
        <f>EXP(-LN(2)/2)*AW121+(1-EXP(-LN(2)/2))/(LN(2)/2)*AQ122*AT122*VLOOKUP('Données projet'!$B$10,Paramètres!$A$1:$I$89,3,0)*0.475*44/12</f>
        <v>1.8072193677287952E-15</v>
      </c>
      <c r="AX122" s="21">
        <f t="shared" si="60"/>
        <v>11.572307127842386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8.3369999999999997</v>
      </c>
      <c r="BD122" s="12">
        <f>IF('Données projet'!$A$88&gt;35,BD121+BC122-BL121,IF(A122&lt;'Données projet'!$A$88,$BA$205^A122,IF(A122='Données projet'!$A$88,'Données projet'!$B$88,BD121+BC122-BL121)))</f>
        <v>410.17500000000013</v>
      </c>
      <c r="BE122" s="13">
        <f>BD122*VLOOKUP('Données projet'!$B$11,Paramètres!$A$1:$I$89,3,0)*VLOOKUP('Données projet'!$B$11,Paramètres!$A$1:$I$89,5,0)</f>
        <v>371.12634000000008</v>
      </c>
      <c r="BF122" s="13">
        <f t="shared" si="91"/>
        <v>85.897694701832052</v>
      </c>
      <c r="BG122" s="20">
        <f t="shared" si="61"/>
        <v>795.98352710569088</v>
      </c>
      <c r="BH122" s="59">
        <f t="shared" si="62"/>
        <v>1089.3168604390241</v>
      </c>
      <c r="BI122" s="59">
        <f ca="1">AVERAGE(OFFSET($BH$3,0,0,'Données projet'!$E$11+1,1))-AVERAGE(OFFSET($H$3,0,0,'Données projet'!$E$11+1,1))</f>
        <v>465.85201723964195</v>
      </c>
      <c r="BJ122" s="59">
        <f t="shared" si="92"/>
        <v>110.67325286443491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100.10674974998207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100.10674974998207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212.00000000000009</v>
      </c>
      <c r="BZ122" s="13">
        <f>BY122*VLOOKUP('Données projet'!$B$12,Paramètres!$A$1:$I$89,3,0)*VLOOKUP('Données projet'!$B$12,Paramètres!$A$1:$I$89,5,0)</f>
        <v>185.20320000000009</v>
      </c>
      <c r="CA122" s="13">
        <f t="shared" si="93"/>
        <v>46.477875402099386</v>
      </c>
      <c r="CB122" s="20">
        <f t="shared" si="64"/>
        <v>403.5112063253232</v>
      </c>
      <c r="CC122" s="59">
        <f t="shared" si="65"/>
        <v>696.84453965865646</v>
      </c>
      <c r="CD122" s="59">
        <f ca="1">AVERAGE(OFFSET($CC$3,0,0,'Données projet'!$E$12+1,1))-AVERAGE(OFFSET($H$3,0,0,'Données projet'!$E$12+1,1))</f>
        <v>201.70120933876507</v>
      </c>
      <c r="CE122" s="59">
        <f t="shared" si="94"/>
        <v>188.1234063307752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30.059486559454665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30.059486559454665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213.00000000000003</v>
      </c>
      <c r="CU122" s="17">
        <f>CT122*VLOOKUP('Données projet'!$B$13,Paramètres!$A$1:$I$89,3,0)*VLOOKUP('Données projet'!$B$13,Paramètres!$A$1:$I$89,5,0)</f>
        <v>156.17160000000004</v>
      </c>
      <c r="CV122" s="13">
        <f t="shared" si="95"/>
        <v>39.977795753356993</v>
      </c>
      <c r="CW122" s="20">
        <f t="shared" si="67"/>
        <v>341.62686427043013</v>
      </c>
      <c r="CX122" s="59">
        <f t="shared" si="68"/>
        <v>634.96019760376339</v>
      </c>
      <c r="CY122" s="59">
        <f ca="1">AVERAGE(OFFSET($CX$3,0,0,'Données projet'!$E$13+1,1))-AVERAGE(OFFSET($H$3,0,0,'Données projet'!$E$13+1,1))</f>
        <v>141.13780344922503</v>
      </c>
      <c r="CZ122" s="59">
        <f t="shared" si="96"/>
        <v>144.12010599544237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11.576629369605513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11.576629369605513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148.39628895278571</v>
      </c>
      <c r="AO123" s="59">
        <f t="shared" si="90"/>
        <v>361.07991692964788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11.255861780870351</v>
      </c>
      <c r="AW123" s="21">
        <f>EXP(-LN(2)/2)*AW122+(1-EXP(-LN(2)/2))/(LN(2)/2)*AQ123*AT123*VLOOKUP('Données projet'!$B$10,Paramètres!$A$1:$I$89,3,0)*0.475*44/12</f>
        <v>1.277897070012696E-15</v>
      </c>
      <c r="AX123" s="21">
        <f t="shared" si="60"/>
        <v>11.255861780870353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8.3369999999999997</v>
      </c>
      <c r="BD123" s="12">
        <f>IF('Données projet'!$A$88&gt;35,BD122+BC123-BL122,IF(A123&lt;'Données projet'!$A$88,$BA$205^A123,IF(A123='Données projet'!$A$88,'Données projet'!$B$88,BD122+BC123-BL122)))</f>
        <v>418.51200000000011</v>
      </c>
      <c r="BE123" s="13">
        <f>BD123*VLOOKUP('Données projet'!$B$11,Paramètres!$A$1:$I$89,3,0)*VLOOKUP('Données projet'!$B$11,Paramètres!$A$1:$I$89,5,0)</f>
        <v>378.66965760000005</v>
      </c>
      <c r="BF123" s="13">
        <f t="shared" si="91"/>
        <v>87.438570486366189</v>
      </c>
      <c r="BG123" s="20">
        <f t="shared" si="61"/>
        <v>811.80516391708795</v>
      </c>
      <c r="BH123" s="59">
        <f t="shared" si="62"/>
        <v>1105.1384972504213</v>
      </c>
      <c r="BI123" s="59">
        <f ca="1">AVERAGE(OFFSET($BH$3,0,0,'Données projet'!$E$11+1,1))-AVERAGE(OFFSET($H$3,0,0,'Données projet'!$E$11+1,1))</f>
        <v>465.85201723964195</v>
      </c>
      <c r="BJ123" s="59">
        <f t="shared" si="92"/>
        <v>110.67325286443491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98.14371744647319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98.14371744647319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212.00000000000009</v>
      </c>
      <c r="BZ123" s="13">
        <f>BY123*VLOOKUP('Données projet'!$B$12,Paramètres!$A$1:$I$89,3,0)*VLOOKUP('Données projet'!$B$12,Paramètres!$A$1:$I$89,5,0)</f>
        <v>185.20320000000009</v>
      </c>
      <c r="CA123" s="13">
        <f t="shared" si="93"/>
        <v>46.477875402099386</v>
      </c>
      <c r="CB123" s="20">
        <f t="shared" si="64"/>
        <v>403.5112063253232</v>
      </c>
      <c r="CC123" s="59">
        <f t="shared" si="65"/>
        <v>696.84453965865646</v>
      </c>
      <c r="CD123" s="59">
        <f ca="1">AVERAGE(OFFSET($CC$3,0,0,'Données projet'!$E$12+1,1))-AVERAGE(OFFSET($H$3,0,0,'Données projet'!$E$12+1,1))</f>
        <v>201.70120933876507</v>
      </c>
      <c r="CE123" s="59">
        <f t="shared" si="94"/>
        <v>188.1234063307752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29.47003836250018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29.47003836250018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213.00000000000003</v>
      </c>
      <c r="CU123" s="17">
        <f>CT123*VLOOKUP('Données projet'!$B$13,Paramètres!$A$1:$I$89,3,0)*VLOOKUP('Données projet'!$B$13,Paramètres!$A$1:$I$89,5,0)</f>
        <v>156.17160000000004</v>
      </c>
      <c r="CV123" s="13">
        <f t="shared" si="95"/>
        <v>39.977795753356993</v>
      </c>
      <c r="CW123" s="20">
        <f t="shared" si="67"/>
        <v>341.62686427043013</v>
      </c>
      <c r="CX123" s="59">
        <f t="shared" si="68"/>
        <v>634.96019760376339</v>
      </c>
      <c r="CY123" s="59">
        <f ca="1">AVERAGE(OFFSET($CX$3,0,0,'Données projet'!$E$13+1,1))-AVERAGE(OFFSET($H$3,0,0,'Données projet'!$E$13+1,1))</f>
        <v>141.13780344922503</v>
      </c>
      <c r="CZ123" s="59">
        <f t="shared" si="96"/>
        <v>144.12010599544237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11.349618728714244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11.349618728714244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148.39628895278571</v>
      </c>
      <c r="AO124" s="59">
        <f t="shared" si="90"/>
        <v>361.07991692964788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10.948069648552405</v>
      </c>
      <c r="AW124" s="21">
        <f>EXP(-LN(2)/2)*AW123+(1-EXP(-LN(2)/2))/(LN(2)/2)*AQ124*AT124*VLOOKUP('Données projet'!$B$10,Paramètres!$A$1:$I$89,3,0)*0.475*44/12</f>
        <v>9.0360968386439761E-16</v>
      </c>
      <c r="AX124" s="21">
        <f t="shared" si="60"/>
        <v>10.948069648552407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8.3369999999999997</v>
      </c>
      <c r="BD124" s="12">
        <f>IF('Données projet'!$A$88&gt;35,BD123+BC124-BL123,IF(A124&lt;'Données projet'!$A$88,$BA$205^A124,IF(A124='Données projet'!$A$88,'Données projet'!$B$88,BD123+BC124-BL123)))</f>
        <v>426.8490000000001</v>
      </c>
      <c r="BE124" s="13">
        <f>BD124*VLOOKUP('Données projet'!$B$11,Paramètres!$A$1:$I$89,3,0)*VLOOKUP('Données projet'!$B$11,Paramètres!$A$1:$I$89,5,0)</f>
        <v>386.21297520000007</v>
      </c>
      <c r="BF124" s="13">
        <f t="shared" si="91"/>
        <v>88.975877247077207</v>
      </c>
      <c r="BG124" s="20">
        <f t="shared" si="61"/>
        <v>827.62058467865961</v>
      </c>
      <c r="BH124" s="59">
        <f t="shared" si="62"/>
        <v>1120.953918011993</v>
      </c>
      <c r="BI124" s="59">
        <f ca="1">AVERAGE(OFFSET($BH$3,0,0,'Données projet'!$E$11+1,1))-AVERAGE(OFFSET($H$3,0,0,'Données projet'!$E$11+1,1))</f>
        <v>465.85201723964195</v>
      </c>
      <c r="BJ124" s="59">
        <f t="shared" si="92"/>
        <v>110.67325286443491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96.219179009104636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96.219179009104636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212.00000000000009</v>
      </c>
      <c r="BZ124" s="13">
        <f>BY124*VLOOKUP('Données projet'!$B$12,Paramètres!$A$1:$I$89,3,0)*VLOOKUP('Données projet'!$B$12,Paramètres!$A$1:$I$89,5,0)</f>
        <v>185.20320000000009</v>
      </c>
      <c r="CA124" s="13">
        <f t="shared" si="93"/>
        <v>46.477875402099386</v>
      </c>
      <c r="CB124" s="20">
        <f t="shared" si="64"/>
        <v>403.5112063253232</v>
      </c>
      <c r="CC124" s="59">
        <f t="shared" si="65"/>
        <v>696.84453965865646</v>
      </c>
      <c r="CD124" s="59">
        <f ca="1">AVERAGE(OFFSET($CC$3,0,0,'Données projet'!$E$12+1,1))-AVERAGE(OFFSET($H$3,0,0,'Données projet'!$E$12+1,1))</f>
        <v>201.70120933876507</v>
      </c>
      <c r="CE124" s="59">
        <f t="shared" si="94"/>
        <v>188.1234063307752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28.892148885160072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28.892148885160072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213.00000000000003</v>
      </c>
      <c r="CU124" s="17">
        <f>CT124*VLOOKUP('Données projet'!$B$13,Paramètres!$A$1:$I$89,3,0)*VLOOKUP('Données projet'!$B$13,Paramètres!$A$1:$I$89,5,0)</f>
        <v>156.17160000000004</v>
      </c>
      <c r="CV124" s="13">
        <f t="shared" si="95"/>
        <v>39.977795753356993</v>
      </c>
      <c r="CW124" s="20">
        <f t="shared" si="67"/>
        <v>341.62686427043013</v>
      </c>
      <c r="CX124" s="59">
        <f t="shared" si="68"/>
        <v>634.96019760376339</v>
      </c>
      <c r="CY124" s="59">
        <f ca="1">AVERAGE(OFFSET($CX$3,0,0,'Données projet'!$E$13+1,1))-AVERAGE(OFFSET($H$3,0,0,'Données projet'!$E$13+1,1))</f>
        <v>141.13780344922503</v>
      </c>
      <c r="CZ124" s="59">
        <f t="shared" si="96"/>
        <v>144.12010599544237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11.127059628028034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11.127059628028034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148.39628895278571</v>
      </c>
      <c r="AO125" s="59">
        <f t="shared" si="90"/>
        <v>361.07991692964788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10.648694108278779</v>
      </c>
      <c r="AW125" s="21">
        <f>EXP(-LN(2)/2)*AW124+(1-EXP(-LN(2)/2))/(LN(2)/2)*AQ125*AT125*VLOOKUP('Données projet'!$B$10,Paramètres!$A$1:$I$89,3,0)*0.475*44/12</f>
        <v>6.3894853500634799E-16</v>
      </c>
      <c r="AX125" s="21">
        <f t="shared" si="60"/>
        <v>10.648694108278779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8.3369999999999997</v>
      </c>
      <c r="BD125" s="12">
        <f>IF('Données projet'!$A$88&gt;35,BD124+BC125-BL124,IF(A125&lt;'Données projet'!$A$88,$BA$205^A125,IF(A125='Données projet'!$A$88,'Données projet'!$B$88,BD124+BC125-BL124)))</f>
        <v>435.18600000000009</v>
      </c>
      <c r="BE125" s="13">
        <f>BD125*VLOOKUP('Données projet'!$B$11,Paramètres!$A$1:$I$89,3,0)*VLOOKUP('Données projet'!$B$11,Paramètres!$A$1:$I$89,5,0)</f>
        <v>393.75629280000004</v>
      </c>
      <c r="BF125" s="13">
        <f t="shared" si="91"/>
        <v>90.509692727976613</v>
      </c>
      <c r="BG125" s="20">
        <f t="shared" si="61"/>
        <v>843.42992479455927</v>
      </c>
      <c r="BH125" s="59">
        <f t="shared" si="62"/>
        <v>1136.7632581278926</v>
      </c>
      <c r="BI125" s="59">
        <f ca="1">AVERAGE(OFFSET($BH$3,0,0,'Données projet'!$E$11+1,1))-AVERAGE(OFFSET($H$3,0,0,'Données projet'!$E$11+1,1))</f>
        <v>465.85201723964195</v>
      </c>
      <c r="BJ125" s="59">
        <f t="shared" si="92"/>
        <v>110.67325286443491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94.332379596640337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94.332379596640337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212.00000000000009</v>
      </c>
      <c r="BZ125" s="13">
        <f>BY125*VLOOKUP('Données projet'!$B$12,Paramètres!$A$1:$I$89,3,0)*VLOOKUP('Données projet'!$B$12,Paramètres!$A$1:$I$89,5,0)</f>
        <v>185.20320000000009</v>
      </c>
      <c r="CA125" s="13">
        <f t="shared" si="93"/>
        <v>46.477875402099386</v>
      </c>
      <c r="CB125" s="20">
        <f t="shared" si="64"/>
        <v>403.5112063253232</v>
      </c>
      <c r="CC125" s="59">
        <f t="shared" si="65"/>
        <v>696.84453965865646</v>
      </c>
      <c r="CD125" s="59">
        <f ca="1">AVERAGE(OFFSET($CC$3,0,0,'Données projet'!$E$12+1,1))-AVERAGE(OFFSET($H$3,0,0,'Données projet'!$E$12+1,1))</f>
        <v>201.70120933876507</v>
      </c>
      <c r="CE125" s="59">
        <f t="shared" si="94"/>
        <v>188.1234063307752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28.32559146799283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28.32559146799283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213.00000000000003</v>
      </c>
      <c r="CU125" s="17">
        <f>CT125*VLOOKUP('Données projet'!$B$13,Paramètres!$A$1:$I$89,3,0)*VLOOKUP('Données projet'!$B$13,Paramètres!$A$1:$I$89,5,0)</f>
        <v>156.17160000000004</v>
      </c>
      <c r="CV125" s="13">
        <f t="shared" si="95"/>
        <v>39.977795753356993</v>
      </c>
      <c r="CW125" s="20">
        <f t="shared" si="67"/>
        <v>341.62686427043013</v>
      </c>
      <c r="CX125" s="59">
        <f t="shared" si="68"/>
        <v>634.96019760376339</v>
      </c>
      <c r="CY125" s="59">
        <f ca="1">AVERAGE(OFFSET($CX$3,0,0,'Données projet'!$E$13+1,1))-AVERAGE(OFFSET($H$3,0,0,'Données projet'!$E$13+1,1))</f>
        <v>141.13780344922503</v>
      </c>
      <c r="CZ125" s="59">
        <f t="shared" si="96"/>
        <v>144.12010599544237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10.908864775558634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10.908864775558634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148.39628895278571</v>
      </c>
      <c r="AO126" s="59">
        <f t="shared" si="90"/>
        <v>361.07991692964788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10.35750500789741</v>
      </c>
      <c r="AW126" s="21">
        <f>EXP(-LN(2)/2)*AW125+(1-EXP(-LN(2)/2))/(LN(2)/2)*AQ126*AT126*VLOOKUP('Données projet'!$B$10,Paramètres!$A$1:$I$89,3,0)*0.475*44/12</f>
        <v>4.5180484193219881E-16</v>
      </c>
      <c r="AX126" s="21">
        <f t="shared" si="60"/>
        <v>10.35750500789741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8.3369999999999997</v>
      </c>
      <c r="BD126" s="12">
        <f>IF('Données projet'!$A$88&gt;35,BD125+BC126-BL125,IF(A126&lt;'Données projet'!$A$88,$BA$205^A126,IF(A126='Données projet'!$A$88,'Données projet'!$B$88,BD125+BC126-BL125)))</f>
        <v>443.52300000000008</v>
      </c>
      <c r="BE126" s="13">
        <f>BD126*VLOOKUP('Données projet'!$B$11,Paramètres!$A$1:$I$89,3,0)*VLOOKUP('Données projet'!$B$11,Paramètres!$A$1:$I$89,5,0)</f>
        <v>401.29961040000006</v>
      </c>
      <c r="BF126" s="13">
        <f t="shared" si="91"/>
        <v>92.040091523913034</v>
      </c>
      <c r="BG126" s="20">
        <f t="shared" si="61"/>
        <v>859.23331418414864</v>
      </c>
      <c r="BH126" s="59">
        <f t="shared" si="62"/>
        <v>1152.5666475174819</v>
      </c>
      <c r="BI126" s="59">
        <f ca="1">AVERAGE(OFFSET($BH$3,0,0,'Données projet'!$E$11+1,1))-AVERAGE(OFFSET($H$3,0,0,'Données projet'!$E$11+1,1))</f>
        <v>465.85201723964195</v>
      </c>
      <c r="BJ126" s="59">
        <f t="shared" si="92"/>
        <v>110.67325286443491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92.482579169820454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92.482579169820454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212.00000000000009</v>
      </c>
      <c r="BZ126" s="13">
        <f>BY126*VLOOKUP('Données projet'!$B$12,Paramètres!$A$1:$I$89,3,0)*VLOOKUP('Données projet'!$B$12,Paramètres!$A$1:$I$89,5,0)</f>
        <v>185.20320000000009</v>
      </c>
      <c r="CA126" s="13">
        <f t="shared" si="93"/>
        <v>46.477875402099386</v>
      </c>
      <c r="CB126" s="20">
        <f t="shared" si="64"/>
        <v>403.5112063253232</v>
      </c>
      <c r="CC126" s="59">
        <f t="shared" si="65"/>
        <v>696.84453965865646</v>
      </c>
      <c r="CD126" s="59">
        <f ca="1">AVERAGE(OFFSET($CC$3,0,0,'Données projet'!$E$12+1,1))-AVERAGE(OFFSET($H$3,0,0,'Données projet'!$E$12+1,1))</f>
        <v>201.70120933876507</v>
      </c>
      <c r="CE126" s="59">
        <f t="shared" si="94"/>
        <v>188.1234063307752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27.770143896210332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27.770143896210332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213.00000000000003</v>
      </c>
      <c r="CU126" s="17">
        <f>CT126*VLOOKUP('Données projet'!$B$13,Paramètres!$A$1:$I$89,3,0)*VLOOKUP('Données projet'!$B$13,Paramètres!$A$1:$I$89,5,0)</f>
        <v>156.17160000000004</v>
      </c>
      <c r="CV126" s="13">
        <f t="shared" si="95"/>
        <v>39.977795753356993</v>
      </c>
      <c r="CW126" s="20">
        <f t="shared" si="67"/>
        <v>341.62686427043013</v>
      </c>
      <c r="CX126" s="59">
        <f t="shared" si="68"/>
        <v>634.96019760376339</v>
      </c>
      <c r="CY126" s="59">
        <f ca="1">AVERAGE(OFFSET($CX$3,0,0,'Données projet'!$E$13+1,1))-AVERAGE(OFFSET($H$3,0,0,'Données projet'!$E$13+1,1))</f>
        <v>141.13780344922503</v>
      </c>
      <c r="CZ126" s="59">
        <f t="shared" si="96"/>
        <v>144.12010599544237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10.694948591060438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10.694948591060438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148.39628895278571</v>
      </c>
      <c r="AO127" s="59">
        <f t="shared" si="90"/>
        <v>361.07991692964788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10.07427848877894</v>
      </c>
      <c r="AW127" s="21">
        <f>EXP(-LN(2)/2)*AW126+(1-EXP(-LN(2)/2))/(LN(2)/2)*AQ127*AT127*VLOOKUP('Données projet'!$B$10,Paramètres!$A$1:$I$89,3,0)*0.475*44/12</f>
        <v>3.1947426750317399E-16</v>
      </c>
      <c r="AX127" s="21">
        <f t="shared" si="60"/>
        <v>10.07427848877894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>
        <f>VLOOKUP(A127,'Données projet'!$A$87:$I$107,2,0)</f>
        <v>451.86</v>
      </c>
      <c r="BB127" s="12">
        <f>VLOOKUP(A127,'Données projet'!$A$87:$I$107,9,0)</f>
        <v>8.3369999999999997</v>
      </c>
      <c r="BC127" s="12">
        <f t="array" ref="BC127">INDEX(BB:BB,MIN(IF(ISNUMBER(BB127:BB323),ROW(BB127:BB323),"")))</f>
        <v>8.3369999999999997</v>
      </c>
      <c r="BD127" s="12">
        <f>IF('Données projet'!$A$88&gt;35,BD126+BC127-BL126,IF(A127&lt;'Données projet'!$A$88,$BA$205^A127,IF(A127='Données projet'!$A$88,'Données projet'!$B$88,BD126+BC127-BL126)))</f>
        <v>451.86000000000007</v>
      </c>
      <c r="BE127" s="13">
        <f>BD127*VLOOKUP('Données projet'!$B$11,Paramètres!$A$1:$I$89,3,0)*VLOOKUP('Données projet'!$B$11,Paramètres!$A$1:$I$89,5,0)</f>
        <v>408.84292800000003</v>
      </c>
      <c r="BF127" s="13">
        <f t="shared" si="91"/>
        <v>93.567145264891124</v>
      </c>
      <c r="BG127" s="20">
        <f t="shared" si="61"/>
        <v>875.03087760301878</v>
      </c>
      <c r="BH127" s="59">
        <f t="shared" si="62"/>
        <v>1168.364210936352</v>
      </c>
      <c r="BI127" s="59">
        <f ca="1">AVERAGE(OFFSET($BH$3,0,0,'Données projet'!$E$11+1,1))-AVERAGE(OFFSET($H$3,0,0,'Données projet'!$E$11+1,1))</f>
        <v>465.85201723964195</v>
      </c>
      <c r="BJ127" s="59">
        <f t="shared" si="92"/>
        <v>110.67325286443491</v>
      </c>
      <c r="BK127" s="15">
        <f>IF(ISNA(VLOOKUP(A127,'Données projet'!$A$87:$I$107,3,0)),0,VLOOKUP(A127,'Données projet'!$A$87:$I$107,3,0))</f>
        <v>10</v>
      </c>
      <c r="BL127" s="15">
        <f>IF(ISNA(VLOOKUP(A127,'Données projet'!$A$87:$I$107,4,0)),0,VLOOKUP(A127,'Données projet'!$A$87:$I$107,4,0))</f>
        <v>52.53</v>
      </c>
      <c r="BM127" s="16">
        <f>IF(ISNA(VLOOKUP(A127,'Données projet'!$A$87:$I$107,5,0)),0%,VLOOKUP(A127,'Données projet'!$A$87:$I$107,5,0)*VLOOKUP('Données projet'!$B$11,Paramètres!$A$1:$I$89,7,0))</f>
        <v>0.43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113.26213836942286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113.26213836942286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212.00000000000009</v>
      </c>
      <c r="BZ127" s="13">
        <f>BY127*VLOOKUP('Données projet'!$B$12,Paramètres!$A$1:$I$89,3,0)*VLOOKUP('Données projet'!$B$12,Paramètres!$A$1:$I$89,5,0)</f>
        <v>185.20320000000009</v>
      </c>
      <c r="CA127" s="13">
        <f t="shared" si="93"/>
        <v>46.477875402099386</v>
      </c>
      <c r="CB127" s="20">
        <f t="shared" si="64"/>
        <v>403.5112063253232</v>
      </c>
      <c r="CC127" s="59">
        <f t="shared" si="65"/>
        <v>696.84453965865646</v>
      </c>
      <c r="CD127" s="59">
        <f ca="1">AVERAGE(OFFSET($CC$3,0,0,'Données projet'!$E$12+1,1))-AVERAGE(OFFSET($H$3,0,0,'Données projet'!$E$12+1,1))</f>
        <v>201.70120933876507</v>
      </c>
      <c r="CE127" s="59">
        <f t="shared" si="94"/>
        <v>188.1234063307752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27.225588312520923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27.225588312520923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213.00000000000003</v>
      </c>
      <c r="CU127" s="17">
        <f>CT127*VLOOKUP('Données projet'!$B$13,Paramètres!$A$1:$I$89,3,0)*VLOOKUP('Données projet'!$B$13,Paramètres!$A$1:$I$89,5,0)</f>
        <v>156.17160000000004</v>
      </c>
      <c r="CV127" s="13">
        <f t="shared" si="95"/>
        <v>39.977795753356993</v>
      </c>
      <c r="CW127" s="20">
        <f t="shared" si="67"/>
        <v>341.62686427043013</v>
      </c>
      <c r="CX127" s="59">
        <f t="shared" si="68"/>
        <v>634.96019760376339</v>
      </c>
      <c r="CY127" s="59">
        <f ca="1">AVERAGE(OFFSET($CX$3,0,0,'Données projet'!$E$13+1,1))-AVERAGE(OFFSET($H$3,0,0,'Données projet'!$E$13+1,1))</f>
        <v>141.13780344922503</v>
      </c>
      <c r="CZ127" s="59">
        <f t="shared" si="96"/>
        <v>144.12010599544237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10.485227172464263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10.485227172464263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148.39628895278571</v>
      </c>
      <c r="AO128" s="59">
        <f t="shared" si="90"/>
        <v>361.07991692964788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9.7987968137199992</v>
      </c>
      <c r="AW128" s="21">
        <f>EXP(-LN(2)/2)*AW127+(1-EXP(-LN(2)/2))/(LN(2)/2)*AQ128*AT128*VLOOKUP('Données projet'!$B$10,Paramètres!$A$1:$I$89,3,0)*0.475*44/12</f>
        <v>2.259024209660994E-16</v>
      </c>
      <c r="AX128" s="21">
        <f t="shared" si="60"/>
        <v>9.7987968137199992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8.4949999999999939</v>
      </c>
      <c r="BD128" s="12">
        <f>IF('Données projet'!$A$88&gt;35,BD127+BC128-BL127,IF(A128&lt;'Données projet'!$A$88,$BA$205^A128,IF(A128='Données projet'!$A$88,'Données projet'!$B$88,BD127+BC128-BL127)))</f>
        <v>407.82500000000005</v>
      </c>
      <c r="BE128" s="13">
        <f>BD128*VLOOKUP('Données projet'!$B$11,Paramètres!$A$1:$I$89,3,0)*VLOOKUP('Données projet'!$B$11,Paramètres!$A$1:$I$89,5,0)</f>
        <v>369.00006000000002</v>
      </c>
      <c r="BF128" s="13">
        <f t="shared" si="91"/>
        <v>85.462702983001037</v>
      </c>
      <c r="BG128" s="20">
        <f t="shared" si="61"/>
        <v>791.52264552872691</v>
      </c>
      <c r="BH128" s="59">
        <f t="shared" si="62"/>
        <v>1084.8559788620603</v>
      </c>
      <c r="BI128" s="59">
        <f ca="1">AVERAGE(OFFSET($BH$3,0,0,'Données projet'!$E$11+1,1))-AVERAGE(OFFSET($H$3,0,0,'Données projet'!$E$11+1,1))</f>
        <v>465.85201723964195</v>
      </c>
      <c r="BJ128" s="59">
        <f t="shared" si="92"/>
        <v>110.67325286443491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111.0411369190815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111.0411369190815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212.00000000000009</v>
      </c>
      <c r="BZ128" s="13">
        <f>BY128*VLOOKUP('Données projet'!$B$12,Paramètres!$A$1:$I$89,3,0)*VLOOKUP('Données projet'!$B$12,Paramètres!$A$1:$I$89,5,0)</f>
        <v>185.20320000000009</v>
      </c>
      <c r="CA128" s="13">
        <f t="shared" si="93"/>
        <v>46.477875402099386</v>
      </c>
      <c r="CB128" s="20">
        <f t="shared" si="64"/>
        <v>403.5112063253232</v>
      </c>
      <c r="CC128" s="59">
        <f t="shared" si="65"/>
        <v>696.84453965865646</v>
      </c>
      <c r="CD128" s="59">
        <f ca="1">AVERAGE(OFFSET($CC$3,0,0,'Données projet'!$E$12+1,1))-AVERAGE(OFFSET($H$3,0,0,'Données projet'!$E$12+1,1))</f>
        <v>201.70120933876507</v>
      </c>
      <c r="CE128" s="59">
        <f t="shared" si="94"/>
        <v>188.1234063307752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26.691711131681554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26.691711131681554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213.00000000000003</v>
      </c>
      <c r="CU128" s="17">
        <f>CT128*VLOOKUP('Données projet'!$B$13,Paramètres!$A$1:$I$89,3,0)*VLOOKUP('Données projet'!$B$13,Paramètres!$A$1:$I$89,5,0)</f>
        <v>156.17160000000004</v>
      </c>
      <c r="CV128" s="13">
        <f t="shared" si="95"/>
        <v>39.977795753356993</v>
      </c>
      <c r="CW128" s="20">
        <f t="shared" si="67"/>
        <v>341.62686427043013</v>
      </c>
      <c r="CX128" s="59">
        <f t="shared" si="68"/>
        <v>634.96019760376339</v>
      </c>
      <c r="CY128" s="59">
        <f ca="1">AVERAGE(OFFSET($CX$3,0,0,'Données projet'!$E$13+1,1))-AVERAGE(OFFSET($H$3,0,0,'Données projet'!$E$13+1,1))</f>
        <v>141.13780344922503</v>
      </c>
      <c r="CZ128" s="59">
        <f t="shared" si="96"/>
        <v>144.12010599544237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10.279618262969326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10.279618262969326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148.39628895278571</v>
      </c>
      <c r="AO129" s="59">
        <f t="shared" si="90"/>
        <v>361.07991692964788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9.5308481995524961</v>
      </c>
      <c r="AW129" s="21">
        <f>EXP(-LN(2)/2)*AW128+(1-EXP(-LN(2)/2))/(LN(2)/2)*AQ129*AT129*VLOOKUP('Données projet'!$B$10,Paramètres!$A$1:$I$89,3,0)*0.475*44/12</f>
        <v>1.59737133751587E-16</v>
      </c>
      <c r="AX129" s="21">
        <f t="shared" si="60"/>
        <v>9.5308481995524961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8.4949999999999939</v>
      </c>
      <c r="BD129" s="12">
        <f>IF('Données projet'!$A$88&gt;35,BD128+BC129-BL128,IF(A129&lt;'Données projet'!$A$88,$BA$205^A129,IF(A129='Données projet'!$A$88,'Données projet'!$B$88,BD128+BC129-BL128)))</f>
        <v>416.32000000000005</v>
      </c>
      <c r="BE129" s="13">
        <f>BD129*VLOOKUP('Données projet'!$B$11,Paramètres!$A$1:$I$89,3,0)*VLOOKUP('Données projet'!$B$11,Paramètres!$A$1:$I$89,5,0)</f>
        <v>376.68633600000004</v>
      </c>
      <c r="BF129" s="13">
        <f t="shared" si="91"/>
        <v>87.033785855430708</v>
      </c>
      <c r="BG129" s="20">
        <f t="shared" si="61"/>
        <v>807.64587889820859</v>
      </c>
      <c r="BH129" s="59">
        <f t="shared" si="62"/>
        <v>1100.9792122315419</v>
      </c>
      <c r="BI129" s="59">
        <f ca="1">AVERAGE(OFFSET($BH$3,0,0,'Données projet'!$E$11+1,1))-AVERAGE(OFFSET($H$3,0,0,'Données projet'!$E$11+1,1))</f>
        <v>465.85201723964195</v>
      </c>
      <c r="BJ129" s="59">
        <f t="shared" si="92"/>
        <v>110.67325286443491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108.86368795250421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108.86368795250421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212.00000000000009</v>
      </c>
      <c r="BZ129" s="13">
        <f>BY129*VLOOKUP('Données projet'!$B$12,Paramètres!$A$1:$I$89,3,0)*VLOOKUP('Données projet'!$B$12,Paramètres!$A$1:$I$89,5,0)</f>
        <v>185.20320000000009</v>
      </c>
      <c r="CA129" s="13">
        <f t="shared" si="93"/>
        <v>46.477875402099386</v>
      </c>
      <c r="CB129" s="20">
        <f t="shared" si="64"/>
        <v>403.5112063253232</v>
      </c>
      <c r="CC129" s="59">
        <f t="shared" si="65"/>
        <v>696.84453965865646</v>
      </c>
      <c r="CD129" s="59">
        <f ca="1">AVERAGE(OFFSET($CC$3,0,0,'Données projet'!$E$12+1,1))-AVERAGE(OFFSET($H$3,0,0,'Données projet'!$E$12+1,1))</f>
        <v>201.70120933876507</v>
      </c>
      <c r="CE129" s="59">
        <f t="shared" si="94"/>
        <v>188.1234063307752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26.168302956725519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26.168302956725519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213.00000000000003</v>
      </c>
      <c r="CU129" s="17">
        <f>CT129*VLOOKUP('Données projet'!$B$13,Paramètres!$A$1:$I$89,3,0)*VLOOKUP('Données projet'!$B$13,Paramètres!$A$1:$I$89,5,0)</f>
        <v>156.17160000000004</v>
      </c>
      <c r="CV129" s="13">
        <f t="shared" si="95"/>
        <v>39.977795753356993</v>
      </c>
      <c r="CW129" s="20">
        <f t="shared" si="67"/>
        <v>341.62686427043013</v>
      </c>
      <c r="CX129" s="59">
        <f t="shared" si="68"/>
        <v>634.96019760376339</v>
      </c>
      <c r="CY129" s="59">
        <f ca="1">AVERAGE(OFFSET($CX$3,0,0,'Données projet'!$E$13+1,1))-AVERAGE(OFFSET($H$3,0,0,'Données projet'!$E$13+1,1))</f>
        <v>141.13780344922503</v>
      </c>
      <c r="CZ129" s="59">
        <f t="shared" si="96"/>
        <v>144.12010599544237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10.078041218780532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10.078041218780532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148.39628895278571</v>
      </c>
      <c r="AO130" s="59">
        <f t="shared" si="90"/>
        <v>361.07991692964788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9.2702266543302088</v>
      </c>
      <c r="AW130" s="21">
        <f>EXP(-LN(2)/2)*AW129+(1-EXP(-LN(2)/2))/(LN(2)/2)*AQ130*AT130*VLOOKUP('Données projet'!$B$10,Paramètres!$A$1:$I$89,3,0)*0.475*44/12</f>
        <v>1.129512104830497E-16</v>
      </c>
      <c r="AX130" s="21">
        <f t="shared" si="60"/>
        <v>9.2702266543302088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8.4949999999999939</v>
      </c>
      <c r="BD130" s="12">
        <f>IF('Données projet'!$A$88&gt;35,BD129+BC130-BL129,IF(A130&lt;'Données projet'!$A$88,$BA$205^A130,IF(A130='Données projet'!$A$88,'Données projet'!$B$88,BD129+BC130-BL129)))</f>
        <v>424.81500000000005</v>
      </c>
      <c r="BE130" s="13">
        <f>BD130*VLOOKUP('Données projet'!$B$11,Paramètres!$A$1:$I$89,3,0)*VLOOKUP('Données projet'!$B$11,Paramètres!$A$1:$I$89,5,0)</f>
        <v>384.37261200000006</v>
      </c>
      <c r="BF130" s="13">
        <f t="shared" si="91"/>
        <v>88.6011413417054</v>
      </c>
      <c r="BG130" s="20">
        <f t="shared" si="61"/>
        <v>823.76262040347035</v>
      </c>
      <c r="BH130" s="59">
        <f t="shared" si="62"/>
        <v>1117.0959537368037</v>
      </c>
      <c r="BI130" s="59">
        <f ca="1">AVERAGE(OFFSET($BH$3,0,0,'Données projet'!$E$11+1,1))-AVERAGE(OFFSET($H$3,0,0,'Données projet'!$E$11+1,1))</f>
        <v>465.85201723964195</v>
      </c>
      <c r="BJ130" s="59">
        <f t="shared" si="92"/>
        <v>110.67325286443491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106.72893743204877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106.72893743204877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212.00000000000009</v>
      </c>
      <c r="BZ130" s="13">
        <f>BY130*VLOOKUP('Données projet'!$B$12,Paramètres!$A$1:$I$89,3,0)*VLOOKUP('Données projet'!$B$12,Paramètres!$A$1:$I$89,5,0)</f>
        <v>185.20320000000009</v>
      </c>
      <c r="CA130" s="13">
        <f t="shared" si="93"/>
        <v>46.477875402099386</v>
      </c>
      <c r="CB130" s="20">
        <f t="shared" si="64"/>
        <v>403.5112063253232</v>
      </c>
      <c r="CC130" s="59">
        <f t="shared" si="65"/>
        <v>696.84453965865646</v>
      </c>
      <c r="CD130" s="59">
        <f ca="1">AVERAGE(OFFSET($CC$3,0,0,'Données projet'!$E$12+1,1))-AVERAGE(OFFSET($H$3,0,0,'Données projet'!$E$12+1,1))</f>
        <v>201.70120933876507</v>
      </c>
      <c r="CE130" s="59">
        <f t="shared" si="94"/>
        <v>188.1234063307752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25.655158496832907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25.655158496832907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213.00000000000003</v>
      </c>
      <c r="CU130" s="17">
        <f>CT130*VLOOKUP('Données projet'!$B$13,Paramètres!$A$1:$I$89,3,0)*VLOOKUP('Données projet'!$B$13,Paramètres!$A$1:$I$89,5,0)</f>
        <v>156.17160000000004</v>
      </c>
      <c r="CV130" s="13">
        <f t="shared" si="95"/>
        <v>39.977795753356993</v>
      </c>
      <c r="CW130" s="20">
        <f t="shared" si="67"/>
        <v>341.62686427043013</v>
      </c>
      <c r="CX130" s="59">
        <f t="shared" si="68"/>
        <v>634.96019760376339</v>
      </c>
      <c r="CY130" s="59">
        <f ca="1">AVERAGE(OFFSET($CX$3,0,0,'Données projet'!$E$13+1,1))-AVERAGE(OFFSET($H$3,0,0,'Données projet'!$E$13+1,1))</f>
        <v>141.13780344922503</v>
      </c>
      <c r="CZ130" s="59">
        <f t="shared" si="96"/>
        <v>144.12010599544237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9.8804169774784238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9.8804169774784238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148.39628895278571</v>
      </c>
      <c r="AO131" s="59">
        <f t="shared" si="90"/>
        <v>361.07991692964788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9.0167318189675161</v>
      </c>
      <c r="AW131" s="21">
        <f>EXP(-LN(2)/2)*AW130+(1-EXP(-LN(2)/2))/(LN(2)/2)*AQ131*AT131*VLOOKUP('Données projet'!$B$10,Paramètres!$A$1:$I$89,3,0)*0.475*44/12</f>
        <v>7.9868566875793499E-17</v>
      </c>
      <c r="AX131" s="21">
        <f t="shared" si="60"/>
        <v>9.0167318189675161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8.4949999999999939</v>
      </c>
      <c r="BD131" s="12">
        <f>IF('Données projet'!$A$88&gt;35,BD130+BC131-BL130,IF(A131&lt;'Données projet'!$A$88,$BA$205^A131,IF(A131='Données projet'!$A$88,'Données projet'!$B$88,BD130+BC131-BL130)))</f>
        <v>433.31000000000006</v>
      </c>
      <c r="BE131" s="13">
        <f>BD131*VLOOKUP('Données projet'!$B$11,Paramètres!$A$1:$I$89,3,0)*VLOOKUP('Données projet'!$B$11,Paramètres!$A$1:$I$89,5,0)</f>
        <v>392.05888800000002</v>
      </c>
      <c r="BF131" s="13">
        <f t="shared" si="91"/>
        <v>90.164852568581111</v>
      </c>
      <c r="BG131" s="20">
        <f t="shared" si="61"/>
        <v>839.87301482361215</v>
      </c>
      <c r="BH131" s="59">
        <f t="shared" si="62"/>
        <v>1133.2063481569455</v>
      </c>
      <c r="BI131" s="59">
        <f ca="1">AVERAGE(OFFSET($BH$3,0,0,'Données projet'!$E$11+1,1))-AVERAGE(OFFSET($H$3,0,0,'Données projet'!$E$11+1,1))</f>
        <v>465.85201723964195</v>
      </c>
      <c r="BJ131" s="59">
        <f t="shared" si="92"/>
        <v>110.67325286443491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104.63604806723021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104.63604806723021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212.00000000000009</v>
      </c>
      <c r="BZ131" s="13">
        <f>BY131*VLOOKUP('Données projet'!$B$12,Paramètres!$A$1:$I$89,3,0)*VLOOKUP('Données projet'!$B$12,Paramètres!$A$1:$I$89,5,0)</f>
        <v>185.20320000000009</v>
      </c>
      <c r="CA131" s="13">
        <f t="shared" si="93"/>
        <v>46.477875402099386</v>
      </c>
      <c r="CB131" s="20">
        <f t="shared" si="64"/>
        <v>403.5112063253232</v>
      </c>
      <c r="CC131" s="59">
        <f t="shared" si="65"/>
        <v>696.84453965865646</v>
      </c>
      <c r="CD131" s="59">
        <f ca="1">AVERAGE(OFFSET($CC$3,0,0,'Données projet'!$E$12+1,1))-AVERAGE(OFFSET($H$3,0,0,'Données projet'!$E$12+1,1))</f>
        <v>201.70120933876507</v>
      </c>
      <c r="CE131" s="59">
        <f t="shared" si="94"/>
        <v>188.1234063307752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25.152076486811577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25.152076486811577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213.00000000000003</v>
      </c>
      <c r="CU131" s="17">
        <f>CT131*VLOOKUP('Données projet'!$B$13,Paramètres!$A$1:$I$89,3,0)*VLOOKUP('Données projet'!$B$13,Paramètres!$A$1:$I$89,5,0)</f>
        <v>156.17160000000004</v>
      </c>
      <c r="CV131" s="13">
        <f t="shared" si="95"/>
        <v>39.977795753356993</v>
      </c>
      <c r="CW131" s="20">
        <f t="shared" si="67"/>
        <v>341.62686427043013</v>
      </c>
      <c r="CX131" s="59">
        <f t="shared" si="68"/>
        <v>634.96019760376339</v>
      </c>
      <c r="CY131" s="59">
        <f ca="1">AVERAGE(OFFSET($CX$3,0,0,'Données projet'!$E$13+1,1))-AVERAGE(OFFSET($H$3,0,0,'Données projet'!$E$13+1,1))</f>
        <v>141.13780344922503</v>
      </c>
      <c r="CZ131" s="59">
        <f t="shared" si="96"/>
        <v>144.12010599544237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9.6866680270093646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9.6866680270093646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148.39628895278571</v>
      </c>
      <c r="AO132" s="59">
        <f t="shared" si="90"/>
        <v>361.07991692964788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8.7701688132085316</v>
      </c>
      <c r="AW132" s="21">
        <f>EXP(-LN(2)/2)*AW131+(1-EXP(-LN(2)/2))/(LN(2)/2)*AQ132*AT132*VLOOKUP('Données projet'!$B$10,Paramètres!$A$1:$I$89,3,0)*0.475*44/12</f>
        <v>5.6475605241524851E-17</v>
      </c>
      <c r="AX132" s="21">
        <f t="shared" ref="AX132:AX153" si="114">SUM(AU132:AW132)</f>
        <v>8.7701688132085316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8.4949999999999939</v>
      </c>
      <c r="BD132" s="12">
        <f>IF('Données projet'!$A$88&gt;35,BD131+BC132-BL131,IF(A132&lt;'Données projet'!$A$88,$BA$205^A132,IF(A132='Données projet'!$A$88,'Données projet'!$B$88,BD131+BC132-BL131)))</f>
        <v>441.80500000000006</v>
      </c>
      <c r="BE132" s="13">
        <f>BD132*VLOOKUP('Données projet'!$B$11,Paramètres!$A$1:$I$89,3,0)*VLOOKUP('Données projet'!$B$11,Paramètres!$A$1:$I$89,5,0)</f>
        <v>399.7451640000001</v>
      </c>
      <c r="BF132" s="13">
        <f t="shared" si="91"/>
        <v>91.724999217004651</v>
      </c>
      <c r="BG132" s="20">
        <f t="shared" ref="BG132:BG153" si="115">(BE132+BF132)*0.475*44/12</f>
        <v>855.97720093628323</v>
      </c>
      <c r="BH132" s="59">
        <f t="shared" ref="BH132:BH195" si="116">BG132+(AY132+AZ132)*44/12</f>
        <v>1149.3105342696165</v>
      </c>
      <c r="BI132" s="59">
        <f ca="1">AVERAGE(OFFSET($BH$3,0,0,'Données projet'!$E$11+1,1))-AVERAGE(OFFSET($H$3,0,0,'Données projet'!$E$11+1,1))</f>
        <v>465.85201723964195</v>
      </c>
      <c r="BJ132" s="59">
        <f t="shared" si="92"/>
        <v>110.67325286443491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102.58419898631928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102.58419898631928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212.00000000000009</v>
      </c>
      <c r="BZ132" s="13">
        <f>BY132*VLOOKUP('Données projet'!$B$12,Paramètres!$A$1:$I$89,3,0)*VLOOKUP('Données projet'!$B$12,Paramètres!$A$1:$I$89,5,0)</f>
        <v>185.20320000000009</v>
      </c>
      <c r="CA132" s="13">
        <f t="shared" si="93"/>
        <v>46.477875402099386</v>
      </c>
      <c r="CB132" s="20">
        <f t="shared" ref="CB132:CB153" si="118">(BZ132+CA132)*0.475*44/12</f>
        <v>403.5112063253232</v>
      </c>
      <c r="CC132" s="59">
        <f t="shared" ref="CC132:CC195" si="119">CB132+(BT132+BU132)*44/12</f>
        <v>696.84453965865646</v>
      </c>
      <c r="CD132" s="59">
        <f ca="1">AVERAGE(OFFSET($CC$3,0,0,'Données projet'!$E$12+1,1))-AVERAGE(OFFSET($H$3,0,0,'Données projet'!$E$12+1,1))</f>
        <v>201.70120933876507</v>
      </c>
      <c r="CE132" s="59">
        <f t="shared" si="94"/>
        <v>188.1234063307752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24.658859608157037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24.658859608157037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213.00000000000003</v>
      </c>
      <c r="CU132" s="17">
        <f>CT132*VLOOKUP('Données projet'!$B$13,Paramètres!$A$1:$I$89,3,0)*VLOOKUP('Données projet'!$B$13,Paramètres!$A$1:$I$89,5,0)</f>
        <v>156.17160000000004</v>
      </c>
      <c r="CV132" s="13">
        <f t="shared" si="95"/>
        <v>39.977795753356993</v>
      </c>
      <c r="CW132" s="20">
        <f t="shared" ref="CW132:CW153" si="121">(CU132+CV132)*0.475*44/12</f>
        <v>341.62686427043013</v>
      </c>
      <c r="CX132" s="59">
        <f t="shared" ref="CX132:CX195" si="122">CW132+(CO132+CP132)*44/12</f>
        <v>634.96019760376339</v>
      </c>
      <c r="CY132" s="59">
        <f ca="1">AVERAGE(OFFSET($CX$3,0,0,'Données projet'!$E$13+1,1))-AVERAGE(OFFSET($H$3,0,0,'Données projet'!$E$13+1,1))</f>
        <v>141.13780344922503</v>
      </c>
      <c r="CZ132" s="59">
        <f t="shared" si="96"/>
        <v>144.12010599544237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9.4967183752838125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9.4967183752838125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148.39628895278571</v>
      </c>
      <c r="AO133" s="59">
        <f t="shared" ref="AO133:AO196" si="144">$AO$3</f>
        <v>361.07991692964788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8.5303480858082104</v>
      </c>
      <c r="AW133" s="21">
        <f>EXP(-LN(2)/2)*AW132+(1-EXP(-LN(2)/2))/(LN(2)/2)*AQ133*AT133*VLOOKUP('Données projet'!$B$10,Paramètres!$A$1:$I$89,3,0)*0.475*44/12</f>
        <v>3.9934283437896749E-17</v>
      </c>
      <c r="AX133" s="21">
        <f t="shared" si="114"/>
        <v>8.5303480858082104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8.4949999999999939</v>
      </c>
      <c r="BD133" s="12">
        <f>IF('Données projet'!$A$88&gt;35,BD132+BC133-BL132,IF(A133&lt;'Données projet'!$A$88,$BA$205^A133,IF(A133='Données projet'!$A$88,'Données projet'!$B$88,BD132+BC133-BL132)))</f>
        <v>450.30000000000007</v>
      </c>
      <c r="BE133" s="13">
        <f>BD133*VLOOKUP('Données projet'!$B$11,Paramètres!$A$1:$I$89,3,0)*VLOOKUP('Données projet'!$B$11,Paramètres!$A$1:$I$89,5,0)</f>
        <v>407.43144000000007</v>
      </c>
      <c r="BF133" s="13">
        <f t="shared" ref="BF133:BF153" si="145">EXP(-1.0587+0.8836*LN(BE133)+0.284)</f>
        <v>93.281657728412767</v>
      </c>
      <c r="BG133" s="20">
        <f t="shared" si="115"/>
        <v>872.07531187698567</v>
      </c>
      <c r="BH133" s="59">
        <f t="shared" si="116"/>
        <v>1165.408645210319</v>
      </c>
      <c r="BI133" s="59">
        <f ca="1">AVERAGE(OFFSET($BH$3,0,0,'Données projet'!$E$11+1,1))-AVERAGE(OFFSET($H$3,0,0,'Données projet'!$E$11+1,1))</f>
        <v>465.85201723964195</v>
      </c>
      <c r="BJ133" s="59">
        <f t="shared" ref="BJ133:BJ196" si="146">$BJ$3</f>
        <v>110.67325286443491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100.57258541438065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100.57258541438065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212.00000000000009</v>
      </c>
      <c r="BZ133" s="13">
        <f>BY133*VLOOKUP('Données projet'!$B$12,Paramètres!$A$1:$I$89,3,0)*VLOOKUP('Données projet'!$B$12,Paramètres!$A$1:$I$89,5,0)</f>
        <v>185.20320000000009</v>
      </c>
      <c r="CA133" s="13">
        <f t="shared" ref="CA133:CA153" si="147">EXP(-1.0587+0.8836*LN(BZ133)+0.284)</f>
        <v>46.477875402099386</v>
      </c>
      <c r="CB133" s="20">
        <f t="shared" si="118"/>
        <v>403.5112063253232</v>
      </c>
      <c r="CC133" s="59">
        <f t="shared" si="119"/>
        <v>696.84453965865646</v>
      </c>
      <c r="CD133" s="59">
        <f ca="1">AVERAGE(OFFSET($CC$3,0,0,'Données projet'!$E$12+1,1))-AVERAGE(OFFSET($H$3,0,0,'Données projet'!$E$12+1,1))</f>
        <v>201.70120933876507</v>
      </c>
      <c r="CE133" s="59">
        <f t="shared" ref="CE133:CE196" si="148">$CE$3</f>
        <v>188.1234063307752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24.17531441166032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24.17531441166032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213.00000000000003</v>
      </c>
      <c r="CU133" s="17">
        <f>CT133*VLOOKUP('Données projet'!$B$13,Paramètres!$A$1:$I$89,3,0)*VLOOKUP('Données projet'!$B$13,Paramètres!$A$1:$I$89,5,0)</f>
        <v>156.17160000000004</v>
      </c>
      <c r="CV133" s="13">
        <f t="shared" ref="CV133:CV153" si="149">EXP(-1.0587+0.8836*LN(CU133)+0.284)</f>
        <v>39.977795753356993</v>
      </c>
      <c r="CW133" s="20">
        <f t="shared" si="121"/>
        <v>341.62686427043013</v>
      </c>
      <c r="CX133" s="59">
        <f t="shared" si="122"/>
        <v>634.96019760376339</v>
      </c>
      <c r="CY133" s="59">
        <f ca="1">AVERAGE(OFFSET($CX$3,0,0,'Données projet'!$E$13+1,1))-AVERAGE(OFFSET($H$3,0,0,'Données projet'!$E$13+1,1))</f>
        <v>141.13780344922503</v>
      </c>
      <c r="CZ133" s="59">
        <f t="shared" ref="CZ133:CZ196" si="150">$CZ$3</f>
        <v>144.12010599544237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9.310493520370752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9.310493520370752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148.39628895278571</v>
      </c>
      <c r="AO134" s="59">
        <f t="shared" si="144"/>
        <v>361.07991692964788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8.2970852688102745</v>
      </c>
      <c r="AW134" s="21">
        <f>EXP(-LN(2)/2)*AW133+(1-EXP(-LN(2)/2))/(LN(2)/2)*AQ134*AT134*VLOOKUP('Données projet'!$B$10,Paramètres!$A$1:$I$89,3,0)*0.475*44/12</f>
        <v>2.8237802620762425E-17</v>
      </c>
      <c r="AX134" s="21">
        <f t="shared" si="114"/>
        <v>8.2970852688102745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8.4949999999999939</v>
      </c>
      <c r="BD134" s="12">
        <f>IF('Données projet'!$A$88&gt;35,BD133+BC134-BL133,IF(A134&lt;'Données projet'!$A$88,$BA$205^A134,IF(A134='Données projet'!$A$88,'Données projet'!$B$88,BD133+BC134-BL133)))</f>
        <v>458.79500000000007</v>
      </c>
      <c r="BE134" s="13">
        <f>BD134*VLOOKUP('Données projet'!$B$11,Paramètres!$A$1:$I$89,3,0)*VLOOKUP('Données projet'!$B$11,Paramètres!$A$1:$I$89,5,0)</f>
        <v>415.11771600000009</v>
      </c>
      <c r="BF134" s="13">
        <f t="shared" si="145"/>
        <v>94.834901495024482</v>
      </c>
      <c r="BG134" s="20">
        <f t="shared" si="115"/>
        <v>888.16747547050124</v>
      </c>
      <c r="BH134" s="59">
        <f t="shared" si="116"/>
        <v>1181.5008088038346</v>
      </c>
      <c r="BI134" s="59">
        <f ca="1">AVERAGE(OFFSET($BH$3,0,0,'Données projet'!$E$11+1,1))-AVERAGE(OFFSET($H$3,0,0,'Données projet'!$E$11+1,1))</f>
        <v>465.85201723964195</v>
      </c>
      <c r="BJ134" s="59">
        <f t="shared" si="146"/>
        <v>110.67325286443491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98.600418357624619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98.600418357624619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212.00000000000009</v>
      </c>
      <c r="BZ134" s="13">
        <f>BY134*VLOOKUP('Données projet'!$B$12,Paramètres!$A$1:$I$89,3,0)*VLOOKUP('Données projet'!$B$12,Paramètres!$A$1:$I$89,5,0)</f>
        <v>185.20320000000009</v>
      </c>
      <c r="CA134" s="13">
        <f t="shared" si="147"/>
        <v>46.477875402099386</v>
      </c>
      <c r="CB134" s="20">
        <f t="shared" si="118"/>
        <v>403.5112063253232</v>
      </c>
      <c r="CC134" s="59">
        <f t="shared" si="119"/>
        <v>696.84453965865646</v>
      </c>
      <c r="CD134" s="59">
        <f ca="1">AVERAGE(OFFSET($CC$3,0,0,'Données projet'!$E$12+1,1))-AVERAGE(OFFSET($H$3,0,0,'Données projet'!$E$12+1,1))</f>
        <v>201.70120933876507</v>
      </c>
      <c r="CE134" s="59">
        <f t="shared" si="148"/>
        <v>188.1234063307752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23.701251241533456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23.701251241533456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213.00000000000003</v>
      </c>
      <c r="CU134" s="17">
        <f>CT134*VLOOKUP('Données projet'!$B$13,Paramètres!$A$1:$I$89,3,0)*VLOOKUP('Données projet'!$B$13,Paramètres!$A$1:$I$89,5,0)</f>
        <v>156.17160000000004</v>
      </c>
      <c r="CV134" s="13">
        <f t="shared" si="149"/>
        <v>39.977795753356993</v>
      </c>
      <c r="CW134" s="20">
        <f t="shared" si="121"/>
        <v>341.62686427043013</v>
      </c>
      <c r="CX134" s="59">
        <f t="shared" si="122"/>
        <v>634.96019760376339</v>
      </c>
      <c r="CY134" s="59">
        <f ca="1">AVERAGE(OFFSET($CX$3,0,0,'Données projet'!$E$13+1,1))-AVERAGE(OFFSET($H$3,0,0,'Données projet'!$E$13+1,1))</f>
        <v>141.13780344922503</v>
      </c>
      <c r="CZ134" s="59">
        <f t="shared" si="150"/>
        <v>144.12010599544237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9.1279204212765901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9.1279204212765901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148.39628895278571</v>
      </c>
      <c r="AO135" s="59">
        <f t="shared" si="144"/>
        <v>361.07991692964788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8.070201035809907</v>
      </c>
      <c r="AW135" s="21">
        <f>EXP(-LN(2)/2)*AW134+(1-EXP(-LN(2)/2))/(LN(2)/2)*AQ135*AT135*VLOOKUP('Données projet'!$B$10,Paramètres!$A$1:$I$89,3,0)*0.475*44/12</f>
        <v>1.9967141718948375E-17</v>
      </c>
      <c r="AX135" s="21">
        <f t="shared" si="114"/>
        <v>8.070201035809907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8.4949999999999939</v>
      </c>
      <c r="BD135" s="12">
        <f>IF('Données projet'!$A$88&gt;35,BD134+BC135-BL134,IF(A135&lt;'Données projet'!$A$88,$BA$205^A135,IF(A135='Données projet'!$A$88,'Données projet'!$B$88,BD134+BC135-BL134)))</f>
        <v>467.29000000000008</v>
      </c>
      <c r="BE135" s="13">
        <f>BD135*VLOOKUP('Données projet'!$B$11,Paramètres!$A$1:$I$89,3,0)*VLOOKUP('Données projet'!$B$11,Paramètres!$A$1:$I$89,5,0)</f>
        <v>422.80399200000005</v>
      </c>
      <c r="BF135" s="13">
        <f t="shared" si="145"/>
        <v>96.384801035640152</v>
      </c>
      <c r="BG135" s="20">
        <f t="shared" si="115"/>
        <v>904.25381453707325</v>
      </c>
      <c r="BH135" s="59">
        <f t="shared" si="116"/>
        <v>1197.5871478704066</v>
      </c>
      <c r="BI135" s="59">
        <f ca="1">AVERAGE(OFFSET($BH$3,0,0,'Données projet'!$E$11+1,1))-AVERAGE(OFFSET($H$3,0,0,'Données projet'!$E$11+1,1))</f>
        <v>465.85201723964195</v>
      </c>
      <c r="BJ135" s="59">
        <f t="shared" si="146"/>
        <v>110.67325286443491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96.666924293948441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96.666924293948441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212.00000000000009</v>
      </c>
      <c r="BZ135" s="13">
        <f>BY135*VLOOKUP('Données projet'!$B$12,Paramètres!$A$1:$I$89,3,0)*VLOOKUP('Données projet'!$B$12,Paramètres!$A$1:$I$89,5,0)</f>
        <v>185.20320000000009</v>
      </c>
      <c r="CA135" s="13">
        <f t="shared" si="147"/>
        <v>46.477875402099386</v>
      </c>
      <c r="CB135" s="20">
        <f t="shared" si="118"/>
        <v>403.5112063253232</v>
      </c>
      <c r="CC135" s="59">
        <f t="shared" si="119"/>
        <v>696.84453965865646</v>
      </c>
      <c r="CD135" s="59">
        <f ca="1">AVERAGE(OFFSET($CC$3,0,0,'Données projet'!$E$12+1,1))-AVERAGE(OFFSET($H$3,0,0,'Données projet'!$E$12+1,1))</f>
        <v>201.70120933876507</v>
      </c>
      <c r="CE135" s="59">
        <f t="shared" si="148"/>
        <v>188.1234063307752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23.236484161022798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23.236484161022798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213.00000000000003</v>
      </c>
      <c r="CU135" s="17">
        <f>CT135*VLOOKUP('Données projet'!$B$13,Paramètres!$A$1:$I$89,3,0)*VLOOKUP('Données projet'!$B$13,Paramètres!$A$1:$I$89,5,0)</f>
        <v>156.17160000000004</v>
      </c>
      <c r="CV135" s="13">
        <f t="shared" si="149"/>
        <v>39.977795753356993</v>
      </c>
      <c r="CW135" s="20">
        <f t="shared" si="121"/>
        <v>341.62686427043013</v>
      </c>
      <c r="CX135" s="59">
        <f t="shared" si="122"/>
        <v>634.96019760376339</v>
      </c>
      <c r="CY135" s="59">
        <f ca="1">AVERAGE(OFFSET($CX$3,0,0,'Données projet'!$E$13+1,1))-AVERAGE(OFFSET($H$3,0,0,'Données projet'!$E$13+1,1))</f>
        <v>141.13780344922503</v>
      </c>
      <c r="CZ135" s="59">
        <f t="shared" si="150"/>
        <v>144.12010599544237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8.9489274692970699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8.9489274692970699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148.39628895278571</v>
      </c>
      <c r="AO136" s="59">
        <f t="shared" si="144"/>
        <v>361.07991692964788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7.8495209640922576</v>
      </c>
      <c r="AW136" s="21">
        <f>EXP(-LN(2)/2)*AW135+(1-EXP(-LN(2)/2))/(LN(2)/2)*AQ136*AT136*VLOOKUP('Données projet'!$B$10,Paramètres!$A$1:$I$89,3,0)*0.475*44/12</f>
        <v>1.4118901310381213E-17</v>
      </c>
      <c r="AX136" s="21">
        <f t="shared" si="114"/>
        <v>7.8495209640922576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8.4949999999999939</v>
      </c>
      <c r="BD136" s="12">
        <f>IF('Données projet'!$A$88&gt;35,BD135+BC136-BL135,IF(A136&lt;'Données projet'!$A$88,$BA$205^A136,IF(A136='Données projet'!$A$88,'Données projet'!$B$88,BD135+BC136-BL135)))</f>
        <v>475.78500000000008</v>
      </c>
      <c r="BE136" s="13">
        <f>BD136*VLOOKUP('Données projet'!$B$11,Paramètres!$A$1:$I$89,3,0)*VLOOKUP('Données projet'!$B$11,Paramètres!$A$1:$I$89,5,0)</f>
        <v>430.49026800000007</v>
      </c>
      <c r="BF136" s="13">
        <f t="shared" si="145"/>
        <v>97.93142415829584</v>
      </c>
      <c r="BG136" s="20">
        <f t="shared" si="115"/>
        <v>920.33444717569864</v>
      </c>
      <c r="BH136" s="59">
        <f t="shared" si="116"/>
        <v>1213.6677805090319</v>
      </c>
      <c r="BI136" s="59">
        <f ca="1">AVERAGE(OFFSET($BH$3,0,0,'Données projet'!$E$11+1,1))-AVERAGE(OFFSET($H$3,0,0,'Données projet'!$E$11+1,1))</f>
        <v>465.85201723964195</v>
      </c>
      <c r="BJ136" s="59">
        <f t="shared" si="146"/>
        <v>110.67325286443491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94.771344869546013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94.771344869546013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212.00000000000009</v>
      </c>
      <c r="BZ136" s="13">
        <f>BY136*VLOOKUP('Données projet'!$B$12,Paramètres!$A$1:$I$89,3,0)*VLOOKUP('Données projet'!$B$12,Paramètres!$A$1:$I$89,5,0)</f>
        <v>185.20320000000009</v>
      </c>
      <c r="CA136" s="13">
        <f t="shared" si="147"/>
        <v>46.477875402099386</v>
      </c>
      <c r="CB136" s="20">
        <f t="shared" si="118"/>
        <v>403.5112063253232</v>
      </c>
      <c r="CC136" s="59">
        <f t="shared" si="119"/>
        <v>696.84453965865646</v>
      </c>
      <c r="CD136" s="59">
        <f ca="1">AVERAGE(OFFSET($CC$3,0,0,'Données projet'!$E$12+1,1))-AVERAGE(OFFSET($H$3,0,0,'Données projet'!$E$12+1,1))</f>
        <v>201.70120933876507</v>
      </c>
      <c r="CE136" s="59">
        <f t="shared" si="148"/>
        <v>188.1234063307752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22.780830879481027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22.780830879481027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213.00000000000003</v>
      </c>
      <c r="CU136" s="17">
        <f>CT136*VLOOKUP('Données projet'!$B$13,Paramètres!$A$1:$I$89,3,0)*VLOOKUP('Données projet'!$B$13,Paramètres!$A$1:$I$89,5,0)</f>
        <v>156.17160000000004</v>
      </c>
      <c r="CV136" s="13">
        <f t="shared" si="149"/>
        <v>39.977795753356993</v>
      </c>
      <c r="CW136" s="20">
        <f t="shared" si="121"/>
        <v>341.62686427043013</v>
      </c>
      <c r="CX136" s="59">
        <f t="shared" si="122"/>
        <v>634.96019760376339</v>
      </c>
      <c r="CY136" s="59">
        <f ca="1">AVERAGE(OFFSET($CX$3,0,0,'Données projet'!$E$13+1,1))-AVERAGE(OFFSET($H$3,0,0,'Données projet'!$E$13+1,1))</f>
        <v>141.13780344922503</v>
      </c>
      <c r="CZ136" s="59">
        <f t="shared" si="150"/>
        <v>144.12010599544237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8.773444459930948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8.773444459930948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148.39628895278571</v>
      </c>
      <c r="AO137" s="59">
        <f t="shared" si="144"/>
        <v>361.07991692964788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7.6348754005407873</v>
      </c>
      <c r="AW137" s="21">
        <f>EXP(-LN(2)/2)*AW136+(1-EXP(-LN(2)/2))/(LN(2)/2)*AQ137*AT137*VLOOKUP('Données projet'!$B$10,Paramètres!$A$1:$I$89,3,0)*0.475*44/12</f>
        <v>9.9835708594741873E-18</v>
      </c>
      <c r="AX137" s="21">
        <f t="shared" si="114"/>
        <v>7.6348754005407873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>
        <f>VLOOKUP(A137,'Données projet'!$A$87:$I$107,2,0)</f>
        <v>484.28</v>
      </c>
      <c r="BB137" s="12">
        <f>VLOOKUP(A137,'Données projet'!$A$87:$I$107,9,0)</f>
        <v>8.4949999999999939</v>
      </c>
      <c r="BC137" s="12">
        <f t="array" ref="BC137">INDEX(BB:BB,MIN(IF(ISNUMBER(BB137:BB333),ROW(BB137:BB333),"")))</f>
        <v>8.4949999999999939</v>
      </c>
      <c r="BD137" s="12">
        <f>IF('Données projet'!$A$88&gt;35,BD136+BC137-BL136,IF(A137&lt;'Données projet'!$A$88,$BA$205^A137,IF(A137='Données projet'!$A$88,'Données projet'!$B$88,BD136+BC137-BL136)))</f>
        <v>484.28000000000009</v>
      </c>
      <c r="BE137" s="13">
        <f>BD137*VLOOKUP('Données projet'!$B$11,Paramètres!$A$1:$I$89,3,0)*VLOOKUP('Données projet'!$B$11,Paramètres!$A$1:$I$89,5,0)</f>
        <v>438.17654400000004</v>
      </c>
      <c r="BF137" s="13">
        <f t="shared" si="145"/>
        <v>99.474836110971893</v>
      </c>
      <c r="BG137" s="20">
        <f t="shared" si="115"/>
        <v>936.40948702660933</v>
      </c>
      <c r="BH137" s="59">
        <f t="shared" si="116"/>
        <v>1229.7428203599427</v>
      </c>
      <c r="BI137" s="59">
        <f ca="1">AVERAGE(OFFSET($BH$3,0,0,'Données projet'!$E$11+1,1))-AVERAGE(OFFSET($H$3,0,0,'Données projet'!$E$11+1,1))</f>
        <v>465.85201723964195</v>
      </c>
      <c r="BJ137" s="59">
        <f t="shared" si="146"/>
        <v>110.67325286443491</v>
      </c>
      <c r="BK137" s="15">
        <f>IF(ISNA(VLOOKUP(A137,'Données projet'!$A$87:$I$107,3,0)),0,VLOOKUP(A137,'Données projet'!$A$87:$I$107,3,0))</f>
        <v>11</v>
      </c>
      <c r="BL137" s="15">
        <f>IF(ISNA(VLOOKUP(A137,'Données projet'!$A$87:$I$107,4,0)),0,VLOOKUP(A137,'Données projet'!$A$87:$I$107,4,0))</f>
        <v>54.95</v>
      </c>
      <c r="BM137" s="16">
        <f>IF(ISNA(VLOOKUP(A137,'Données projet'!$A$87:$I$107,5,0)),0%,VLOOKUP(A137,'Données projet'!$A$87:$I$107,5,0)*VLOOKUP('Données projet'!$B$11,Paramètres!$A$1:$I$89,7,0))</f>
        <v>0.43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116.54686169092314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116.54686169092314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212.00000000000009</v>
      </c>
      <c r="BZ137" s="13">
        <f>BY137*VLOOKUP('Données projet'!$B$12,Paramètres!$A$1:$I$89,3,0)*VLOOKUP('Données projet'!$B$12,Paramètres!$A$1:$I$89,5,0)</f>
        <v>185.20320000000009</v>
      </c>
      <c r="CA137" s="13">
        <f t="shared" si="147"/>
        <v>46.477875402099386</v>
      </c>
      <c r="CB137" s="20">
        <f t="shared" si="118"/>
        <v>403.5112063253232</v>
      </c>
      <c r="CC137" s="59">
        <f t="shared" si="119"/>
        <v>696.84453965865646</v>
      </c>
      <c r="CD137" s="59">
        <f ca="1">AVERAGE(OFFSET($CC$3,0,0,'Données projet'!$E$12+1,1))-AVERAGE(OFFSET($H$3,0,0,'Données projet'!$E$12+1,1))</f>
        <v>201.70120933876507</v>
      </c>
      <c r="CE137" s="59">
        <f t="shared" si="148"/>
        <v>188.1234063307752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22.334112680869229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22.334112680869229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213.00000000000003</v>
      </c>
      <c r="CU137" s="17">
        <f>CT137*VLOOKUP('Données projet'!$B$13,Paramètres!$A$1:$I$89,3,0)*VLOOKUP('Données projet'!$B$13,Paramètres!$A$1:$I$89,5,0)</f>
        <v>156.17160000000004</v>
      </c>
      <c r="CV137" s="13">
        <f t="shared" si="149"/>
        <v>39.977795753356993</v>
      </c>
      <c r="CW137" s="20">
        <f t="shared" si="121"/>
        <v>341.62686427043013</v>
      </c>
      <c r="CX137" s="59">
        <f t="shared" si="122"/>
        <v>634.96019760376339</v>
      </c>
      <c r="CY137" s="59">
        <f ca="1">AVERAGE(OFFSET($CX$3,0,0,'Données projet'!$E$13+1,1))-AVERAGE(OFFSET($H$3,0,0,'Données projet'!$E$13+1,1))</f>
        <v>141.13780344922503</v>
      </c>
      <c r="CZ137" s="59">
        <f t="shared" si="150"/>
        <v>144.12010599544237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8.6014025653444293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8.6014025653444293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148.39628895278571</v>
      </c>
      <c r="AO138" s="59">
        <f t="shared" si="144"/>
        <v>361.07991692964788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7.4260993312123516</v>
      </c>
      <c r="AW138" s="21">
        <f>EXP(-LN(2)/2)*AW137+(1-EXP(-LN(2)/2))/(LN(2)/2)*AQ138*AT138*VLOOKUP('Données projet'!$B$10,Paramètres!$A$1:$I$89,3,0)*0.475*44/12</f>
        <v>7.0594506551906064E-18</v>
      </c>
      <c r="AX138" s="21">
        <f t="shared" si="114"/>
        <v>7.4260993312123516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8.561000000000007</v>
      </c>
      <c r="BD138" s="12">
        <f>IF('Données projet'!$A$88&gt;35,BD137+BC138-BL137,IF(A138&lt;'Données projet'!$A$88,$BA$205^A138,IF(A138='Données projet'!$A$88,'Données projet'!$B$88,BD137+BC138-BL137)))</f>
        <v>437.89100000000013</v>
      </c>
      <c r="BE138" s="13">
        <f>BD138*VLOOKUP('Données projet'!$B$11,Paramètres!$A$1:$I$89,3,0)*VLOOKUP('Données projet'!$B$11,Paramètres!$A$1:$I$89,5,0)</f>
        <v>396.20377680000007</v>
      </c>
      <c r="BF138" s="13">
        <f t="shared" si="145"/>
        <v>91.006612614056621</v>
      </c>
      <c r="BG138" s="20">
        <f t="shared" si="115"/>
        <v>848.55809489614876</v>
      </c>
      <c r="BH138" s="59">
        <f t="shared" si="116"/>
        <v>1141.891428229482</v>
      </c>
      <c r="BI138" s="59">
        <f ca="1">AVERAGE(OFFSET($BH$3,0,0,'Données projet'!$E$11+1,1))-AVERAGE(OFFSET($H$3,0,0,'Données projet'!$E$11+1,1))</f>
        <v>465.85201723964195</v>
      </c>
      <c r="BJ138" s="59">
        <f t="shared" si="146"/>
        <v>110.67325286443491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114.26144881973055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114.26144881973055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212.00000000000009</v>
      </c>
      <c r="BZ138" s="13">
        <f>BY138*VLOOKUP('Données projet'!$B$12,Paramètres!$A$1:$I$89,3,0)*VLOOKUP('Données projet'!$B$12,Paramètres!$A$1:$I$89,5,0)</f>
        <v>185.20320000000009</v>
      </c>
      <c r="CA138" s="13">
        <f t="shared" si="147"/>
        <v>46.477875402099386</v>
      </c>
      <c r="CB138" s="20">
        <f t="shared" si="118"/>
        <v>403.5112063253232</v>
      </c>
      <c r="CC138" s="59">
        <f t="shared" si="119"/>
        <v>696.84453965865646</v>
      </c>
      <c r="CD138" s="59">
        <f ca="1">AVERAGE(OFFSET($CC$3,0,0,'Données projet'!$E$12+1,1))-AVERAGE(OFFSET($H$3,0,0,'Données projet'!$E$12+1,1))</f>
        <v>201.70120933876507</v>
      </c>
      <c r="CE138" s="59">
        <f t="shared" si="148"/>
        <v>188.1234063307752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21.896154353661011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21.896154353661011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213.00000000000003</v>
      </c>
      <c r="CU138" s="17">
        <f>CT138*VLOOKUP('Données projet'!$B$13,Paramètres!$A$1:$I$89,3,0)*VLOOKUP('Données projet'!$B$13,Paramètres!$A$1:$I$89,5,0)</f>
        <v>156.17160000000004</v>
      </c>
      <c r="CV138" s="13">
        <f t="shared" si="149"/>
        <v>39.977795753356993</v>
      </c>
      <c r="CW138" s="20">
        <f t="shared" si="121"/>
        <v>341.62686427043013</v>
      </c>
      <c r="CX138" s="59">
        <f t="shared" si="122"/>
        <v>634.96019760376339</v>
      </c>
      <c r="CY138" s="59">
        <f ca="1">AVERAGE(OFFSET($CX$3,0,0,'Données projet'!$E$13+1,1))-AVERAGE(OFFSET($H$3,0,0,'Données projet'!$E$13+1,1))</f>
        <v>141.13780344922503</v>
      </c>
      <c r="CZ138" s="59">
        <f t="shared" si="150"/>
        <v>144.12010599544237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8.4327343073755578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8.4327343073755578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148.39628895278571</v>
      </c>
      <c r="AO139" s="59">
        <f t="shared" si="144"/>
        <v>361.07991692964788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7.2230322544787589</v>
      </c>
      <c r="AW139" s="21">
        <f>EXP(-LN(2)/2)*AW138+(1-EXP(-LN(2)/2))/(LN(2)/2)*AQ139*AT139*VLOOKUP('Données projet'!$B$10,Paramètres!$A$1:$I$89,3,0)*0.475*44/12</f>
        <v>4.9917854297370937E-18</v>
      </c>
      <c r="AX139" s="21">
        <f t="shared" si="114"/>
        <v>7.2230322544787589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8.561000000000007</v>
      </c>
      <c r="BD139" s="12">
        <f>IF('Données projet'!$A$88&gt;35,BD138+BC139-BL138,IF(A139&lt;'Données projet'!$A$88,$BA$205^A139,IF(A139='Données projet'!$A$88,'Données projet'!$B$88,BD138+BC139-BL138)))</f>
        <v>446.45200000000011</v>
      </c>
      <c r="BE139" s="13">
        <f>BD139*VLOOKUP('Données projet'!$B$11,Paramètres!$A$1:$I$89,3,0)*VLOOKUP('Données projet'!$B$11,Paramètres!$A$1:$I$89,5,0)</f>
        <v>403.94976960000008</v>
      </c>
      <c r="BF139" s="13">
        <f t="shared" si="145"/>
        <v>92.576961887454956</v>
      </c>
      <c r="BG139" s="20">
        <f t="shared" si="115"/>
        <v>864.78405734065075</v>
      </c>
      <c r="BH139" s="59">
        <f t="shared" si="116"/>
        <v>1158.1173906739841</v>
      </c>
      <c r="BI139" s="59">
        <f ca="1">AVERAGE(OFFSET($BH$3,0,0,'Données projet'!$E$11+1,1))-AVERAGE(OFFSET($H$3,0,0,'Données projet'!$E$11+1,1))</f>
        <v>465.85201723964195</v>
      </c>
      <c r="BJ139" s="59">
        <f t="shared" si="146"/>
        <v>110.67325286443491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112.02085150097784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112.02085150097784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212.00000000000009</v>
      </c>
      <c r="BZ139" s="13">
        <f>BY139*VLOOKUP('Données projet'!$B$12,Paramètres!$A$1:$I$89,3,0)*VLOOKUP('Données projet'!$B$12,Paramètres!$A$1:$I$89,5,0)</f>
        <v>185.20320000000009</v>
      </c>
      <c r="CA139" s="13">
        <f t="shared" si="147"/>
        <v>46.477875402099386</v>
      </c>
      <c r="CB139" s="20">
        <f t="shared" si="118"/>
        <v>403.5112063253232</v>
      </c>
      <c r="CC139" s="59">
        <f t="shared" si="119"/>
        <v>696.84453965865646</v>
      </c>
      <c r="CD139" s="59">
        <f ca="1">AVERAGE(OFFSET($CC$3,0,0,'Données projet'!$E$12+1,1))-AVERAGE(OFFSET($H$3,0,0,'Données projet'!$E$12+1,1))</f>
        <v>201.70120933876507</v>
      </c>
      <c r="CE139" s="59">
        <f t="shared" si="148"/>
        <v>188.1234063307752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21.466784122121144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21.466784122121144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213.00000000000003</v>
      </c>
      <c r="CU139" s="17">
        <f>CT139*VLOOKUP('Données projet'!$B$13,Paramètres!$A$1:$I$89,3,0)*VLOOKUP('Données projet'!$B$13,Paramètres!$A$1:$I$89,5,0)</f>
        <v>156.17160000000004</v>
      </c>
      <c r="CV139" s="13">
        <f t="shared" si="149"/>
        <v>39.977795753356993</v>
      </c>
      <c r="CW139" s="20">
        <f t="shared" si="121"/>
        <v>341.62686427043013</v>
      </c>
      <c r="CX139" s="59">
        <f t="shared" si="122"/>
        <v>634.96019760376339</v>
      </c>
      <c r="CY139" s="59">
        <f ca="1">AVERAGE(OFFSET($CX$3,0,0,'Données projet'!$E$13+1,1))-AVERAGE(OFFSET($H$3,0,0,'Données projet'!$E$13+1,1))</f>
        <v>141.13780344922503</v>
      </c>
      <c r="CZ139" s="59">
        <f t="shared" si="150"/>
        <v>144.12010599544237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8.2673735310679763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8.2673735310679763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148.39628895278571</v>
      </c>
      <c r="AO140" s="59">
        <f t="shared" si="144"/>
        <v>361.07991692964788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7.0255180576372798</v>
      </c>
      <c r="AW140" s="21">
        <f>EXP(-LN(2)/2)*AW139+(1-EXP(-LN(2)/2))/(LN(2)/2)*AQ140*AT140*VLOOKUP('Données projet'!$B$10,Paramètres!$A$1:$I$89,3,0)*0.475*44/12</f>
        <v>3.5297253275953032E-18</v>
      </c>
      <c r="AX140" s="21">
        <f t="shared" si="114"/>
        <v>7.0255180576372798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8.561000000000007</v>
      </c>
      <c r="BD140" s="12">
        <f>IF('Données projet'!$A$88&gt;35,BD139+BC140-BL139,IF(A140&lt;'Données projet'!$A$88,$BA$205^A140,IF(A140='Données projet'!$A$88,'Données projet'!$B$88,BD139+BC140-BL139)))</f>
        <v>455.01300000000015</v>
      </c>
      <c r="BE140" s="13">
        <f>BD140*VLOOKUP('Données projet'!$B$11,Paramètres!$A$1:$I$89,3,0)*VLOOKUP('Données projet'!$B$11,Paramètres!$A$1:$I$89,5,0)</f>
        <v>411.69576240000009</v>
      </c>
      <c r="BF140" s="13">
        <f t="shared" si="145"/>
        <v>94.143809754569304</v>
      </c>
      <c r="BG140" s="20">
        <f t="shared" si="115"/>
        <v>881.00392150254174</v>
      </c>
      <c r="BH140" s="59">
        <f t="shared" si="116"/>
        <v>1174.337254835875</v>
      </c>
      <c r="BI140" s="59">
        <f ca="1">AVERAGE(OFFSET($BH$3,0,0,'Données projet'!$E$11+1,1))-AVERAGE(OFFSET($H$3,0,0,'Données projet'!$E$11+1,1))</f>
        <v>465.85201723964195</v>
      </c>
      <c r="BJ140" s="59">
        <f t="shared" si="146"/>
        <v>110.67325286443491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109.82419092901645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109.82419092901645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212.00000000000009</v>
      </c>
      <c r="BZ140" s="13">
        <f>BY140*VLOOKUP('Données projet'!$B$12,Paramètres!$A$1:$I$89,3,0)*VLOOKUP('Données projet'!$B$12,Paramètres!$A$1:$I$89,5,0)</f>
        <v>185.20320000000009</v>
      </c>
      <c r="CA140" s="13">
        <f t="shared" si="147"/>
        <v>46.477875402099386</v>
      </c>
      <c r="CB140" s="20">
        <f t="shared" si="118"/>
        <v>403.5112063253232</v>
      </c>
      <c r="CC140" s="59">
        <f t="shared" si="119"/>
        <v>696.84453965865646</v>
      </c>
      <c r="CD140" s="59">
        <f ca="1">AVERAGE(OFFSET($CC$3,0,0,'Données projet'!$E$12+1,1))-AVERAGE(OFFSET($H$3,0,0,'Données projet'!$E$12+1,1))</f>
        <v>201.70120933876507</v>
      </c>
      <c r="CE140" s="59">
        <f t="shared" si="148"/>
        <v>188.1234063307752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21.045833578931791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21.045833578931791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213.00000000000003</v>
      </c>
      <c r="CU140" s="17">
        <f>CT140*VLOOKUP('Données projet'!$B$13,Paramètres!$A$1:$I$89,3,0)*VLOOKUP('Données projet'!$B$13,Paramètres!$A$1:$I$89,5,0)</f>
        <v>156.17160000000004</v>
      </c>
      <c r="CV140" s="13">
        <f t="shared" si="149"/>
        <v>39.977795753356993</v>
      </c>
      <c r="CW140" s="20">
        <f t="shared" si="121"/>
        <v>341.62686427043013</v>
      </c>
      <c r="CX140" s="59">
        <f t="shared" si="122"/>
        <v>634.96019760376339</v>
      </c>
      <c r="CY140" s="59">
        <f ca="1">AVERAGE(OFFSET($CX$3,0,0,'Données projet'!$E$13+1,1))-AVERAGE(OFFSET($H$3,0,0,'Données projet'!$E$13+1,1))</f>
        <v>141.13780344922503</v>
      </c>
      <c r="CZ140" s="59">
        <f t="shared" si="150"/>
        <v>144.12010599544237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8.1052553787236725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8.1052553787236725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148.39628895278571</v>
      </c>
      <c r="AO141" s="59">
        <f t="shared" si="144"/>
        <v>361.07991692964788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6.8334048968952503</v>
      </c>
      <c r="AW141" s="21">
        <f>EXP(-LN(2)/2)*AW140+(1-EXP(-LN(2)/2))/(LN(2)/2)*AQ141*AT141*VLOOKUP('Données projet'!$B$10,Paramètres!$A$1:$I$89,3,0)*0.475*44/12</f>
        <v>2.4958927148685468E-18</v>
      </c>
      <c r="AX141" s="21">
        <f t="shared" si="114"/>
        <v>6.8334048968952503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8.561000000000007</v>
      </c>
      <c r="BD141" s="12">
        <f>IF('Données projet'!$A$88&gt;35,BD140+BC141-BL140,IF(A141&lt;'Données projet'!$A$88,$BA$205^A141,IF(A141='Données projet'!$A$88,'Données projet'!$B$88,BD140+BC141-BL140)))</f>
        <v>463.57400000000018</v>
      </c>
      <c r="BE141" s="13">
        <f>BD141*VLOOKUP('Données projet'!$B$11,Paramètres!$A$1:$I$89,3,0)*VLOOKUP('Données projet'!$B$11,Paramètres!$A$1:$I$89,5,0)</f>
        <v>419.44175520000016</v>
      </c>
      <c r="BF141" s="13">
        <f t="shared" si="145"/>
        <v>95.707229690339801</v>
      </c>
      <c r="BG141" s="20">
        <f t="shared" si="115"/>
        <v>897.21781535067532</v>
      </c>
      <c r="BH141" s="59">
        <f t="shared" si="116"/>
        <v>1190.5511486840087</v>
      </c>
      <c r="BI141" s="59">
        <f ca="1">AVERAGE(OFFSET($BH$3,0,0,'Données projet'!$E$11+1,1))-AVERAGE(OFFSET($H$3,0,0,'Données projet'!$E$11+1,1))</f>
        <v>465.85201723964195</v>
      </c>
      <c r="BJ141" s="59">
        <f t="shared" si="146"/>
        <v>110.67325286443491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107.67060553104058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107.67060553104058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212.00000000000009</v>
      </c>
      <c r="BZ141" s="13">
        <f>BY141*VLOOKUP('Données projet'!$B$12,Paramètres!$A$1:$I$89,3,0)*VLOOKUP('Données projet'!$B$12,Paramètres!$A$1:$I$89,5,0)</f>
        <v>185.20320000000009</v>
      </c>
      <c r="CA141" s="13">
        <f t="shared" si="147"/>
        <v>46.477875402099386</v>
      </c>
      <c r="CB141" s="20">
        <f t="shared" si="118"/>
        <v>403.5112063253232</v>
      </c>
      <c r="CC141" s="59">
        <f t="shared" si="119"/>
        <v>696.84453965865646</v>
      </c>
      <c r="CD141" s="59">
        <f ca="1">AVERAGE(OFFSET($CC$3,0,0,'Données projet'!$E$12+1,1))-AVERAGE(OFFSET($H$3,0,0,'Données projet'!$E$12+1,1))</f>
        <v>201.70120933876507</v>
      </c>
      <c r="CE141" s="59">
        <f t="shared" si="148"/>
        <v>188.1234063307752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20.633137619139905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20.633137619139905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213.00000000000003</v>
      </c>
      <c r="CU141" s="17">
        <f>CT141*VLOOKUP('Données projet'!$B$13,Paramètres!$A$1:$I$89,3,0)*VLOOKUP('Données projet'!$B$13,Paramètres!$A$1:$I$89,5,0)</f>
        <v>156.17160000000004</v>
      </c>
      <c r="CV141" s="13">
        <f t="shared" si="149"/>
        <v>39.977795753356993</v>
      </c>
      <c r="CW141" s="20">
        <f t="shared" si="121"/>
        <v>341.62686427043013</v>
      </c>
      <c r="CX141" s="59">
        <f t="shared" si="122"/>
        <v>634.96019760376339</v>
      </c>
      <c r="CY141" s="59">
        <f ca="1">AVERAGE(OFFSET($CX$3,0,0,'Données projet'!$E$13+1,1))-AVERAGE(OFFSET($H$3,0,0,'Données projet'!$E$13+1,1))</f>
        <v>141.13780344922503</v>
      </c>
      <c r="CZ141" s="59">
        <f t="shared" si="150"/>
        <v>144.12010599544237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7.9463162644645307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7.9463162644645307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148.39628895278571</v>
      </c>
      <c r="AO142" s="59">
        <f t="shared" si="144"/>
        <v>361.07991692964788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6.6465450806365043</v>
      </c>
      <c r="AW142" s="21">
        <f>EXP(-LN(2)/2)*AW141+(1-EXP(-LN(2)/2))/(LN(2)/2)*AQ142*AT142*VLOOKUP('Données projet'!$B$10,Paramètres!$A$1:$I$89,3,0)*0.475*44/12</f>
        <v>1.7648626637976516E-18</v>
      </c>
      <c r="AX142" s="21">
        <f t="shared" si="114"/>
        <v>6.6465450806365043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8.561000000000007</v>
      </c>
      <c r="BD142" s="12">
        <f>IF('Données projet'!$A$88&gt;35,BD141+BC142-BL141,IF(A142&lt;'Données projet'!$A$88,$BA$205^A142,IF(A142='Données projet'!$A$88,'Données projet'!$B$88,BD141+BC142-BL141)))</f>
        <v>472.13500000000022</v>
      </c>
      <c r="BE142" s="13">
        <f>BD142*VLOOKUP('Données projet'!$B$11,Paramètres!$A$1:$I$89,3,0)*VLOOKUP('Données projet'!$B$11,Paramètres!$A$1:$I$89,5,0)</f>
        <v>427.18774800000017</v>
      </c>
      <c r="BF142" s="13">
        <f t="shared" si="145"/>
        <v>97.267292300579669</v>
      </c>
      <c r="BG142" s="20">
        <f t="shared" si="115"/>
        <v>913.4258618568432</v>
      </c>
      <c r="BH142" s="59">
        <f t="shared" si="116"/>
        <v>1206.7591951901766</v>
      </c>
      <c r="BI142" s="59">
        <f ca="1">AVERAGE(OFFSET($BH$3,0,0,'Données projet'!$E$11+1,1))-AVERAGE(OFFSET($H$3,0,0,'Données projet'!$E$11+1,1))</f>
        <v>465.85201723964195</v>
      </c>
      <c r="BJ142" s="59">
        <f t="shared" si="146"/>
        <v>110.67325286443491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105.55925062916162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105.55925062916162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212.00000000000009</v>
      </c>
      <c r="BZ142" s="13">
        <f>BY142*VLOOKUP('Données projet'!$B$12,Paramètres!$A$1:$I$89,3,0)*VLOOKUP('Données projet'!$B$12,Paramètres!$A$1:$I$89,5,0)</f>
        <v>185.20320000000009</v>
      </c>
      <c r="CA142" s="13">
        <f t="shared" si="147"/>
        <v>46.477875402099386</v>
      </c>
      <c r="CB142" s="20">
        <f t="shared" si="118"/>
        <v>403.5112063253232</v>
      </c>
      <c r="CC142" s="59">
        <f t="shared" si="119"/>
        <v>696.84453965865646</v>
      </c>
      <c r="CD142" s="59">
        <f ca="1">AVERAGE(OFFSET($CC$3,0,0,'Données projet'!$E$12+1,1))-AVERAGE(OFFSET($H$3,0,0,'Données projet'!$E$12+1,1))</f>
        <v>201.70120933876507</v>
      </c>
      <c r="CE142" s="59">
        <f t="shared" si="148"/>
        <v>188.1234063307752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20.228534375399857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20.228534375399857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213.00000000000003</v>
      </c>
      <c r="CU142" s="17">
        <f>CT142*VLOOKUP('Données projet'!$B$13,Paramètres!$A$1:$I$89,3,0)*VLOOKUP('Données projet'!$B$13,Paramètres!$A$1:$I$89,5,0)</f>
        <v>156.17160000000004</v>
      </c>
      <c r="CV142" s="13">
        <f t="shared" si="149"/>
        <v>39.977795753356993</v>
      </c>
      <c r="CW142" s="20">
        <f t="shared" si="121"/>
        <v>341.62686427043013</v>
      </c>
      <c r="CX142" s="59">
        <f t="shared" si="122"/>
        <v>634.96019760376339</v>
      </c>
      <c r="CY142" s="59">
        <f ca="1">AVERAGE(OFFSET($CX$3,0,0,'Données projet'!$E$13+1,1))-AVERAGE(OFFSET($H$3,0,0,'Données projet'!$E$13+1,1))</f>
        <v>141.13780344922503</v>
      </c>
      <c r="CZ142" s="59">
        <f t="shared" si="150"/>
        <v>144.12010599544237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7.7904938492927229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7.7904938492927229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148.39628895278571</v>
      </c>
      <c r="AO143" s="59">
        <f t="shared" si="144"/>
        <v>361.07991692964788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6.4647949558798841</v>
      </c>
      <c r="AW143" s="21">
        <f>EXP(-LN(2)/2)*AW142+(1-EXP(-LN(2)/2))/(LN(2)/2)*AQ143*AT143*VLOOKUP('Données projet'!$B$10,Paramètres!$A$1:$I$89,3,0)*0.475*44/12</f>
        <v>1.2479463574342734E-18</v>
      </c>
      <c r="AX143" s="21">
        <f t="shared" si="114"/>
        <v>6.4647949558798841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8.561000000000007</v>
      </c>
      <c r="BD143" s="12">
        <f>IF('Données projet'!$A$88&gt;35,BD142+BC143-BL142,IF(A143&lt;'Données projet'!$A$88,$BA$205^A143,IF(A143='Données projet'!$A$88,'Données projet'!$B$88,BD142+BC143-BL142)))</f>
        <v>480.69600000000025</v>
      </c>
      <c r="BE143" s="13">
        <f>BD143*VLOOKUP('Données projet'!$B$11,Paramètres!$A$1:$I$89,3,0)*VLOOKUP('Données projet'!$B$11,Paramètres!$A$1:$I$89,5,0)</f>
        <v>434.93374080000024</v>
      </c>
      <c r="BF143" s="13">
        <f t="shared" si="145"/>
        <v>98.824065483970173</v>
      </c>
      <c r="BG143" s="20">
        <f t="shared" si="115"/>
        <v>929.62817927791514</v>
      </c>
      <c r="BH143" s="59">
        <f t="shared" si="116"/>
        <v>1222.9615126112485</v>
      </c>
      <c r="BI143" s="59">
        <f ca="1">AVERAGE(OFFSET($BH$3,0,0,'Données projet'!$E$11+1,1))-AVERAGE(OFFSET($H$3,0,0,'Données projet'!$E$11+1,1))</f>
        <v>465.85201723964195</v>
      </c>
      <c r="BJ143" s="59">
        <f t="shared" si="146"/>
        <v>110.67325286443491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103.48929810910919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103.48929810910919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212.00000000000009</v>
      </c>
      <c r="BZ143" s="13">
        <f>BY143*VLOOKUP('Données projet'!$B$12,Paramètres!$A$1:$I$89,3,0)*VLOOKUP('Données projet'!$B$12,Paramètres!$A$1:$I$89,5,0)</f>
        <v>185.20320000000009</v>
      </c>
      <c r="CA143" s="13">
        <f t="shared" si="147"/>
        <v>46.477875402099386</v>
      </c>
      <c r="CB143" s="20">
        <f t="shared" si="118"/>
        <v>403.5112063253232</v>
      </c>
      <c r="CC143" s="59">
        <f t="shared" si="119"/>
        <v>696.84453965865646</v>
      </c>
      <c r="CD143" s="59">
        <f ca="1">AVERAGE(OFFSET($CC$3,0,0,'Données projet'!$E$12+1,1))-AVERAGE(OFFSET($H$3,0,0,'Données projet'!$E$12+1,1))</f>
        <v>201.70120933876507</v>
      </c>
      <c r="CE143" s="59">
        <f t="shared" si="148"/>
        <v>188.1234063307752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19.831865154485939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19.831865154485939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213.00000000000003</v>
      </c>
      <c r="CU143" s="17">
        <f>CT143*VLOOKUP('Données projet'!$B$13,Paramètres!$A$1:$I$89,3,0)*VLOOKUP('Données projet'!$B$13,Paramètres!$A$1:$I$89,5,0)</f>
        <v>156.17160000000004</v>
      </c>
      <c r="CV143" s="13">
        <f t="shared" si="149"/>
        <v>39.977795753356993</v>
      </c>
      <c r="CW143" s="20">
        <f t="shared" si="121"/>
        <v>341.62686427043013</v>
      </c>
      <c r="CX143" s="59">
        <f t="shared" si="122"/>
        <v>634.96019760376339</v>
      </c>
      <c r="CY143" s="59">
        <f ca="1">AVERAGE(OFFSET($CX$3,0,0,'Données projet'!$E$13+1,1))-AVERAGE(OFFSET($H$3,0,0,'Données projet'!$E$13+1,1))</f>
        <v>141.13780344922503</v>
      </c>
      <c r="CZ143" s="59">
        <f t="shared" si="150"/>
        <v>144.12010599544237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7.6377270166401461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7.6377270166401461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148.39628895278571</v>
      </c>
      <c r="AO144" s="59">
        <f t="shared" si="144"/>
        <v>361.07991692964788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6.2880147978425578</v>
      </c>
      <c r="AW144" s="21">
        <f>EXP(-LN(2)/2)*AW143+(1-EXP(-LN(2)/2))/(LN(2)/2)*AQ144*AT144*VLOOKUP('Données projet'!$B$10,Paramètres!$A$1:$I$89,3,0)*0.475*44/12</f>
        <v>8.8243133189882579E-19</v>
      </c>
      <c r="AX144" s="21">
        <f t="shared" si="114"/>
        <v>6.2880147978425578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8.561000000000007</v>
      </c>
      <c r="BD144" s="12">
        <f>IF('Données projet'!$A$88&gt;35,BD143+BC144-BL143,IF(A144&lt;'Données projet'!$A$88,$BA$205^A144,IF(A144='Données projet'!$A$88,'Données projet'!$B$88,BD143+BC144-BL143)))</f>
        <v>489.25700000000029</v>
      </c>
      <c r="BE144" s="13">
        <f>BD144*VLOOKUP('Données projet'!$B$11,Paramètres!$A$1:$I$89,3,0)*VLOOKUP('Données projet'!$B$11,Paramètres!$A$1:$I$89,5,0)</f>
        <v>442.67973360000025</v>
      </c>
      <c r="BF144" s="13">
        <f t="shared" si="145"/>
        <v>100.37761458218634</v>
      </c>
      <c r="BG144" s="20">
        <f t="shared" si="115"/>
        <v>945.82488141730835</v>
      </c>
      <c r="BH144" s="59">
        <f t="shared" si="116"/>
        <v>1239.1582147506417</v>
      </c>
      <c r="BI144" s="59">
        <f ca="1">AVERAGE(OFFSET($BH$3,0,0,'Données projet'!$E$11+1,1))-AVERAGE(OFFSET($H$3,0,0,'Données projet'!$E$11+1,1))</f>
        <v>465.85201723964195</v>
      </c>
      <c r="BJ144" s="59">
        <f t="shared" si="146"/>
        <v>110.67325286443491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101.4599360954286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101.4599360954286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212.00000000000009</v>
      </c>
      <c r="BZ144" s="13">
        <f>BY144*VLOOKUP('Données projet'!$B$12,Paramètres!$A$1:$I$89,3,0)*VLOOKUP('Données projet'!$B$12,Paramètres!$A$1:$I$89,5,0)</f>
        <v>185.20320000000009</v>
      </c>
      <c r="CA144" s="13">
        <f t="shared" si="147"/>
        <v>46.477875402099386</v>
      </c>
      <c r="CB144" s="20">
        <f t="shared" si="118"/>
        <v>403.5112063253232</v>
      </c>
      <c r="CC144" s="59">
        <f t="shared" si="119"/>
        <v>696.84453965865646</v>
      </c>
      <c r="CD144" s="59">
        <f ca="1">AVERAGE(OFFSET($CC$3,0,0,'Données projet'!$E$12+1,1))-AVERAGE(OFFSET($H$3,0,0,'Données projet'!$E$12+1,1))</f>
        <v>201.70120933876507</v>
      </c>
      <c r="CE144" s="59">
        <f t="shared" si="148"/>
        <v>188.1234063307752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19.442974375049808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19.442974375049808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213.00000000000003</v>
      </c>
      <c r="CU144" s="17">
        <f>CT144*VLOOKUP('Données projet'!$B$13,Paramètres!$A$1:$I$89,3,0)*VLOOKUP('Données projet'!$B$13,Paramètres!$A$1:$I$89,5,0)</f>
        <v>156.17160000000004</v>
      </c>
      <c r="CV144" s="13">
        <f t="shared" si="149"/>
        <v>39.977795753356993</v>
      </c>
      <c r="CW144" s="20">
        <f t="shared" si="121"/>
        <v>341.62686427043013</v>
      </c>
      <c r="CX144" s="59">
        <f t="shared" si="122"/>
        <v>634.96019760376339</v>
      </c>
      <c r="CY144" s="59">
        <f ca="1">AVERAGE(OFFSET($CX$3,0,0,'Données projet'!$E$13+1,1))-AVERAGE(OFFSET($H$3,0,0,'Données projet'!$E$13+1,1))</f>
        <v>141.13780344922503</v>
      </c>
      <c r="CZ144" s="59">
        <f t="shared" si="150"/>
        <v>144.12010599544237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7.487955848397319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7.487955848397319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148.39628895278571</v>
      </c>
      <c r="AO145" s="59">
        <f t="shared" si="144"/>
        <v>361.07991692964788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6.1160687025232265</v>
      </c>
      <c r="AW145" s="21">
        <f>EXP(-LN(2)/2)*AW144+(1-EXP(-LN(2)/2))/(LN(2)/2)*AQ145*AT145*VLOOKUP('Données projet'!$B$10,Paramètres!$A$1:$I$89,3,0)*0.475*44/12</f>
        <v>6.2397317871713671E-19</v>
      </c>
      <c r="AX145" s="21">
        <f t="shared" si="114"/>
        <v>6.1160687025232265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8.561000000000007</v>
      </c>
      <c r="BD145" s="12">
        <f>IF('Données projet'!$A$88&gt;35,BD144+BC145-BL144,IF(A145&lt;'Données projet'!$A$88,$BA$205^A145,IF(A145='Données projet'!$A$88,'Données projet'!$B$88,BD144+BC145-BL144)))</f>
        <v>497.81800000000032</v>
      </c>
      <c r="BE145" s="13">
        <f>BD145*VLOOKUP('Données projet'!$B$11,Paramètres!$A$1:$I$89,3,0)*VLOOKUP('Données projet'!$B$11,Paramètres!$A$1:$I$89,5,0)</f>
        <v>450.42572640000031</v>
      </c>
      <c r="BF145" s="13">
        <f t="shared" si="145"/>
        <v>101.92800251921889</v>
      </c>
      <c r="BG145" s="20">
        <f t="shared" si="115"/>
        <v>962.01607786763998</v>
      </c>
      <c r="BH145" s="59">
        <f t="shared" si="116"/>
        <v>1255.3494112009732</v>
      </c>
      <c r="BI145" s="59">
        <f ca="1">AVERAGE(OFFSET($BH$3,0,0,'Données projet'!$E$11+1,1))-AVERAGE(OFFSET($H$3,0,0,'Données projet'!$E$11+1,1))</f>
        <v>465.85201723964195</v>
      </c>
      <c r="BJ145" s="59">
        <f t="shared" si="146"/>
        <v>110.67325286443491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99.470368633047684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99.470368633047684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212.00000000000009</v>
      </c>
      <c r="BZ145" s="13">
        <f>BY145*VLOOKUP('Données projet'!$B$12,Paramètres!$A$1:$I$89,3,0)*VLOOKUP('Données projet'!$B$12,Paramètres!$A$1:$I$89,5,0)</f>
        <v>185.20320000000009</v>
      </c>
      <c r="CA145" s="13">
        <f t="shared" si="147"/>
        <v>46.477875402099386</v>
      </c>
      <c r="CB145" s="20">
        <f t="shared" si="118"/>
        <v>403.5112063253232</v>
      </c>
      <c r="CC145" s="59">
        <f t="shared" si="119"/>
        <v>696.84453965865646</v>
      </c>
      <c r="CD145" s="59">
        <f ca="1">AVERAGE(OFFSET($CC$3,0,0,'Données projet'!$E$12+1,1))-AVERAGE(OFFSET($H$3,0,0,'Données projet'!$E$12+1,1))</f>
        <v>201.70120933876507</v>
      </c>
      <c r="CE145" s="59">
        <f t="shared" si="148"/>
        <v>188.1234063307752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19.061709506598465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19.061709506598465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213.00000000000003</v>
      </c>
      <c r="CU145" s="17">
        <f>CT145*VLOOKUP('Données projet'!$B$13,Paramètres!$A$1:$I$89,3,0)*VLOOKUP('Données projet'!$B$13,Paramètres!$A$1:$I$89,5,0)</f>
        <v>156.17160000000004</v>
      </c>
      <c r="CV145" s="13">
        <f t="shared" si="149"/>
        <v>39.977795753356993</v>
      </c>
      <c r="CW145" s="20">
        <f t="shared" si="121"/>
        <v>341.62686427043013</v>
      </c>
      <c r="CX145" s="59">
        <f t="shared" si="122"/>
        <v>634.96019760376339</v>
      </c>
      <c r="CY145" s="59">
        <f ca="1">AVERAGE(OFFSET($CX$3,0,0,'Données projet'!$E$13+1,1))-AVERAGE(OFFSET($H$3,0,0,'Données projet'!$E$13+1,1))</f>
        <v>141.13780344922503</v>
      </c>
      <c r="CZ145" s="59">
        <f t="shared" si="150"/>
        <v>144.12010599544237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7.3411216014123415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7.3411216014123415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148.39628895278571</v>
      </c>
      <c r="AO146" s="59">
        <f t="shared" si="144"/>
        <v>361.07991692964788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5.9488244822226539</v>
      </c>
      <c r="AW146" s="21">
        <f>EXP(-LN(2)/2)*AW145+(1-EXP(-LN(2)/2))/(LN(2)/2)*AQ146*AT146*VLOOKUP('Données projet'!$B$10,Paramètres!$A$1:$I$89,3,0)*0.475*44/12</f>
        <v>4.412156659494129E-19</v>
      </c>
      <c r="AX146" s="21">
        <f t="shared" si="114"/>
        <v>5.9488244822226539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8.561000000000007</v>
      </c>
      <c r="BD146" s="12">
        <f>IF('Données projet'!$A$88&gt;35,BD145+BC146-BL145,IF(A146&lt;'Données projet'!$A$88,$BA$205^A146,IF(A146='Données projet'!$A$88,'Données projet'!$B$88,BD145+BC146-BL145)))</f>
        <v>506.37900000000036</v>
      </c>
      <c r="BE146" s="13">
        <f>BD146*VLOOKUP('Données projet'!$B$11,Paramètres!$A$1:$I$89,3,0)*VLOOKUP('Données projet'!$B$11,Paramètres!$A$1:$I$89,5,0)</f>
        <v>458.17171920000033</v>
      </c>
      <c r="BF146" s="13">
        <f t="shared" si="145"/>
        <v>103.47528993084117</v>
      </c>
      <c r="BG146" s="20">
        <f t="shared" si="115"/>
        <v>978.20187423621553</v>
      </c>
      <c r="BH146" s="59">
        <f t="shared" si="116"/>
        <v>1271.5352075695489</v>
      </c>
      <c r="BI146" s="59">
        <f ca="1">AVERAGE(OFFSET($BH$3,0,0,'Données projet'!$E$11+1,1))-AVERAGE(OFFSET($H$3,0,0,'Données projet'!$E$11+1,1))</f>
        <v>465.85201723964195</v>
      </c>
      <c r="BJ146" s="59">
        <f t="shared" si="146"/>
        <v>110.67325286443491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97.519815375087731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97.519815375087731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212.00000000000009</v>
      </c>
      <c r="BZ146" s="13">
        <f>BY146*VLOOKUP('Données projet'!$B$12,Paramètres!$A$1:$I$89,3,0)*VLOOKUP('Données projet'!$B$12,Paramètres!$A$1:$I$89,5,0)</f>
        <v>185.20320000000009</v>
      </c>
      <c r="CA146" s="13">
        <f t="shared" si="147"/>
        <v>46.477875402099386</v>
      </c>
      <c r="CB146" s="20">
        <f t="shared" si="118"/>
        <v>403.5112063253232</v>
      </c>
      <c r="CC146" s="59">
        <f t="shared" si="119"/>
        <v>696.84453965865646</v>
      </c>
      <c r="CD146" s="59">
        <f ca="1">AVERAGE(OFFSET($CC$3,0,0,'Données projet'!$E$12+1,1))-AVERAGE(OFFSET($H$3,0,0,'Données projet'!$E$12+1,1))</f>
        <v>201.70120933876507</v>
      </c>
      <c r="CE146" s="59">
        <f t="shared" si="148"/>
        <v>188.1234063307752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18.687921009668848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18.687921009668848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213.00000000000003</v>
      </c>
      <c r="CU146" s="17">
        <f>CT146*VLOOKUP('Données projet'!$B$13,Paramètres!$A$1:$I$89,3,0)*VLOOKUP('Données projet'!$B$13,Paramètres!$A$1:$I$89,5,0)</f>
        <v>156.17160000000004</v>
      </c>
      <c r="CV146" s="13">
        <f t="shared" si="149"/>
        <v>39.977795753356993</v>
      </c>
      <c r="CW146" s="20">
        <f t="shared" si="121"/>
        <v>341.62686427043013</v>
      </c>
      <c r="CX146" s="59">
        <f t="shared" si="122"/>
        <v>634.96019760376339</v>
      </c>
      <c r="CY146" s="59">
        <f ca="1">AVERAGE(OFFSET($CX$3,0,0,'Données projet'!$E$13+1,1))-AVERAGE(OFFSET($H$3,0,0,'Données projet'!$E$13+1,1))</f>
        <v>141.13780344922503</v>
      </c>
      <c r="CZ146" s="59">
        <f t="shared" si="150"/>
        <v>144.12010599544237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7.1971666844506919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7.1971666844506919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148.39628895278571</v>
      </c>
      <c r="AO147" s="59">
        <f t="shared" si="144"/>
        <v>361.07991692964788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5.7861535639211921</v>
      </c>
      <c r="AW147" s="21">
        <f>EXP(-LN(2)/2)*AW146+(1-EXP(-LN(2)/2))/(LN(2)/2)*AQ147*AT147*VLOOKUP('Données projet'!$B$10,Paramètres!$A$1:$I$89,3,0)*0.475*44/12</f>
        <v>3.1198658935856835E-19</v>
      </c>
      <c r="AX147" s="21">
        <f t="shared" si="114"/>
        <v>5.7861535639211921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>
        <f>VLOOKUP(A147,'Données projet'!$A$87:$I$107,2,0)</f>
        <v>514.94000000000005</v>
      </c>
      <c r="BB147" s="12">
        <f>VLOOKUP(A147,'Données projet'!$A$87:$I$107,9,0)</f>
        <v>8.561000000000007</v>
      </c>
      <c r="BC147" s="12">
        <f t="array" ref="BC147">INDEX(BB:BB,MIN(IF(ISNUMBER(BB147:BB343),ROW(BB147:BB343),"")))</f>
        <v>8.561000000000007</v>
      </c>
      <c r="BD147" s="12">
        <f>IF('Données projet'!$A$88&gt;35,BD146+BC147-BL146,IF(A147&lt;'Données projet'!$A$88,$BA$205^A147,IF(A147='Données projet'!$A$88,'Données projet'!$B$88,BD146+BC147-BL146)))</f>
        <v>514.9400000000004</v>
      </c>
      <c r="BE147" s="13">
        <f>BD147*VLOOKUP('Données projet'!$B$11,Paramètres!$A$1:$I$89,3,0)*VLOOKUP('Données projet'!$B$11,Paramètres!$A$1:$I$89,5,0)</f>
        <v>465.91771200000034</v>
      </c>
      <c r="BF147" s="13">
        <f t="shared" si="145"/>
        <v>105.0195352850718</v>
      </c>
      <c r="BG147" s="20">
        <f t="shared" si="115"/>
        <v>994.38237235483382</v>
      </c>
      <c r="BH147" s="59">
        <f t="shared" si="116"/>
        <v>1287.7157056881672</v>
      </c>
      <c r="BI147" s="59">
        <f ca="1">AVERAGE(OFFSET($BH$3,0,0,'Données projet'!$E$11+1,1))-AVERAGE(OFFSET($H$3,0,0,'Données projet'!$E$11+1,1))</f>
        <v>465.85201723964195</v>
      </c>
      <c r="BJ147" s="59">
        <f t="shared" si="146"/>
        <v>110.67325286443491</v>
      </c>
      <c r="BK147" s="15">
        <f>IF(ISNA(VLOOKUP(A147,'Données projet'!$A$87:$I$107,3,0)),0,VLOOKUP(A147,'Données projet'!$A$87:$I$107,3,0))</f>
        <v>12</v>
      </c>
      <c r="BL147" s="15">
        <f>IF(ISNA(VLOOKUP(A147,'Données projet'!$A$87:$I$107,4,0)),0,VLOOKUP(A147,'Données projet'!$A$87:$I$107,4,0))</f>
        <v>56.01</v>
      </c>
      <c r="BM147" s="16">
        <f>IF(ISNA(VLOOKUP(A147,'Données projet'!$A$87:$I$107,5,0)),0%,VLOOKUP(A147,'Données projet'!$A$87:$I$107,5,0)*VLOOKUP('Données projet'!$B$11,Paramètres!$A$1:$I$89,7,0))</f>
        <v>0.43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119.69734101765982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119.69734101765982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212.00000000000009</v>
      </c>
      <c r="BZ147" s="13">
        <f>BY147*VLOOKUP('Données projet'!$B$12,Paramètres!$A$1:$I$89,3,0)*VLOOKUP('Données projet'!$B$12,Paramètres!$A$1:$I$89,5,0)</f>
        <v>185.20320000000009</v>
      </c>
      <c r="CA147" s="13">
        <f t="shared" si="147"/>
        <v>46.477875402099386</v>
      </c>
      <c r="CB147" s="20">
        <f t="shared" si="118"/>
        <v>403.5112063253232</v>
      </c>
      <c r="CC147" s="59">
        <f t="shared" si="119"/>
        <v>696.84453965865646</v>
      </c>
      <c r="CD147" s="59">
        <f ca="1">AVERAGE(OFFSET($CC$3,0,0,'Données projet'!$E$12+1,1))-AVERAGE(OFFSET($H$3,0,0,'Données projet'!$E$12+1,1))</f>
        <v>201.70120933876507</v>
      </c>
      <c r="CE147" s="59">
        <f t="shared" si="148"/>
        <v>188.1234063307752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18.321462277175549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18.321462277175549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213.00000000000003</v>
      </c>
      <c r="CU147" s="17">
        <f>CT147*VLOOKUP('Données projet'!$B$13,Paramètres!$A$1:$I$89,3,0)*VLOOKUP('Données projet'!$B$13,Paramètres!$A$1:$I$89,5,0)</f>
        <v>156.17160000000004</v>
      </c>
      <c r="CV147" s="13">
        <f t="shared" si="149"/>
        <v>39.977795753356993</v>
      </c>
      <c r="CW147" s="20">
        <f t="shared" si="121"/>
        <v>341.62686427043013</v>
      </c>
      <c r="CX147" s="59">
        <f t="shared" si="122"/>
        <v>634.96019760376339</v>
      </c>
      <c r="CY147" s="59">
        <f ca="1">AVERAGE(OFFSET($CX$3,0,0,'Données projet'!$E$13+1,1))-AVERAGE(OFFSET($H$3,0,0,'Données projet'!$E$13+1,1))</f>
        <v>141.13780344922503</v>
      </c>
      <c r="CZ147" s="59">
        <f t="shared" si="150"/>
        <v>144.12010599544237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7.0560346356068306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7.0560346356068306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148.39628895278571</v>
      </c>
      <c r="AO148" s="59">
        <f t="shared" si="144"/>
        <v>361.07991692964788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5.6279308904351755</v>
      </c>
      <c r="AW148" s="21">
        <f>EXP(-LN(2)/2)*AW147+(1-EXP(-LN(2)/2))/(LN(2)/2)*AQ148*AT148*VLOOKUP('Données projet'!$B$10,Paramètres!$A$1:$I$89,3,0)*0.475*44/12</f>
        <v>2.2060783297470645E-19</v>
      </c>
      <c r="AX148" s="21">
        <f t="shared" si="114"/>
        <v>5.6279308904351755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8.7559999999999949</v>
      </c>
      <c r="BD148" s="12">
        <f>IF('Données projet'!$A$88&gt;35,BD147+BC148-BL147,IF(A148&lt;'Données projet'!$A$88,$BA$205^A148,IF(A148='Données projet'!$A$88,'Données projet'!$B$88,BD147+BC148-BL147)))</f>
        <v>467.68600000000038</v>
      </c>
      <c r="BE148" s="13">
        <f>BD148*VLOOKUP('Données projet'!$B$11,Paramètres!$A$1:$I$89,3,0)*VLOOKUP('Données projet'!$B$11,Paramètres!$A$1:$I$89,5,0)</f>
        <v>423.16229280000039</v>
      </c>
      <c r="BF148" s="13">
        <f t="shared" si="145"/>
        <v>96.456970178534121</v>
      </c>
      <c r="BG148" s="20">
        <f t="shared" si="115"/>
        <v>905.00354968761405</v>
      </c>
      <c r="BH148" s="59">
        <f t="shared" si="116"/>
        <v>1198.3368830209474</v>
      </c>
      <c r="BI148" s="59">
        <f ca="1">AVERAGE(OFFSET($BH$3,0,0,'Données projet'!$E$11+1,1))-AVERAGE(OFFSET($H$3,0,0,'Données projet'!$E$11+1,1))</f>
        <v>465.85201723964195</v>
      </c>
      <c r="BJ148" s="59">
        <f t="shared" si="146"/>
        <v>110.67325286443491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117.35014916847258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117.35014916847258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212.00000000000009</v>
      </c>
      <c r="BZ148" s="13">
        <f>BY148*VLOOKUP('Données projet'!$B$12,Paramètres!$A$1:$I$89,3,0)*VLOOKUP('Données projet'!$B$12,Paramètres!$A$1:$I$89,5,0)</f>
        <v>185.20320000000009</v>
      </c>
      <c r="CA148" s="13">
        <f t="shared" si="147"/>
        <v>46.477875402099386</v>
      </c>
      <c r="CB148" s="20">
        <f t="shared" si="118"/>
        <v>403.5112063253232</v>
      </c>
      <c r="CC148" s="59">
        <f t="shared" si="119"/>
        <v>696.84453965865646</v>
      </c>
      <c r="CD148" s="59">
        <f ca="1">AVERAGE(OFFSET($CC$3,0,0,'Données projet'!$E$12+1,1))-AVERAGE(OFFSET($H$3,0,0,'Données projet'!$E$12+1,1))</f>
        <v>201.70120933876507</v>
      </c>
      <c r="CE148" s="59">
        <f t="shared" si="148"/>
        <v>188.1234063307752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17.962189576908688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17.962189576908688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213.00000000000003</v>
      </c>
      <c r="CU148" s="17">
        <f>CT148*VLOOKUP('Données projet'!$B$13,Paramètres!$A$1:$I$89,3,0)*VLOOKUP('Données projet'!$B$13,Paramètres!$A$1:$I$89,5,0)</f>
        <v>156.17160000000004</v>
      </c>
      <c r="CV148" s="13">
        <f t="shared" si="149"/>
        <v>39.977795753356993</v>
      </c>
      <c r="CW148" s="20">
        <f t="shared" si="121"/>
        <v>341.62686427043013</v>
      </c>
      <c r="CX148" s="59">
        <f t="shared" si="122"/>
        <v>634.96019760376339</v>
      </c>
      <c r="CY148" s="59">
        <f ca="1">AVERAGE(OFFSET($CX$3,0,0,'Données projet'!$E$13+1,1))-AVERAGE(OFFSET($H$3,0,0,'Données projet'!$E$13+1,1))</f>
        <v>141.13780344922503</v>
      </c>
      <c r="CZ148" s="59">
        <f t="shared" si="150"/>
        <v>144.12010599544237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6.9176701001587482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6.9176701001587482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148.39628895278571</v>
      </c>
      <c r="AO149" s="59">
        <f t="shared" si="144"/>
        <v>361.07991692964788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5.4740348242762025</v>
      </c>
      <c r="AW149" s="21">
        <f>EXP(-LN(2)/2)*AW148+(1-EXP(-LN(2)/2))/(LN(2)/2)*AQ149*AT149*VLOOKUP('Données projet'!$B$10,Paramètres!$A$1:$I$89,3,0)*0.475*44/12</f>
        <v>1.5599329467928418E-19</v>
      </c>
      <c r="AX149" s="21">
        <f t="shared" si="114"/>
        <v>5.4740348242762025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8.7559999999999949</v>
      </c>
      <c r="BD149" s="12">
        <f>IF('Données projet'!$A$88&gt;35,BD148+BC149-BL148,IF(A149&lt;'Données projet'!$A$88,$BA$205^A149,IF(A149='Données projet'!$A$88,'Données projet'!$B$88,BD148+BC149-BL148)))</f>
        <v>476.44200000000035</v>
      </c>
      <c r="BE149" s="13">
        <f>BD149*VLOOKUP('Données projet'!$B$11,Paramètres!$A$1:$I$89,3,0)*VLOOKUP('Données projet'!$B$11,Paramètres!$A$1:$I$89,5,0)</f>
        <v>431.08472160000031</v>
      </c>
      <c r="BF149" s="13">
        <f t="shared" si="145"/>
        <v>98.050904791241848</v>
      </c>
      <c r="BG149" s="20">
        <f t="shared" si="115"/>
        <v>921.57788263141322</v>
      </c>
      <c r="BH149" s="59">
        <f t="shared" si="116"/>
        <v>1214.9112159647466</v>
      </c>
      <c r="BI149" s="59">
        <f ca="1">AVERAGE(OFFSET($BH$3,0,0,'Données projet'!$E$11+1,1))-AVERAGE(OFFSET($H$3,0,0,'Données projet'!$E$11+1,1))</f>
        <v>465.85201723964195</v>
      </c>
      <c r="BJ149" s="59">
        <f t="shared" si="146"/>
        <v>110.67325286443491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115.04898431980223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115.04898431980223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212.00000000000009</v>
      </c>
      <c r="BZ149" s="13">
        <f>BY149*VLOOKUP('Données projet'!$B$12,Paramètres!$A$1:$I$89,3,0)*VLOOKUP('Données projet'!$B$12,Paramètres!$A$1:$I$89,5,0)</f>
        <v>185.20320000000009</v>
      </c>
      <c r="CA149" s="13">
        <f t="shared" si="147"/>
        <v>46.477875402099386</v>
      </c>
      <c r="CB149" s="20">
        <f t="shared" si="118"/>
        <v>403.5112063253232</v>
      </c>
      <c r="CC149" s="59">
        <f t="shared" si="119"/>
        <v>696.84453965865646</v>
      </c>
      <c r="CD149" s="59">
        <f ca="1">AVERAGE(OFFSET($CC$3,0,0,'Données projet'!$E$12+1,1))-AVERAGE(OFFSET($H$3,0,0,'Données projet'!$E$12+1,1))</f>
        <v>201.70120933876507</v>
      </c>
      <c r="CE149" s="59">
        <f t="shared" si="148"/>
        <v>188.1234063307752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17.609961995159349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17.609961995159349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213.00000000000003</v>
      </c>
      <c r="CU149" s="17">
        <f>CT149*VLOOKUP('Données projet'!$B$13,Paramètres!$A$1:$I$89,3,0)*VLOOKUP('Données projet'!$B$13,Paramètres!$A$1:$I$89,5,0)</f>
        <v>156.17160000000004</v>
      </c>
      <c r="CV149" s="13">
        <f t="shared" si="149"/>
        <v>39.977795753356993</v>
      </c>
      <c r="CW149" s="20">
        <f t="shared" si="121"/>
        <v>341.62686427043013</v>
      </c>
      <c r="CX149" s="59">
        <f t="shared" si="122"/>
        <v>634.96019760376339</v>
      </c>
      <c r="CY149" s="59">
        <f ca="1">AVERAGE(OFFSET($CX$3,0,0,'Données projet'!$E$13+1,1))-AVERAGE(OFFSET($H$3,0,0,'Données projet'!$E$13+1,1))</f>
        <v>141.13780344922503</v>
      </c>
      <c r="CZ149" s="59">
        <f t="shared" si="150"/>
        <v>144.12010599544237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6.782018808856769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6.782018808856769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148.39628895278571</v>
      </c>
      <c r="AO150" s="59">
        <f t="shared" si="144"/>
        <v>361.07991692964788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5.3243470541393894</v>
      </c>
      <c r="AW150" s="21">
        <f>EXP(-LN(2)/2)*AW149+(1-EXP(-LN(2)/2))/(LN(2)/2)*AQ150*AT150*VLOOKUP('Données projet'!$B$10,Paramètres!$A$1:$I$89,3,0)*0.475*44/12</f>
        <v>1.1030391648735322E-19</v>
      </c>
      <c r="AX150" s="21">
        <f t="shared" si="114"/>
        <v>5.3243470541393894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8.7559999999999949</v>
      </c>
      <c r="BD150" s="12">
        <f>IF('Données projet'!$A$88&gt;35,BD149+BC150-BL149,IF(A150&lt;'Données projet'!$A$88,$BA$205^A150,IF(A150='Données projet'!$A$88,'Données projet'!$B$88,BD149+BC150-BL149)))</f>
        <v>485.19800000000032</v>
      </c>
      <c r="BE150" s="13">
        <f>BD150*VLOOKUP('Données projet'!$B$11,Paramètres!$A$1:$I$89,3,0)*VLOOKUP('Données projet'!$B$11,Paramètres!$A$1:$I$89,5,0)</f>
        <v>439.00715040000023</v>
      </c>
      <c r="BF150" s="13">
        <f t="shared" si="145"/>
        <v>99.641433121906957</v>
      </c>
      <c r="BG150" s="20">
        <f t="shared" si="115"/>
        <v>938.14628296732155</v>
      </c>
      <c r="BH150" s="59">
        <f t="shared" si="116"/>
        <v>1231.4796163006549</v>
      </c>
      <c r="BI150" s="59">
        <f ca="1">AVERAGE(OFFSET($BH$3,0,0,'Données projet'!$E$11+1,1))-AVERAGE(OFFSET($H$3,0,0,'Données projet'!$E$11+1,1))</f>
        <v>465.85201723964195</v>
      </c>
      <c r="BJ150" s="59">
        <f t="shared" si="146"/>
        <v>110.67325286443491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112.79294391024234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112.79294391024234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212.00000000000009</v>
      </c>
      <c r="BZ150" s="13">
        <f>BY150*VLOOKUP('Données projet'!$B$12,Paramètres!$A$1:$I$89,3,0)*VLOOKUP('Données projet'!$B$12,Paramètres!$A$1:$I$89,5,0)</f>
        <v>185.20320000000009</v>
      </c>
      <c r="CA150" s="13">
        <f t="shared" si="147"/>
        <v>46.477875402099386</v>
      </c>
      <c r="CB150" s="20">
        <f t="shared" si="118"/>
        <v>403.5112063253232</v>
      </c>
      <c r="CC150" s="59">
        <f t="shared" si="119"/>
        <v>696.84453965865646</v>
      </c>
      <c r="CD150" s="59">
        <f ca="1">AVERAGE(OFFSET($CC$3,0,0,'Données projet'!$E$12+1,1))-AVERAGE(OFFSET($H$3,0,0,'Données projet'!$E$12+1,1))</f>
        <v>201.70120933876507</v>
      </c>
      <c r="CE150" s="59">
        <f t="shared" si="148"/>
        <v>188.1234063307752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17.264641381450502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17.264641381450502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213.00000000000003</v>
      </c>
      <c r="CU150" s="17">
        <f>CT150*VLOOKUP('Données projet'!$B$13,Paramètres!$A$1:$I$89,3,0)*VLOOKUP('Données projet'!$B$13,Paramètres!$A$1:$I$89,5,0)</f>
        <v>156.17160000000004</v>
      </c>
      <c r="CV150" s="13">
        <f t="shared" si="149"/>
        <v>39.977795753356993</v>
      </c>
      <c r="CW150" s="20">
        <f t="shared" si="121"/>
        <v>341.62686427043013</v>
      </c>
      <c r="CX150" s="59">
        <f t="shared" si="122"/>
        <v>634.96019760376339</v>
      </c>
      <c r="CY150" s="59">
        <f ca="1">AVERAGE(OFFSET($CX$3,0,0,'Données projet'!$E$13+1,1))-AVERAGE(OFFSET($H$3,0,0,'Données projet'!$E$13+1,1))</f>
        <v>141.13780344922503</v>
      </c>
      <c r="CZ150" s="59">
        <f t="shared" si="150"/>
        <v>144.12010599544237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6.6490275566381039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6.6490275566381039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148.39628895278571</v>
      </c>
      <c r="AO151" s="59">
        <f t="shared" si="144"/>
        <v>361.07991692964788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5.1787525039487052</v>
      </c>
      <c r="AW151" s="21">
        <f>EXP(-LN(2)/2)*AW150+(1-EXP(-LN(2)/2))/(LN(2)/2)*AQ151*AT151*VLOOKUP('Données projet'!$B$10,Paramètres!$A$1:$I$89,3,0)*0.475*44/12</f>
        <v>7.7996647339642089E-20</v>
      </c>
      <c r="AX151" s="21">
        <f t="shared" si="114"/>
        <v>5.1787525039487052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8.7559999999999949</v>
      </c>
      <c r="BD151" s="12">
        <f>IF('Données projet'!$A$88&gt;35,BD150+BC151-BL150,IF(A151&lt;'Données projet'!$A$88,$BA$205^A151,IF(A151='Données projet'!$A$88,'Données projet'!$B$88,BD150+BC151-BL150)))</f>
        <v>493.95400000000029</v>
      </c>
      <c r="BE151" s="13">
        <f>BD151*VLOOKUP('Données projet'!$B$11,Paramètres!$A$1:$I$89,3,0)*VLOOKUP('Données projet'!$B$11,Paramètres!$A$1:$I$89,5,0)</f>
        <v>446.92957920000026</v>
      </c>
      <c r="BF151" s="13">
        <f t="shared" si="145"/>
        <v>101.22862373176935</v>
      </c>
      <c r="BG151" s="20">
        <f t="shared" si="115"/>
        <v>954.70887010616536</v>
      </c>
      <c r="BH151" s="59">
        <f t="shared" si="116"/>
        <v>1248.0422034394987</v>
      </c>
      <c r="BI151" s="59">
        <f ca="1">AVERAGE(OFFSET($BH$3,0,0,'Données projet'!$E$11+1,1))-AVERAGE(OFFSET($H$3,0,0,'Données projet'!$E$11+1,1))</f>
        <v>465.85201723964195</v>
      </c>
      <c r="BJ151" s="59">
        <f t="shared" si="146"/>
        <v>110.67325286443491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110.58114307706515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110.58114307706515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212.00000000000009</v>
      </c>
      <c r="BZ151" s="13">
        <f>BY151*VLOOKUP('Données projet'!$B$12,Paramètres!$A$1:$I$89,3,0)*VLOOKUP('Données projet'!$B$12,Paramètres!$A$1:$I$89,5,0)</f>
        <v>185.20320000000009</v>
      </c>
      <c r="CA151" s="13">
        <f t="shared" si="147"/>
        <v>46.477875402099386</v>
      </c>
      <c r="CB151" s="20">
        <f t="shared" si="118"/>
        <v>403.5112063253232</v>
      </c>
      <c r="CC151" s="59">
        <f t="shared" si="119"/>
        <v>696.84453965865646</v>
      </c>
      <c r="CD151" s="59">
        <f ca="1">AVERAGE(OFFSET($CC$3,0,0,'Données projet'!$E$12+1,1))-AVERAGE(OFFSET($H$3,0,0,'Données projet'!$E$12+1,1))</f>
        <v>201.70120933876507</v>
      </c>
      <c r="CE151" s="59">
        <f t="shared" si="148"/>
        <v>188.1234063307752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16.926092294351712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16.926092294351712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213.00000000000003</v>
      </c>
      <c r="CU151" s="17">
        <f>CT151*VLOOKUP('Données projet'!$B$13,Paramètres!$A$1:$I$89,3,0)*VLOOKUP('Données projet'!$B$13,Paramètres!$A$1:$I$89,5,0)</f>
        <v>156.17160000000004</v>
      </c>
      <c r="CV151" s="13">
        <f t="shared" si="149"/>
        <v>39.977795753356993</v>
      </c>
      <c r="CW151" s="20">
        <f t="shared" si="121"/>
        <v>341.62686427043013</v>
      </c>
      <c r="CX151" s="59">
        <f t="shared" si="122"/>
        <v>634.96019760376339</v>
      </c>
      <c r="CY151" s="59">
        <f ca="1">AVERAGE(OFFSET($CX$3,0,0,'Données projet'!$E$13+1,1))-AVERAGE(OFFSET($H$3,0,0,'Données projet'!$E$13+1,1))</f>
        <v>141.13780344922503</v>
      </c>
      <c r="CZ151" s="59">
        <f t="shared" si="150"/>
        <v>144.12010599544237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6.5186441817587921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6.5186441817587921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148.39628895278571</v>
      </c>
      <c r="AO152" s="59">
        <f t="shared" si="144"/>
        <v>361.07991692964788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5.0371392443894702</v>
      </c>
      <c r="AW152" s="21">
        <f>EXP(-LN(2)/2)*AW151+(1-EXP(-LN(2)/2))/(LN(2)/2)*AQ152*AT152*VLOOKUP('Données projet'!$B$10,Paramètres!$A$1:$I$89,3,0)*0.475*44/12</f>
        <v>5.5151958243676612E-20</v>
      </c>
      <c r="AX152" s="21">
        <f t="shared" si="114"/>
        <v>5.0371392443894702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8.7559999999999949</v>
      </c>
      <c r="BD152" s="12">
        <f>IF('Données projet'!$A$88&gt;35,BD151+BC152-BL151,IF(A152&lt;'Données projet'!$A$88,$BA$205^A152,IF(A152='Données projet'!$A$88,'Données projet'!$B$88,BD151+BC152-BL151)))</f>
        <v>502.71000000000026</v>
      </c>
      <c r="BE152" s="13">
        <f>BD152*VLOOKUP('Données projet'!$B$11,Paramètres!$A$1:$I$89,3,0)*VLOOKUP('Données projet'!$B$11,Paramètres!$A$1:$I$89,5,0)</f>
        <v>454.85200800000018</v>
      </c>
      <c r="BF152" s="13">
        <f t="shared" si="145"/>
        <v>102.81254261217163</v>
      </c>
      <c r="BG152" s="20">
        <f t="shared" si="115"/>
        <v>971.26575898286592</v>
      </c>
      <c r="BH152" s="59">
        <f t="shared" si="116"/>
        <v>1264.5990923161992</v>
      </c>
      <c r="BI152" s="59">
        <f ca="1">AVERAGE(OFFSET($BH$3,0,0,'Données projet'!$E$11+1,1))-AVERAGE(OFFSET($H$3,0,0,'Données projet'!$E$11+1,1))</f>
        <v>465.85201723964195</v>
      </c>
      <c r="BJ152" s="59">
        <f t="shared" si="146"/>
        <v>110.67325286443491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108.41271430916126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108.41271430916126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212.00000000000009</v>
      </c>
      <c r="BZ152" s="13">
        <f>BY152*VLOOKUP('Données projet'!$B$12,Paramètres!$A$1:$I$89,3,0)*VLOOKUP('Données projet'!$B$12,Paramètres!$A$1:$I$89,5,0)</f>
        <v>185.20320000000009</v>
      </c>
      <c r="CA152" s="13">
        <f t="shared" si="147"/>
        <v>46.477875402099386</v>
      </c>
      <c r="CB152" s="20">
        <f t="shared" si="118"/>
        <v>403.5112063253232</v>
      </c>
      <c r="CC152" s="59">
        <f t="shared" si="119"/>
        <v>696.84453965865646</v>
      </c>
      <c r="CD152" s="59">
        <f ca="1">AVERAGE(OFFSET($CC$3,0,0,'Données projet'!$E$12+1,1))-AVERAGE(OFFSET($H$3,0,0,'Données projet'!$E$12+1,1))</f>
        <v>201.70120933876507</v>
      </c>
      <c r="CE152" s="59">
        <f t="shared" si="148"/>
        <v>188.1234063307752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16.594181948356375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16.594181948356375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213.00000000000003</v>
      </c>
      <c r="CU152" s="17">
        <f>CT152*VLOOKUP('Données projet'!$B$13,Paramètres!$A$1:$I$89,3,0)*VLOOKUP('Données projet'!$B$13,Paramètres!$A$1:$I$89,5,0)</f>
        <v>156.17160000000004</v>
      </c>
      <c r="CV152" s="13">
        <f t="shared" si="149"/>
        <v>39.977795753356993</v>
      </c>
      <c r="CW152" s="20">
        <f t="shared" si="121"/>
        <v>341.62686427043013</v>
      </c>
      <c r="CX152" s="59">
        <f t="shared" si="122"/>
        <v>634.96019760376339</v>
      </c>
      <c r="CY152" s="59">
        <f ca="1">AVERAGE(OFFSET($CX$3,0,0,'Données projet'!$E$13+1,1))-AVERAGE(OFFSET($H$3,0,0,'Données projet'!$E$13+1,1))</f>
        <v>141.13780344922503</v>
      </c>
      <c r="CZ152" s="59">
        <f t="shared" si="150"/>
        <v>144.12010599544237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6.3908175453348575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6.3908175453348575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148.39628895278571</v>
      </c>
      <c r="AO153" s="59">
        <f t="shared" si="144"/>
        <v>361.07991692964788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4.8993984068599996</v>
      </c>
      <c r="AW153" s="21">
        <f>EXP(-LN(2)/2)*AW152+(1-EXP(-LN(2)/2))/(LN(2)/2)*AQ153*AT153*VLOOKUP('Données projet'!$B$10,Paramètres!$A$1:$I$89,3,0)*0.475*44/12</f>
        <v>3.8998323669821044E-20</v>
      </c>
      <c r="AX153" s="21">
        <f t="shared" si="114"/>
        <v>4.8993984068599996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8.7559999999999949</v>
      </c>
      <c r="BD153" s="12">
        <f>IF('Données projet'!$A$88&gt;35,BD152+BC153-BL152,IF(A153&lt;'Données projet'!$A$88,$BA$205^A153,IF(A153='Données projet'!$A$88,'Données projet'!$B$88,BD152+BC153-BL152)))</f>
        <v>511.46600000000024</v>
      </c>
      <c r="BE153" s="13">
        <f>BD153*VLOOKUP('Données projet'!$B$11,Paramètres!$A$1:$I$89,3,0)*VLOOKUP('Données projet'!$B$11,Paramètres!$A$1:$I$89,5,0)</f>
        <v>462.77443680000022</v>
      </c>
      <c r="BF153" s="13">
        <f t="shared" si="145"/>
        <v>104.39325332394039</v>
      </c>
      <c r="BG153" s="20">
        <f t="shared" si="115"/>
        <v>987.81706029919644</v>
      </c>
      <c r="BH153" s="59">
        <f t="shared" si="116"/>
        <v>1281.1503936325298</v>
      </c>
      <c r="BI153" s="59">
        <f ca="1">AVERAGE(OFFSET($BH$3,0,0,'Données projet'!$E$11+1,1))-AVERAGE(OFFSET($H$3,0,0,'Données projet'!$E$11+1,1))</f>
        <v>465.85201723964195</v>
      </c>
      <c r="BJ153" s="59">
        <f t="shared" si="146"/>
        <v>110.67325286443491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106.28680710678501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106.28680710678501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212.00000000000009</v>
      </c>
      <c r="BZ153" s="13">
        <f>BY153*VLOOKUP('Données projet'!$B$12,Paramètres!$A$1:$I$89,3,0)*VLOOKUP('Données projet'!$B$12,Paramètres!$A$1:$I$89,5,0)</f>
        <v>185.20320000000009</v>
      </c>
      <c r="CA153" s="13">
        <f t="shared" si="147"/>
        <v>46.477875402099386</v>
      </c>
      <c r="CB153" s="20">
        <f t="shared" si="118"/>
        <v>403.5112063253232</v>
      </c>
      <c r="CC153" s="59">
        <f t="shared" si="119"/>
        <v>696.84453965865646</v>
      </c>
      <c r="CD153" s="59">
        <f ca="1">AVERAGE(OFFSET($CC$3,0,0,'Données projet'!$E$12+1,1))-AVERAGE(OFFSET($H$3,0,0,'Données projet'!$E$12+1,1))</f>
        <v>201.70120933876507</v>
      </c>
      <c r="CE153" s="59">
        <f t="shared" si="148"/>
        <v>188.1234063307752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16.268780161800684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16.268780161800684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213.00000000000003</v>
      </c>
      <c r="CU153" s="17">
        <f>CT153*VLOOKUP('Données projet'!$B$13,Paramètres!$A$1:$I$89,3,0)*VLOOKUP('Données projet'!$B$13,Paramètres!$A$1:$I$89,5,0)</f>
        <v>156.17160000000004</v>
      </c>
      <c r="CV153" s="13">
        <f t="shared" si="149"/>
        <v>39.977795753356993</v>
      </c>
      <c r="CW153" s="20">
        <f t="shared" si="121"/>
        <v>341.62686427043013</v>
      </c>
      <c r="CX153" s="59">
        <f t="shared" si="122"/>
        <v>634.96019760376339</v>
      </c>
      <c r="CY153" s="59">
        <f ca="1">AVERAGE(OFFSET($CX$3,0,0,'Données projet'!$E$13+1,1))-AVERAGE(OFFSET($H$3,0,0,'Données projet'!$E$13+1,1))</f>
        <v>141.13780344922503</v>
      </c>
      <c r="CZ153" s="59">
        <f t="shared" si="150"/>
        <v>144.12010599544237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6.2654975112846465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6.2654975112846465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148.39628895278571</v>
      </c>
      <c r="AO154" s="59">
        <f t="shared" si="144"/>
        <v>361.07991692964788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4.765424099776248</v>
      </c>
      <c r="AW154" s="21">
        <f>EXP(-LN(2)/2)*AW153+(1-EXP(-LN(2)/2))/(LN(2)/2)*AQ154*AT154*VLOOKUP('Données projet'!$B$10,Paramètres!$A$1:$I$89,3,0)*0.475*44/12</f>
        <v>2.7575979121838306E-20</v>
      </c>
      <c r="AX154" s="21">
        <f t="shared" ref="AX154:AX203" si="166">SUM(AU154:AW154)</f>
        <v>4.765424099776248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8.7559999999999949</v>
      </c>
      <c r="BD154" s="12">
        <f>IF('Données projet'!$A$88&gt;35,BD153+BC154-BL153,IF(A154&lt;'Données projet'!$A$88,$BA$205^A154,IF(A154='Données projet'!$A$88,'Données projet'!$B$88,BD153+BC154-BL153)))</f>
        <v>520.22200000000021</v>
      </c>
      <c r="BE154" s="13">
        <f>BD154*VLOOKUP('Données projet'!$B$11,Paramètres!$A$1:$I$89,3,0)*VLOOKUP('Données projet'!$B$11,Paramètres!$A$1:$I$89,5,0)</f>
        <v>470.69686560000014</v>
      </c>
      <c r="BF154" s="13">
        <f t="shared" ref="BF154:BF203" si="167">EXP(-1.0587+0.8836*LN(BE154)+0.284)</f>
        <v>105.97081712695257</v>
      </c>
      <c r="BG154" s="20">
        <f t="shared" ref="BG154:BG203" si="168">(BE154+BF154)*0.475*44/12</f>
        <v>1004.3628807494425</v>
      </c>
      <c r="BH154" s="59">
        <f t="shared" si="116"/>
        <v>1297.6962140827759</v>
      </c>
      <c r="BI154" s="59">
        <f ca="1">AVERAGE(OFFSET($BH$3,0,0,'Données projet'!$E$11+1,1))-AVERAGE(OFFSET($H$3,0,0,'Données projet'!$E$11+1,1))</f>
        <v>465.85201723964195</v>
      </c>
      <c r="BJ154" s="59">
        <f t="shared" si="146"/>
        <v>110.67325286443491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104.202587647972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104.202587647972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212.00000000000009</v>
      </c>
      <c r="BZ154" s="13">
        <f>BY154*VLOOKUP('Données projet'!$B$12,Paramètres!$A$1:$I$89,3,0)*VLOOKUP('Données projet'!$B$12,Paramètres!$A$1:$I$89,5,0)</f>
        <v>185.20320000000009</v>
      </c>
      <c r="CA154" s="13">
        <f t="shared" ref="CA154:CA203" si="170">EXP(-1.0587+0.8836*LN(BZ154)+0.284)</f>
        <v>46.477875402099386</v>
      </c>
      <c r="CB154" s="20">
        <f t="shared" ref="CB154:CB203" si="171">(BZ154+CA154)*0.475*44/12</f>
        <v>403.5112063253232</v>
      </c>
      <c r="CC154" s="59">
        <f t="shared" si="119"/>
        <v>696.84453965865646</v>
      </c>
      <c r="CD154" s="59">
        <f ca="1">AVERAGE(OFFSET($CC$3,0,0,'Données projet'!$E$12+1,1))-AVERAGE(OFFSET($H$3,0,0,'Données projet'!$E$12+1,1))</f>
        <v>201.70120933876507</v>
      </c>
      <c r="CE154" s="59">
        <f t="shared" si="148"/>
        <v>188.1234063307752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15.949759305803859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15.949759305803859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213.00000000000003</v>
      </c>
      <c r="CU154" s="17">
        <f>CT154*VLOOKUP('Données projet'!$B$13,Paramètres!$A$1:$I$89,3,0)*VLOOKUP('Données projet'!$B$13,Paramètres!$A$1:$I$89,5,0)</f>
        <v>156.17160000000004</v>
      </c>
      <c r="CV154" s="13">
        <f t="shared" ref="CV154:CV203" si="173">EXP(-1.0587+0.8836*LN(CU154)+0.284)</f>
        <v>39.977795753356993</v>
      </c>
      <c r="CW154" s="20">
        <f t="shared" ref="CW154:CW203" si="174">(CU154+CV154)*0.475*44/12</f>
        <v>341.62686427043013</v>
      </c>
      <c r="CX154" s="59">
        <f t="shared" si="122"/>
        <v>634.96019760376339</v>
      </c>
      <c r="CY154" s="59">
        <f ca="1">AVERAGE(OFFSET($CX$3,0,0,'Données projet'!$E$13+1,1))-AVERAGE(OFFSET($H$3,0,0,'Données projet'!$E$13+1,1))</f>
        <v>141.13780344922503</v>
      </c>
      <c r="CZ154" s="59">
        <f t="shared" si="150"/>
        <v>144.12010599544237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6.1426349266644875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6.1426349266644875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148.39628895278571</v>
      </c>
      <c r="AO155" s="59">
        <f t="shared" si="144"/>
        <v>361.07991692964788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4.6351133271651044</v>
      </c>
      <c r="AW155" s="21">
        <f>EXP(-LN(2)/2)*AW154+(1-EXP(-LN(2)/2))/(LN(2)/2)*AQ155*AT155*VLOOKUP('Données projet'!$B$10,Paramètres!$A$1:$I$89,3,0)*0.475*44/12</f>
        <v>1.9499161834910522E-20</v>
      </c>
      <c r="AX155" s="21">
        <f t="shared" si="166"/>
        <v>4.6351133271651044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8.7559999999999949</v>
      </c>
      <c r="BD155" s="12">
        <f>IF('Données projet'!$A$88&gt;35,BD154+BC155-BL154,IF(A155&lt;'Données projet'!$A$88,$BA$205^A155,IF(A155='Données projet'!$A$88,'Données projet'!$B$88,BD154+BC155-BL154)))</f>
        <v>528.97800000000018</v>
      </c>
      <c r="BE155" s="13">
        <f>BD155*VLOOKUP('Données projet'!$B$11,Paramètres!$A$1:$I$89,3,0)*VLOOKUP('Données projet'!$B$11,Paramètres!$A$1:$I$89,5,0)</f>
        <v>478.61929440000017</v>
      </c>
      <c r="BF155" s="13">
        <f t="shared" si="167"/>
        <v>107.54529310073205</v>
      </c>
      <c r="BG155" s="20">
        <f t="shared" si="168"/>
        <v>1020.9033232304419</v>
      </c>
      <c r="BH155" s="59">
        <f t="shared" si="116"/>
        <v>1314.2366565637751</v>
      </c>
      <c r="BI155" s="59">
        <f ca="1">AVERAGE(OFFSET($BH$3,0,0,'Données projet'!$E$11+1,1))-AVERAGE(OFFSET($H$3,0,0,'Données projet'!$E$11+1,1))</f>
        <v>465.85201723964195</v>
      </c>
      <c r="BJ155" s="59">
        <f t="shared" si="146"/>
        <v>110.67325286443491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102.15923846149796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102.15923846149796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212.00000000000009</v>
      </c>
      <c r="BZ155" s="13">
        <f>BY155*VLOOKUP('Données projet'!$B$12,Paramètres!$A$1:$I$89,3,0)*VLOOKUP('Données projet'!$B$12,Paramètres!$A$1:$I$89,5,0)</f>
        <v>185.20320000000009</v>
      </c>
      <c r="CA155" s="13">
        <f t="shared" si="170"/>
        <v>46.477875402099386</v>
      </c>
      <c r="CB155" s="20">
        <f t="shared" si="171"/>
        <v>403.5112063253232</v>
      </c>
      <c r="CC155" s="59">
        <f t="shared" si="119"/>
        <v>696.84453965865646</v>
      </c>
      <c r="CD155" s="59">
        <f ca="1">AVERAGE(OFFSET($CC$3,0,0,'Données projet'!$E$12+1,1))-AVERAGE(OFFSET($H$3,0,0,'Données projet'!$E$12+1,1))</f>
        <v>201.70120933876507</v>
      </c>
      <c r="CE155" s="59">
        <f t="shared" si="148"/>
        <v>188.1234063307752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15.636994254209624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15.636994254209624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213.00000000000003</v>
      </c>
      <c r="CU155" s="17">
        <f>CT155*VLOOKUP('Données projet'!$B$13,Paramètres!$A$1:$I$89,3,0)*VLOOKUP('Données projet'!$B$13,Paramètres!$A$1:$I$89,5,0)</f>
        <v>156.17160000000004</v>
      </c>
      <c r="CV155" s="13">
        <f t="shared" si="173"/>
        <v>39.977795753356993</v>
      </c>
      <c r="CW155" s="20">
        <f t="shared" si="174"/>
        <v>341.62686427043013</v>
      </c>
      <c r="CX155" s="59">
        <f t="shared" si="122"/>
        <v>634.96019760376339</v>
      </c>
      <c r="CY155" s="59">
        <f ca="1">AVERAGE(OFFSET($CX$3,0,0,'Données projet'!$E$13+1,1))-AVERAGE(OFFSET($H$3,0,0,'Données projet'!$E$13+1,1))</f>
        <v>141.13780344922503</v>
      </c>
      <c r="CZ155" s="59">
        <f t="shared" si="150"/>
        <v>144.12010599544237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6.0221816023899528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6.0221816023899528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148.39628895278571</v>
      </c>
      <c r="AO156" s="59">
        <f t="shared" si="144"/>
        <v>361.07991692964788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4.508365909483758</v>
      </c>
      <c r="AW156" s="21">
        <f>EXP(-LN(2)/2)*AW155+(1-EXP(-LN(2)/2))/(LN(2)/2)*AQ156*AT156*VLOOKUP('Données projet'!$B$10,Paramètres!$A$1:$I$89,3,0)*0.475*44/12</f>
        <v>1.3787989560919153E-20</v>
      </c>
      <c r="AX156" s="21">
        <f t="shared" si="166"/>
        <v>4.508365909483758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8.7559999999999949</v>
      </c>
      <c r="BD156" s="12">
        <f>IF('Données projet'!$A$88&gt;35,BD155+BC156-BL155,IF(A156&lt;'Données projet'!$A$88,$BA$205^A156,IF(A156='Données projet'!$A$88,'Données projet'!$B$88,BD155+BC156-BL155)))</f>
        <v>537.73400000000015</v>
      </c>
      <c r="BE156" s="13">
        <f>BD156*VLOOKUP('Données projet'!$B$11,Paramètres!$A$1:$I$89,3,0)*VLOOKUP('Données projet'!$B$11,Paramètres!$A$1:$I$89,5,0)</f>
        <v>486.54172320000009</v>
      </c>
      <c r="BF156" s="13">
        <f t="shared" si="167"/>
        <v>109.11673825683451</v>
      </c>
      <c r="BG156" s="20">
        <f t="shared" si="168"/>
        <v>1037.4384870373203</v>
      </c>
      <c r="BH156" s="59">
        <f t="shared" si="116"/>
        <v>1330.7718203706536</v>
      </c>
      <c r="BI156" s="59">
        <f ca="1">AVERAGE(OFFSET($BH$3,0,0,'Données projet'!$E$11+1,1))-AVERAGE(OFFSET($H$3,0,0,'Données projet'!$E$11+1,1))</f>
        <v>465.85201723964195</v>
      </c>
      <c r="BJ156" s="59">
        <f t="shared" si="146"/>
        <v>110.67325286443491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100.15595810625075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100.15595810625075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212.00000000000009</v>
      </c>
      <c r="BZ156" s="13">
        <f>BY156*VLOOKUP('Données projet'!$B$12,Paramètres!$A$1:$I$89,3,0)*VLOOKUP('Données projet'!$B$12,Paramètres!$A$1:$I$89,5,0)</f>
        <v>185.20320000000009</v>
      </c>
      <c r="CA156" s="13">
        <f t="shared" si="170"/>
        <v>46.477875402099386</v>
      </c>
      <c r="CB156" s="20">
        <f t="shared" si="171"/>
        <v>403.5112063253232</v>
      </c>
      <c r="CC156" s="59">
        <f t="shared" si="119"/>
        <v>696.84453965865646</v>
      </c>
      <c r="CD156" s="59">
        <f ca="1">AVERAGE(OFFSET($CC$3,0,0,'Données projet'!$E$12+1,1))-AVERAGE(OFFSET($H$3,0,0,'Données projet'!$E$12+1,1))</f>
        <v>201.70120933876507</v>
      </c>
      <c r="CE156" s="59">
        <f t="shared" si="148"/>
        <v>188.1234063307752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15.330362334509307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15.330362334509307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213.00000000000003</v>
      </c>
      <c r="CU156" s="17">
        <f>CT156*VLOOKUP('Données projet'!$B$13,Paramètres!$A$1:$I$89,3,0)*VLOOKUP('Données projet'!$B$13,Paramètres!$A$1:$I$89,5,0)</f>
        <v>156.17160000000004</v>
      </c>
      <c r="CV156" s="13">
        <f t="shared" si="173"/>
        <v>39.977795753356993</v>
      </c>
      <c r="CW156" s="20">
        <f t="shared" si="174"/>
        <v>341.62686427043013</v>
      </c>
      <c r="CX156" s="59">
        <f t="shared" si="122"/>
        <v>634.96019760376339</v>
      </c>
      <c r="CY156" s="59">
        <f ca="1">AVERAGE(OFFSET($CX$3,0,0,'Données projet'!$E$13+1,1))-AVERAGE(OFFSET($H$3,0,0,'Données projet'!$E$13+1,1))</f>
        <v>141.13780344922503</v>
      </c>
      <c r="CZ156" s="59">
        <f t="shared" si="150"/>
        <v>144.12010599544237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5.9040902943351679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5.9040902943351679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148.39628895278571</v>
      </c>
      <c r="AO157" s="59">
        <f t="shared" si="144"/>
        <v>361.07991692964788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4.3850844066042658</v>
      </c>
      <c r="AW157" s="21">
        <f>EXP(-LN(2)/2)*AW156+(1-EXP(-LN(2)/2))/(LN(2)/2)*AQ157*AT157*VLOOKUP('Données projet'!$B$10,Paramètres!$A$1:$I$89,3,0)*0.475*44/12</f>
        <v>9.7495809174552611E-21</v>
      </c>
      <c r="AX157" s="21">
        <f t="shared" si="166"/>
        <v>4.3850844066042658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>
        <f>VLOOKUP(A157,'Données projet'!$A$87:$I$107,2,0)</f>
        <v>546.49</v>
      </c>
      <c r="BB157" s="12">
        <f>VLOOKUP(A157,'Données projet'!$A$87:$I$107,9,0)</f>
        <v>8.7559999999999949</v>
      </c>
      <c r="BC157" s="12">
        <f t="array" ref="BC157">INDEX(BB:BB,MIN(IF(ISNUMBER(BB157:BB353),ROW(BB157:BB353),"")))</f>
        <v>8.7559999999999949</v>
      </c>
      <c r="BD157" s="12">
        <f>IF('Données projet'!$A$88&gt;35,BD156+BC157-BL156,IF(A157&lt;'Données projet'!$A$88,$BA$205^A157,IF(A157='Données projet'!$A$88,'Données projet'!$B$88,BD156+BC157-BL156)))</f>
        <v>546.49000000000012</v>
      </c>
      <c r="BE157" s="13">
        <f>BD157*VLOOKUP('Données projet'!$B$11,Paramètres!$A$1:$I$89,3,0)*VLOOKUP('Données projet'!$B$11,Paramètres!$A$1:$I$89,5,0)</f>
        <v>494.46415200000013</v>
      </c>
      <c r="BF157" s="13">
        <f t="shared" si="167"/>
        <v>110.68520764370504</v>
      </c>
      <c r="BG157" s="20">
        <f t="shared" si="168"/>
        <v>1053.9684680461196</v>
      </c>
      <c r="BH157" s="59">
        <f t="shared" si="116"/>
        <v>1347.3018013794529</v>
      </c>
      <c r="BI157" s="59">
        <f ca="1">AVERAGE(OFFSET($BH$3,0,0,'Données projet'!$E$11+1,1))-AVERAGE(OFFSET($H$3,0,0,'Données projet'!$E$11+1,1))</f>
        <v>465.85201723964195</v>
      </c>
      <c r="BJ157" s="59">
        <f t="shared" si="146"/>
        <v>110.67325286443491</v>
      </c>
      <c r="BK157" s="15">
        <f>IF(ISNA(VLOOKUP(A157,'Données projet'!$A$87:$I$107,3,0)),0,VLOOKUP(A157,'Données projet'!$A$87:$I$107,3,0))</f>
        <v>13</v>
      </c>
      <c r="BL157" s="15">
        <f>IF(ISNA(VLOOKUP(A157,'Données projet'!$A$87:$I$107,4,0)),0,VLOOKUP(A157,'Données projet'!$A$87:$I$107,4,0))</f>
        <v>55.13</v>
      </c>
      <c r="BM157" s="16">
        <f>IF(ISNA(VLOOKUP(A157,'Données projet'!$A$87:$I$107,5,0)),0%,VLOOKUP(A157,'Données projet'!$A$87:$I$107,5,0)*VLOOKUP('Données projet'!$B$11,Paramètres!$A$1:$I$89,7,0))</f>
        <v>0.43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121.90330371733953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121.90330371733953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212.00000000000009</v>
      </c>
      <c r="BZ157" s="13">
        <f>BY157*VLOOKUP('Données projet'!$B$12,Paramètres!$A$1:$I$89,3,0)*VLOOKUP('Données projet'!$B$12,Paramètres!$A$1:$I$89,5,0)</f>
        <v>185.20320000000009</v>
      </c>
      <c r="CA157" s="13">
        <f t="shared" si="170"/>
        <v>46.477875402099386</v>
      </c>
      <c r="CB157" s="20">
        <f t="shared" si="171"/>
        <v>403.5112063253232</v>
      </c>
      <c r="CC157" s="59">
        <f t="shared" si="119"/>
        <v>696.84453965865646</v>
      </c>
      <c r="CD157" s="59">
        <f ca="1">AVERAGE(OFFSET($CC$3,0,0,'Données projet'!$E$12+1,1))-AVERAGE(OFFSET($H$3,0,0,'Données projet'!$E$12+1,1))</f>
        <v>201.70120933876507</v>
      </c>
      <c r="CE157" s="59">
        <f t="shared" si="148"/>
        <v>188.1234063307752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15.029743279727308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15.029743279727308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213.00000000000003</v>
      </c>
      <c r="CU157" s="17">
        <f>CT157*VLOOKUP('Données projet'!$B$13,Paramètres!$A$1:$I$89,3,0)*VLOOKUP('Données projet'!$B$13,Paramètres!$A$1:$I$89,5,0)</f>
        <v>156.17160000000004</v>
      </c>
      <c r="CV157" s="13">
        <f t="shared" si="173"/>
        <v>39.977795753356993</v>
      </c>
      <c r="CW157" s="20">
        <f t="shared" si="174"/>
        <v>341.62686427043013</v>
      </c>
      <c r="CX157" s="59">
        <f t="shared" si="122"/>
        <v>634.96019760376339</v>
      </c>
      <c r="CY157" s="59">
        <f ca="1">AVERAGE(OFFSET($CX$3,0,0,'Données projet'!$E$13+1,1))-AVERAGE(OFFSET($H$3,0,0,'Données projet'!$E$13+1,1))</f>
        <v>141.13780344922503</v>
      </c>
      <c r="CZ157" s="59">
        <f t="shared" si="150"/>
        <v>144.12010599544237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5.788314684802752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5.788314684802752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148.39628895278571</v>
      </c>
      <c r="AO158" s="59">
        <f t="shared" si="144"/>
        <v>361.07991692964788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4.2651740429041052</v>
      </c>
      <c r="AW158" s="21">
        <f>EXP(-LN(2)/2)*AW157+(1-EXP(-LN(2)/2))/(LN(2)/2)*AQ158*AT158*VLOOKUP('Données projet'!$B$10,Paramètres!$A$1:$I$89,3,0)*0.475*44/12</f>
        <v>6.8939947804595765E-21</v>
      </c>
      <c r="AX158" s="21">
        <f t="shared" si="166"/>
        <v>4.2651740429041052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8.8960000000000043</v>
      </c>
      <c r="BD158" s="12">
        <f>IF('Données projet'!$A$88&gt;35,BD157+BC158-BL157,IF(A158&lt;'Données projet'!$A$88,$BA$205^A158,IF(A158='Données projet'!$A$88,'Données projet'!$B$88,BD157+BC158-BL157)))</f>
        <v>500.25600000000009</v>
      </c>
      <c r="BE158" s="13">
        <f>BD158*VLOOKUP('Données projet'!$B$11,Paramètres!$A$1:$I$89,3,0)*VLOOKUP('Données projet'!$B$11,Paramètres!$A$1:$I$89,5,0)</f>
        <v>452.63162880000004</v>
      </c>
      <c r="BF158" s="13">
        <f t="shared" si="167"/>
        <v>102.36895191108759</v>
      </c>
      <c r="BG158" s="20">
        <f t="shared" si="168"/>
        <v>966.62601140514414</v>
      </c>
      <c r="BH158" s="59">
        <f t="shared" si="116"/>
        <v>1259.9593447384775</v>
      </c>
      <c r="BI158" s="59">
        <f ca="1">AVERAGE(OFFSET($BH$3,0,0,'Données projet'!$E$11+1,1))-AVERAGE(OFFSET($H$3,0,0,'Données projet'!$E$11+1,1))</f>
        <v>465.85201723964195</v>
      </c>
      <c r="BJ158" s="59">
        <f t="shared" si="146"/>
        <v>110.67325286443491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119.51285428511595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119.51285428511595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212.00000000000009</v>
      </c>
      <c r="BZ158" s="13">
        <f>BY158*VLOOKUP('Données projet'!$B$12,Paramètres!$A$1:$I$89,3,0)*VLOOKUP('Données projet'!$B$12,Paramètres!$A$1:$I$89,5,0)</f>
        <v>185.20320000000009</v>
      </c>
      <c r="CA158" s="13">
        <f t="shared" si="170"/>
        <v>46.477875402099386</v>
      </c>
      <c r="CB158" s="20">
        <f t="shared" si="171"/>
        <v>403.5112063253232</v>
      </c>
      <c r="CC158" s="59">
        <f t="shared" si="119"/>
        <v>696.84453965865646</v>
      </c>
      <c r="CD158" s="59">
        <f ca="1">AVERAGE(OFFSET($CC$3,0,0,'Données projet'!$E$12+1,1))-AVERAGE(OFFSET($H$3,0,0,'Données projet'!$E$12+1,1))</f>
        <v>201.70120933876507</v>
      </c>
      <c r="CE158" s="59">
        <f t="shared" si="148"/>
        <v>188.1234063307752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14.735019181250067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14.735019181250067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213.00000000000003</v>
      </c>
      <c r="CU158" s="17">
        <f>CT158*VLOOKUP('Données projet'!$B$13,Paramètres!$A$1:$I$89,3,0)*VLOOKUP('Données projet'!$B$13,Paramètres!$A$1:$I$89,5,0)</f>
        <v>156.17160000000004</v>
      </c>
      <c r="CV158" s="13">
        <f t="shared" si="173"/>
        <v>39.977795753356993</v>
      </c>
      <c r="CW158" s="20">
        <f t="shared" si="174"/>
        <v>341.62686427043013</v>
      </c>
      <c r="CX158" s="59">
        <f t="shared" si="122"/>
        <v>634.96019760376339</v>
      </c>
      <c r="CY158" s="59">
        <f ca="1">AVERAGE(OFFSET($CX$3,0,0,'Données projet'!$E$13+1,1))-AVERAGE(OFFSET($H$3,0,0,'Données projet'!$E$13+1,1))</f>
        <v>141.13780344922503</v>
      </c>
      <c r="CZ158" s="59">
        <f t="shared" si="150"/>
        <v>144.12010599544237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5.6748093643571176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5.6748093643571176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148.39628895278571</v>
      </c>
      <c r="AO159" s="59">
        <f t="shared" si="144"/>
        <v>361.07991692964788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4.1485426344051373</v>
      </c>
      <c r="AW159" s="21">
        <f>EXP(-LN(2)/2)*AW158+(1-EXP(-LN(2)/2))/(LN(2)/2)*AQ159*AT159*VLOOKUP('Données projet'!$B$10,Paramètres!$A$1:$I$89,3,0)*0.475*44/12</f>
        <v>4.8747904587276305E-21</v>
      </c>
      <c r="AX159" s="21">
        <f t="shared" si="166"/>
        <v>4.1485426344051373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8.8960000000000043</v>
      </c>
      <c r="BD159" s="12">
        <f>IF('Données projet'!$A$88&gt;35,BD158+BC159-BL158,IF(A159&lt;'Données projet'!$A$88,$BA$205^A159,IF(A159='Données projet'!$A$88,'Données projet'!$B$88,BD158+BC159-BL158)))</f>
        <v>509.1520000000001</v>
      </c>
      <c r="BE159" s="13">
        <f>BD159*VLOOKUP('Données projet'!$B$11,Paramètres!$A$1:$I$89,3,0)*VLOOKUP('Données projet'!$B$11,Paramètres!$A$1:$I$89,5,0)</f>
        <v>460.68072960000006</v>
      </c>
      <c r="BF159" s="13">
        <f t="shared" si="167"/>
        <v>103.97581794168418</v>
      </c>
      <c r="BG159" s="20">
        <f t="shared" si="168"/>
        <v>983.44348696843338</v>
      </c>
      <c r="BH159" s="59">
        <f t="shared" si="116"/>
        <v>1276.7768203017667</v>
      </c>
      <c r="BI159" s="59">
        <f ca="1">AVERAGE(OFFSET($BH$3,0,0,'Données projet'!$E$11+1,1))-AVERAGE(OFFSET($H$3,0,0,'Données projet'!$E$11+1,1))</f>
        <v>465.85201723964195</v>
      </c>
      <c r="BJ159" s="59">
        <f t="shared" si="146"/>
        <v>110.67325286443491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117.16928010822809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117.16928010822809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212.00000000000009</v>
      </c>
      <c r="BZ159" s="13">
        <f>BY159*VLOOKUP('Données projet'!$B$12,Paramètres!$A$1:$I$89,3,0)*VLOOKUP('Données projet'!$B$12,Paramètres!$A$1:$I$89,5,0)</f>
        <v>185.20320000000009</v>
      </c>
      <c r="CA159" s="13">
        <f t="shared" si="170"/>
        <v>46.477875402099386</v>
      </c>
      <c r="CB159" s="20">
        <f t="shared" si="171"/>
        <v>403.5112063253232</v>
      </c>
      <c r="CC159" s="59">
        <f t="shared" si="119"/>
        <v>696.84453965865646</v>
      </c>
      <c r="CD159" s="59">
        <f ca="1">AVERAGE(OFFSET($CC$3,0,0,'Données projet'!$E$12+1,1))-AVERAGE(OFFSET($H$3,0,0,'Données projet'!$E$12+1,1))</f>
        <v>201.70120933876507</v>
      </c>
      <c r="CE159" s="59">
        <f t="shared" si="148"/>
        <v>188.1234063307752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14.446074442580015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14.446074442580015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213.00000000000003</v>
      </c>
      <c r="CU159" s="17">
        <f>CT159*VLOOKUP('Données projet'!$B$13,Paramètres!$A$1:$I$89,3,0)*VLOOKUP('Données projet'!$B$13,Paramètres!$A$1:$I$89,5,0)</f>
        <v>156.17160000000004</v>
      </c>
      <c r="CV159" s="13">
        <f t="shared" si="173"/>
        <v>39.977795753356993</v>
      </c>
      <c r="CW159" s="20">
        <f t="shared" si="174"/>
        <v>341.62686427043013</v>
      </c>
      <c r="CX159" s="59">
        <f t="shared" si="122"/>
        <v>634.96019760376339</v>
      </c>
      <c r="CY159" s="59">
        <f ca="1">AVERAGE(OFFSET($CX$3,0,0,'Données projet'!$E$13+1,1))-AVERAGE(OFFSET($H$3,0,0,'Données projet'!$E$13+1,1))</f>
        <v>141.13780344922503</v>
      </c>
      <c r="CZ159" s="59">
        <f t="shared" si="150"/>
        <v>144.12010599544237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5.5635298140140126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5.5635298140140126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148.39628895278571</v>
      </c>
      <c r="AO160" s="59">
        <f t="shared" si="144"/>
        <v>361.07991692964788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4.0351005179049535</v>
      </c>
      <c r="AW160" s="21">
        <f>EXP(-LN(2)/2)*AW159+(1-EXP(-LN(2)/2))/(LN(2)/2)*AQ160*AT160*VLOOKUP('Données projet'!$B$10,Paramètres!$A$1:$I$89,3,0)*0.475*44/12</f>
        <v>3.4469973902297883E-21</v>
      </c>
      <c r="AX160" s="21">
        <f t="shared" si="166"/>
        <v>4.0351005179049535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8.8960000000000043</v>
      </c>
      <c r="BD160" s="12">
        <f>IF('Données projet'!$A$88&gt;35,BD159+BC160-BL159,IF(A160&lt;'Données projet'!$A$88,$BA$205^A160,IF(A160='Données projet'!$A$88,'Données projet'!$B$88,BD159+BC160-BL159)))</f>
        <v>518.04800000000012</v>
      </c>
      <c r="BE160" s="13">
        <f>BD160*VLOOKUP('Données projet'!$B$11,Paramètres!$A$1:$I$89,3,0)*VLOOKUP('Données projet'!$B$11,Paramètres!$A$1:$I$89,5,0)</f>
        <v>468.72983040000003</v>
      </c>
      <c r="BF160" s="13">
        <f t="shared" si="167"/>
        <v>105.57941913319922</v>
      </c>
      <c r="BG160" s="20">
        <f t="shared" si="168"/>
        <v>1000.2552762703218</v>
      </c>
      <c r="BH160" s="59">
        <f t="shared" si="116"/>
        <v>1293.5886096036552</v>
      </c>
      <c r="BI160" s="59">
        <f ca="1">AVERAGE(OFFSET($BH$3,0,0,'Données projet'!$E$11+1,1))-AVERAGE(OFFSET($H$3,0,0,'Données projet'!$E$11+1,1))</f>
        <v>465.85201723964195</v>
      </c>
      <c r="BJ160" s="59">
        <f t="shared" si="146"/>
        <v>110.67325286443491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114.87166199150991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114.87166199150991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212.00000000000009</v>
      </c>
      <c r="BZ160" s="13">
        <f>BY160*VLOOKUP('Données projet'!$B$12,Paramètres!$A$1:$I$89,3,0)*VLOOKUP('Données projet'!$B$12,Paramètres!$A$1:$I$89,5,0)</f>
        <v>185.20320000000009</v>
      </c>
      <c r="CA160" s="13">
        <f t="shared" si="170"/>
        <v>46.477875402099386</v>
      </c>
      <c r="CB160" s="20">
        <f t="shared" si="171"/>
        <v>403.5112063253232</v>
      </c>
      <c r="CC160" s="59">
        <f t="shared" si="119"/>
        <v>696.84453965865646</v>
      </c>
      <c r="CD160" s="59">
        <f ca="1">AVERAGE(OFFSET($CC$3,0,0,'Données projet'!$E$12+1,1))-AVERAGE(OFFSET($H$3,0,0,'Données projet'!$E$12+1,1))</f>
        <v>201.70120933876507</v>
      </c>
      <c r="CE160" s="59">
        <f t="shared" si="148"/>
        <v>188.1234063307752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14.162795733996393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14.162795733996393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213.00000000000003</v>
      </c>
      <c r="CU160" s="17">
        <f>CT160*VLOOKUP('Données projet'!$B$13,Paramètres!$A$1:$I$89,3,0)*VLOOKUP('Données projet'!$B$13,Paramètres!$A$1:$I$89,5,0)</f>
        <v>156.17160000000004</v>
      </c>
      <c r="CV160" s="13">
        <f t="shared" si="173"/>
        <v>39.977795753356993</v>
      </c>
      <c r="CW160" s="20">
        <f t="shared" si="174"/>
        <v>341.62686427043013</v>
      </c>
      <c r="CX160" s="59">
        <f t="shared" si="122"/>
        <v>634.96019760376339</v>
      </c>
      <c r="CY160" s="59">
        <f ca="1">AVERAGE(OFFSET($CX$3,0,0,'Données projet'!$E$13+1,1))-AVERAGE(OFFSET($H$3,0,0,'Données projet'!$E$13+1,1))</f>
        <v>141.13780344922503</v>
      </c>
      <c r="CZ160" s="59">
        <f t="shared" si="150"/>
        <v>144.12010599544237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5.4544323877793124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5.4544323877793124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148.39628895278571</v>
      </c>
      <c r="AO161" s="59">
        <f t="shared" si="144"/>
        <v>361.07991692964788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3.9247604820461288</v>
      </c>
      <c r="AW161" s="21">
        <f>EXP(-LN(2)/2)*AW160+(1-EXP(-LN(2)/2))/(LN(2)/2)*AQ161*AT161*VLOOKUP('Données projet'!$B$10,Paramètres!$A$1:$I$89,3,0)*0.475*44/12</f>
        <v>2.4373952293638153E-21</v>
      </c>
      <c r="AX161" s="21">
        <f t="shared" si="166"/>
        <v>3.9247604820461288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8.8960000000000043</v>
      </c>
      <c r="BD161" s="12">
        <f>IF('Données projet'!$A$88&gt;35,BD160+BC161-BL160,IF(A161&lt;'Données projet'!$A$88,$BA$205^A161,IF(A161='Données projet'!$A$88,'Données projet'!$B$88,BD160+BC161-BL160)))</f>
        <v>526.94400000000007</v>
      </c>
      <c r="BE161" s="13">
        <f>BD161*VLOOKUP('Données projet'!$B$11,Paramètres!$A$1:$I$89,3,0)*VLOOKUP('Données projet'!$B$11,Paramètres!$A$1:$I$89,5,0)</f>
        <v>476.77893120000005</v>
      </c>
      <c r="BF161" s="13">
        <f t="shared" si="167"/>
        <v>107.17981801952122</v>
      </c>
      <c r="BG161" s="20">
        <f t="shared" si="168"/>
        <v>1017.0614882239994</v>
      </c>
      <c r="BH161" s="59">
        <f t="shared" si="116"/>
        <v>1310.3948215573328</v>
      </c>
      <c r="BI161" s="59">
        <f ca="1">AVERAGE(OFFSET($BH$3,0,0,'Données projet'!$E$11+1,1))-AVERAGE(OFFSET($H$3,0,0,'Données projet'!$E$11+1,1))</f>
        <v>465.85201723964195</v>
      </c>
      <c r="BJ161" s="59">
        <f t="shared" si="146"/>
        <v>110.67325286443491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112.61909876465189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112.61909876465189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212.00000000000009</v>
      </c>
      <c r="BZ161" s="13">
        <f>BY161*VLOOKUP('Données projet'!$B$12,Paramètres!$A$1:$I$89,3,0)*VLOOKUP('Données projet'!$B$12,Paramètres!$A$1:$I$89,5,0)</f>
        <v>185.20320000000009</v>
      </c>
      <c r="CA161" s="13">
        <f t="shared" si="170"/>
        <v>46.477875402099386</v>
      </c>
      <c r="CB161" s="20">
        <f t="shared" si="171"/>
        <v>403.5112063253232</v>
      </c>
      <c r="CC161" s="59">
        <f t="shared" si="119"/>
        <v>696.84453965865646</v>
      </c>
      <c r="CD161" s="59">
        <f ca="1">AVERAGE(OFFSET($CC$3,0,0,'Données projet'!$E$12+1,1))-AVERAGE(OFFSET($H$3,0,0,'Données projet'!$E$12+1,1))</f>
        <v>201.70120933876507</v>
      </c>
      <c r="CE161" s="59">
        <f t="shared" si="148"/>
        <v>188.1234063307752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13.885071948105146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13.885071948105146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213.00000000000003</v>
      </c>
      <c r="CU161" s="17">
        <f>CT161*VLOOKUP('Données projet'!$B$13,Paramètres!$A$1:$I$89,3,0)*VLOOKUP('Données projet'!$B$13,Paramètres!$A$1:$I$89,5,0)</f>
        <v>156.17160000000004</v>
      </c>
      <c r="CV161" s="13">
        <f t="shared" si="173"/>
        <v>39.977795753356993</v>
      </c>
      <c r="CW161" s="20">
        <f t="shared" si="174"/>
        <v>341.62686427043013</v>
      </c>
      <c r="CX161" s="59">
        <f t="shared" si="122"/>
        <v>634.96019760376339</v>
      </c>
      <c r="CY161" s="59">
        <f ca="1">AVERAGE(OFFSET($CX$3,0,0,'Données projet'!$E$13+1,1))-AVERAGE(OFFSET($H$3,0,0,'Données projet'!$E$13+1,1))</f>
        <v>141.13780344922503</v>
      </c>
      <c r="CZ161" s="59">
        <f t="shared" si="150"/>
        <v>144.12010599544237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5.3474742955302146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5.3474742955302146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148.39628895278571</v>
      </c>
      <c r="AO162" s="59">
        <f t="shared" si="144"/>
        <v>361.07991692964788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3.8174377002703936</v>
      </c>
      <c r="AW162" s="21">
        <f>EXP(-LN(2)/2)*AW161+(1-EXP(-LN(2)/2))/(LN(2)/2)*AQ162*AT162*VLOOKUP('Données projet'!$B$10,Paramètres!$A$1:$I$89,3,0)*0.475*44/12</f>
        <v>1.7234986951148941E-21</v>
      </c>
      <c r="AX162" s="21">
        <f t="shared" si="166"/>
        <v>3.8174377002703936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8.8960000000000043</v>
      </c>
      <c r="BD162" s="12">
        <f>IF('Données projet'!$A$88&gt;35,BD161+BC162-BL161,IF(A162&lt;'Données projet'!$A$88,$BA$205^A162,IF(A162='Données projet'!$A$88,'Données projet'!$B$88,BD161+BC162-BL161)))</f>
        <v>535.84</v>
      </c>
      <c r="BE162" s="13">
        <f>BD162*VLOOKUP('Données projet'!$B$11,Paramètres!$A$1:$I$89,3,0)*VLOOKUP('Données projet'!$B$11,Paramètres!$A$1:$I$89,5,0)</f>
        <v>484.82803200000001</v>
      </c>
      <c r="BF162" s="13">
        <f t="shared" si="167"/>
        <v>108.77707490210506</v>
      </c>
      <c r="BG162" s="20">
        <f t="shared" si="168"/>
        <v>1033.8622278544997</v>
      </c>
      <c r="BH162" s="59">
        <f t="shared" si="116"/>
        <v>1327.1955611878329</v>
      </c>
      <c r="BI162" s="59">
        <f ca="1">AVERAGE(OFFSET($BH$3,0,0,'Données projet'!$E$11+1,1))-AVERAGE(OFFSET($H$3,0,0,'Données projet'!$E$11+1,1))</f>
        <v>465.85201723964195</v>
      </c>
      <c r="BJ162" s="59">
        <f t="shared" si="146"/>
        <v>110.67325286443491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110.41070692874466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110.41070692874466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212.00000000000009</v>
      </c>
      <c r="BZ162" s="13">
        <f>BY162*VLOOKUP('Données projet'!$B$12,Paramètres!$A$1:$I$89,3,0)*VLOOKUP('Données projet'!$B$12,Paramètres!$A$1:$I$89,5,0)</f>
        <v>185.20320000000009</v>
      </c>
      <c r="CA162" s="13">
        <f t="shared" si="170"/>
        <v>46.477875402099386</v>
      </c>
      <c r="CB162" s="20">
        <f t="shared" si="171"/>
        <v>403.5112063253232</v>
      </c>
      <c r="CC162" s="59">
        <f t="shared" si="119"/>
        <v>696.84453965865646</v>
      </c>
      <c r="CD162" s="59">
        <f ca="1">AVERAGE(OFFSET($CC$3,0,0,'Données projet'!$E$12+1,1))-AVERAGE(OFFSET($H$3,0,0,'Données projet'!$E$12+1,1))</f>
        <v>201.70120933876507</v>
      </c>
      <c r="CE162" s="59">
        <f t="shared" si="148"/>
        <v>188.1234063307752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13.612794156260442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13.612794156260442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213.00000000000003</v>
      </c>
      <c r="CU162" s="17">
        <f>CT162*VLOOKUP('Données projet'!$B$13,Paramètres!$A$1:$I$89,3,0)*VLOOKUP('Données projet'!$B$13,Paramètres!$A$1:$I$89,5,0)</f>
        <v>156.17160000000004</v>
      </c>
      <c r="CV162" s="13">
        <f t="shared" si="173"/>
        <v>39.977795753356993</v>
      </c>
      <c r="CW162" s="20">
        <f t="shared" si="174"/>
        <v>341.62686427043013</v>
      </c>
      <c r="CX162" s="59">
        <f t="shared" si="122"/>
        <v>634.96019760376339</v>
      </c>
      <c r="CY162" s="59">
        <f ca="1">AVERAGE(OFFSET($CX$3,0,0,'Données projet'!$E$13+1,1))-AVERAGE(OFFSET($H$3,0,0,'Données projet'!$E$13+1,1))</f>
        <v>141.13780344922503</v>
      </c>
      <c r="CZ162" s="59">
        <f t="shared" si="150"/>
        <v>144.12010599544237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5.2426135862321273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5.2426135862321273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148.39628895278571</v>
      </c>
      <c r="AO163" s="59">
        <f t="shared" si="144"/>
        <v>361.07991692964788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3.7130496656061758</v>
      </c>
      <c r="AW163" s="21">
        <f>EXP(-LN(2)/2)*AW162+(1-EXP(-LN(2)/2))/(LN(2)/2)*AQ163*AT163*VLOOKUP('Données projet'!$B$10,Paramètres!$A$1:$I$89,3,0)*0.475*44/12</f>
        <v>1.2186976146819076E-21</v>
      </c>
      <c r="AX163" s="21">
        <f t="shared" si="166"/>
        <v>3.7130496656061758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8.8960000000000043</v>
      </c>
      <c r="BD163" s="12">
        <f>IF('Données projet'!$A$88&gt;35,BD162+BC163-BL162,IF(A163&lt;'Données projet'!$A$88,$BA$205^A163,IF(A163='Données projet'!$A$88,'Données projet'!$B$88,BD162+BC163-BL162)))</f>
        <v>544.73599999999999</v>
      </c>
      <c r="BE163" s="13">
        <f>BD163*VLOOKUP('Données projet'!$B$11,Paramètres!$A$1:$I$89,3,0)*VLOOKUP('Données projet'!$B$11,Paramètres!$A$1:$I$89,5,0)</f>
        <v>492.87713279999997</v>
      </c>
      <c r="BF163" s="13">
        <f t="shared" si="167"/>
        <v>110.37124796538414</v>
      </c>
      <c r="BG163" s="20">
        <f t="shared" si="168"/>
        <v>1050.6575964997107</v>
      </c>
      <c r="BH163" s="59">
        <f t="shared" si="116"/>
        <v>1343.990929833044</v>
      </c>
      <c r="BI163" s="59">
        <f ca="1">AVERAGE(OFFSET($BH$3,0,0,'Données projet'!$E$11+1,1))-AVERAGE(OFFSET($H$3,0,0,'Données projet'!$E$11+1,1))</f>
        <v>465.85201723964195</v>
      </c>
      <c r="BJ163" s="59">
        <f t="shared" si="146"/>
        <v>110.67325286443491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108.24562030975355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108.24562030975355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212.00000000000009</v>
      </c>
      <c r="BZ163" s="13">
        <f>BY163*VLOOKUP('Données projet'!$B$12,Paramètres!$A$1:$I$89,3,0)*VLOOKUP('Données projet'!$B$12,Paramètres!$A$1:$I$89,5,0)</f>
        <v>185.20320000000009</v>
      </c>
      <c r="CA163" s="13">
        <f t="shared" si="170"/>
        <v>46.477875402099386</v>
      </c>
      <c r="CB163" s="20">
        <f t="shared" si="171"/>
        <v>403.5112063253232</v>
      </c>
      <c r="CC163" s="59">
        <f t="shared" si="119"/>
        <v>696.84453965865646</v>
      </c>
      <c r="CD163" s="59">
        <f ca="1">AVERAGE(OFFSET($CC$3,0,0,'Données projet'!$E$12+1,1))-AVERAGE(OFFSET($H$3,0,0,'Données projet'!$E$12+1,1))</f>
        <v>201.70120933876507</v>
      </c>
      <c r="CE163" s="59">
        <f t="shared" si="148"/>
        <v>188.1234063307752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13.345855565840758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13.345855565840758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213.00000000000003</v>
      </c>
      <c r="CU163" s="17">
        <f>CT163*VLOOKUP('Données projet'!$B$13,Paramètres!$A$1:$I$89,3,0)*VLOOKUP('Données projet'!$B$13,Paramètres!$A$1:$I$89,5,0)</f>
        <v>156.17160000000004</v>
      </c>
      <c r="CV163" s="13">
        <f t="shared" si="173"/>
        <v>39.977795753356993</v>
      </c>
      <c r="CW163" s="20">
        <f t="shared" si="174"/>
        <v>341.62686427043013</v>
      </c>
      <c r="CX163" s="59">
        <f t="shared" si="122"/>
        <v>634.96019760376339</v>
      </c>
      <c r="CY163" s="59">
        <f ca="1">AVERAGE(OFFSET($CX$3,0,0,'Données projet'!$E$13+1,1))-AVERAGE(OFFSET($H$3,0,0,'Données projet'!$E$13+1,1))</f>
        <v>141.13780344922503</v>
      </c>
      <c r="CZ163" s="59">
        <f t="shared" si="150"/>
        <v>144.12010599544237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5.1398091314846583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5.1398091314846583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148.39628895278571</v>
      </c>
      <c r="AO164" s="59">
        <f t="shared" si="144"/>
        <v>361.07991692964788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3.6115161272393794</v>
      </c>
      <c r="AW164" s="21">
        <f>EXP(-LN(2)/2)*AW163+(1-EXP(-LN(2)/2))/(LN(2)/2)*AQ164*AT164*VLOOKUP('Données projet'!$B$10,Paramètres!$A$1:$I$89,3,0)*0.475*44/12</f>
        <v>8.6174934755744706E-22</v>
      </c>
      <c r="AX164" s="21">
        <f t="shared" si="166"/>
        <v>3.6115161272393794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8.8960000000000043</v>
      </c>
      <c r="BD164" s="12">
        <f>IF('Données projet'!$A$88&gt;35,BD163+BC164-BL163,IF(A164&lt;'Données projet'!$A$88,$BA$205^A164,IF(A164='Données projet'!$A$88,'Données projet'!$B$88,BD163+BC164-BL163)))</f>
        <v>553.63199999999995</v>
      </c>
      <c r="BE164" s="13">
        <f>BD164*VLOOKUP('Données projet'!$B$11,Paramètres!$A$1:$I$89,3,0)*VLOOKUP('Données projet'!$B$11,Paramètres!$A$1:$I$89,5,0)</f>
        <v>500.92623359999993</v>
      </c>
      <c r="BF164" s="13">
        <f t="shared" si="167"/>
        <v>111.96239338442973</v>
      </c>
      <c r="BG164" s="20">
        <f t="shared" si="168"/>
        <v>1067.4476919978817</v>
      </c>
      <c r="BH164" s="59">
        <f t="shared" si="116"/>
        <v>1360.781025331215</v>
      </c>
      <c r="BI164" s="59">
        <f ca="1">AVERAGE(OFFSET($BH$3,0,0,'Données projet'!$E$11+1,1))-AVERAGE(OFFSET($H$3,0,0,'Données projet'!$E$11+1,1))</f>
        <v>465.85201723964195</v>
      </c>
      <c r="BJ164" s="59">
        <f t="shared" si="146"/>
        <v>110.67325286443491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106.1229897187884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106.1229897187884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212.00000000000009</v>
      </c>
      <c r="BZ164" s="13">
        <f>BY164*VLOOKUP('Données projet'!$B$12,Paramètres!$A$1:$I$89,3,0)*VLOOKUP('Données projet'!$B$12,Paramètres!$A$1:$I$89,5,0)</f>
        <v>185.20320000000009</v>
      </c>
      <c r="CA164" s="13">
        <f t="shared" si="170"/>
        <v>46.477875402099386</v>
      </c>
      <c r="CB164" s="20">
        <f t="shared" si="171"/>
        <v>403.5112063253232</v>
      </c>
      <c r="CC164" s="59">
        <f t="shared" si="119"/>
        <v>696.84453965865646</v>
      </c>
      <c r="CD164" s="59">
        <f ca="1">AVERAGE(OFFSET($CC$3,0,0,'Données projet'!$E$12+1,1))-AVERAGE(OFFSET($H$3,0,0,'Données projet'!$E$12+1,1))</f>
        <v>201.70120933876507</v>
      </c>
      <c r="CE164" s="59">
        <f t="shared" si="148"/>
        <v>188.1234063307752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13.08415147836274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13.08415147836274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213.00000000000003</v>
      </c>
      <c r="CU164" s="17">
        <f>CT164*VLOOKUP('Données projet'!$B$13,Paramètres!$A$1:$I$89,3,0)*VLOOKUP('Données projet'!$B$13,Paramètres!$A$1:$I$89,5,0)</f>
        <v>156.17160000000004</v>
      </c>
      <c r="CV164" s="13">
        <f t="shared" si="173"/>
        <v>39.977795753356993</v>
      </c>
      <c r="CW164" s="20">
        <f t="shared" si="174"/>
        <v>341.62686427043013</v>
      </c>
      <c r="CX164" s="59">
        <f t="shared" si="122"/>
        <v>634.96019760376339</v>
      </c>
      <c r="CY164" s="59">
        <f ca="1">AVERAGE(OFFSET($CX$3,0,0,'Données projet'!$E$13+1,1))-AVERAGE(OFFSET($H$3,0,0,'Données projet'!$E$13+1,1))</f>
        <v>141.13780344922503</v>
      </c>
      <c r="CZ164" s="59">
        <f t="shared" si="150"/>
        <v>144.12010599544237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5.0390206093902616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5.0390206093902616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148.39628895278571</v>
      </c>
      <c r="AO165" s="59">
        <f t="shared" si="144"/>
        <v>361.07991692964788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3.5127590288186399</v>
      </c>
      <c r="AW165" s="21">
        <f>EXP(-LN(2)/2)*AW164+(1-EXP(-LN(2)/2))/(LN(2)/2)*AQ165*AT165*VLOOKUP('Données projet'!$B$10,Paramètres!$A$1:$I$89,3,0)*0.475*44/12</f>
        <v>6.0934880734095382E-22</v>
      </c>
      <c r="AX165" s="21">
        <f t="shared" si="166"/>
        <v>3.5127590288186399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8.8960000000000043</v>
      </c>
      <c r="BD165" s="12">
        <f>IF('Données projet'!$A$88&gt;35,BD164+BC165-BL164,IF(A165&lt;'Données projet'!$A$88,$BA$205^A165,IF(A165='Données projet'!$A$88,'Données projet'!$B$88,BD164+BC165-BL164)))</f>
        <v>562.52799999999991</v>
      </c>
      <c r="BE165" s="13">
        <f>BD165*VLOOKUP('Données projet'!$B$11,Paramètres!$A$1:$I$89,3,0)*VLOOKUP('Données projet'!$B$11,Paramètres!$A$1:$I$89,5,0)</f>
        <v>508.97533439999989</v>
      </c>
      <c r="BF165" s="13">
        <f t="shared" si="167"/>
        <v>113.55056542549386</v>
      </c>
      <c r="BG165" s="20">
        <f t="shared" si="168"/>
        <v>1084.2326088627349</v>
      </c>
      <c r="BH165" s="59">
        <f t="shared" si="116"/>
        <v>1377.5659421960681</v>
      </c>
      <c r="BI165" s="59">
        <f ca="1">AVERAGE(OFFSET($BH$3,0,0,'Données projet'!$E$11+1,1))-AVERAGE(OFFSET($H$3,0,0,'Données projet'!$E$11+1,1))</f>
        <v>465.85201723964195</v>
      </c>
      <c r="BJ165" s="59">
        <f t="shared" si="146"/>
        <v>110.67325286443491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104.04198261903527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104.04198261903527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212.00000000000009</v>
      </c>
      <c r="BZ165" s="13">
        <f>BY165*VLOOKUP('Données projet'!$B$12,Paramètres!$A$1:$I$89,3,0)*VLOOKUP('Données projet'!$B$12,Paramètres!$A$1:$I$89,5,0)</f>
        <v>185.20320000000009</v>
      </c>
      <c r="CA165" s="13">
        <f t="shared" si="170"/>
        <v>46.477875402099386</v>
      </c>
      <c r="CB165" s="20">
        <f t="shared" si="171"/>
        <v>403.5112063253232</v>
      </c>
      <c r="CC165" s="59">
        <f t="shared" si="119"/>
        <v>696.84453965865646</v>
      </c>
      <c r="CD165" s="59">
        <f ca="1">AVERAGE(OFFSET($CC$3,0,0,'Données projet'!$E$12+1,1))-AVERAGE(OFFSET($H$3,0,0,'Données projet'!$E$12+1,1))</f>
        <v>201.70120933876507</v>
      </c>
      <c r="CE165" s="59">
        <f t="shared" si="148"/>
        <v>188.1234063307752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12.827579248416436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12.827579248416436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213.00000000000003</v>
      </c>
      <c r="CU165" s="17">
        <f>CT165*VLOOKUP('Données projet'!$B$13,Paramètres!$A$1:$I$89,3,0)*VLOOKUP('Données projet'!$B$13,Paramètres!$A$1:$I$89,5,0)</f>
        <v>156.17160000000004</v>
      </c>
      <c r="CV165" s="13">
        <f t="shared" si="173"/>
        <v>39.977795753356993</v>
      </c>
      <c r="CW165" s="20">
        <f t="shared" si="174"/>
        <v>341.62686427043013</v>
      </c>
      <c r="CX165" s="59">
        <f t="shared" si="122"/>
        <v>634.96019760376339</v>
      </c>
      <c r="CY165" s="59">
        <f ca="1">AVERAGE(OFFSET($CX$3,0,0,'Données projet'!$E$13+1,1))-AVERAGE(OFFSET($H$3,0,0,'Données projet'!$E$13+1,1))</f>
        <v>141.13780344922503</v>
      </c>
      <c r="CZ165" s="59">
        <f t="shared" si="150"/>
        <v>144.12010599544237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4.9402084887392075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4.9402084887392075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148.39628895278571</v>
      </c>
      <c r="AO166" s="59">
        <f t="shared" si="144"/>
        <v>361.07991692964788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3.4167024484476252</v>
      </c>
      <c r="AW166" s="21">
        <f>EXP(-LN(2)/2)*AW165+(1-EXP(-LN(2)/2))/(LN(2)/2)*AQ166*AT166*VLOOKUP('Données projet'!$B$10,Paramètres!$A$1:$I$89,3,0)*0.475*44/12</f>
        <v>4.3087467377872353E-22</v>
      </c>
      <c r="AX166" s="21">
        <f t="shared" si="166"/>
        <v>3.4167024484476252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8.8960000000000043</v>
      </c>
      <c r="BD166" s="12">
        <f>IF('Données projet'!$A$88&gt;35,BD165+BC166-BL165,IF(A166&lt;'Données projet'!$A$88,$BA$205^A166,IF(A166='Données projet'!$A$88,'Données projet'!$B$88,BD165+BC166-BL165)))</f>
        <v>571.42399999999986</v>
      </c>
      <c r="BE166" s="13">
        <f>BD166*VLOOKUP('Données projet'!$B$11,Paramètres!$A$1:$I$89,3,0)*VLOOKUP('Données projet'!$B$11,Paramètres!$A$1:$I$89,5,0)</f>
        <v>517.02443519999986</v>
      </c>
      <c r="BF166" s="13">
        <f t="shared" si="167"/>
        <v>115.1358165400127</v>
      </c>
      <c r="BG166" s="20">
        <f t="shared" si="168"/>
        <v>1101.0124384471885</v>
      </c>
      <c r="BH166" s="59">
        <f t="shared" si="116"/>
        <v>1394.3457717805218</v>
      </c>
      <c r="BI166" s="59">
        <f ca="1">AVERAGE(OFFSET($BH$3,0,0,'Données projet'!$E$11+1,1))-AVERAGE(OFFSET($H$3,0,0,'Données projet'!$E$11+1,1))</f>
        <v>465.85201723964195</v>
      </c>
      <c r="BJ166" s="59">
        <f t="shared" si="146"/>
        <v>110.67325286443491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102.0017827992193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102.0017827992193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212.00000000000009</v>
      </c>
      <c r="BZ166" s="13">
        <f>BY166*VLOOKUP('Données projet'!$B$12,Paramètres!$A$1:$I$89,3,0)*VLOOKUP('Données projet'!$B$12,Paramètres!$A$1:$I$89,5,0)</f>
        <v>185.20320000000009</v>
      </c>
      <c r="CA166" s="13">
        <f t="shared" si="170"/>
        <v>46.477875402099386</v>
      </c>
      <c r="CB166" s="20">
        <f t="shared" si="171"/>
        <v>403.5112063253232</v>
      </c>
      <c r="CC166" s="59">
        <f t="shared" si="119"/>
        <v>696.84453965865646</v>
      </c>
      <c r="CD166" s="59">
        <f ca="1">AVERAGE(OFFSET($CC$3,0,0,'Données projet'!$E$12+1,1))-AVERAGE(OFFSET($H$3,0,0,'Données projet'!$E$12+1,1))</f>
        <v>201.70120933876507</v>
      </c>
      <c r="CE166" s="59">
        <f t="shared" si="148"/>
        <v>188.1234063307752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12.576038243405771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12.576038243405771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213.00000000000003</v>
      </c>
      <c r="CU166" s="17">
        <f>CT166*VLOOKUP('Données projet'!$B$13,Paramètres!$A$1:$I$89,3,0)*VLOOKUP('Données projet'!$B$13,Paramètres!$A$1:$I$89,5,0)</f>
        <v>156.17160000000004</v>
      </c>
      <c r="CV166" s="13">
        <f t="shared" si="173"/>
        <v>39.977795753356993</v>
      </c>
      <c r="CW166" s="20">
        <f t="shared" si="174"/>
        <v>341.62686427043013</v>
      </c>
      <c r="CX166" s="59">
        <f t="shared" si="122"/>
        <v>634.96019760376339</v>
      </c>
      <c r="CY166" s="59">
        <f ca="1">AVERAGE(OFFSET($CX$3,0,0,'Données projet'!$E$13+1,1))-AVERAGE(OFFSET($H$3,0,0,'Données projet'!$E$13+1,1))</f>
        <v>141.13780344922503</v>
      </c>
      <c r="CZ166" s="59">
        <f t="shared" si="150"/>
        <v>144.12010599544237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4.8433340135046778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4.8433340135046778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148.39628895278571</v>
      </c>
      <c r="AO167" s="59">
        <f t="shared" si="144"/>
        <v>361.07991692964788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3.3232725403182521</v>
      </c>
      <c r="AW167" s="21">
        <f>EXP(-LN(2)/2)*AW166+(1-EXP(-LN(2)/2))/(LN(2)/2)*AQ167*AT167*VLOOKUP('Données projet'!$B$10,Paramètres!$A$1:$I$89,3,0)*0.475*44/12</f>
        <v>3.0467440367047691E-22</v>
      </c>
      <c r="AX167" s="21">
        <f t="shared" si="166"/>
        <v>3.3232725403182521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>
        <f>VLOOKUP(A167,'Données projet'!$A$87:$I$107,2,0)</f>
        <v>580.32000000000005</v>
      </c>
      <c r="BB167" s="12">
        <f>VLOOKUP(A167,'Données projet'!$A$87:$I$107,9,0)</f>
        <v>8.8960000000000043</v>
      </c>
      <c r="BC167" s="12">
        <f t="array" ref="BC167">INDEX(BB:BB,MIN(IF(ISNUMBER(BB167:BB363),ROW(BB167:BB363),"")))</f>
        <v>8.8960000000000043</v>
      </c>
      <c r="BD167" s="12">
        <f>IF('Données projet'!$A$88&gt;35,BD166+BC167-BL166,IF(A167&lt;'Données projet'!$A$88,$BA$205^A167,IF(A167='Données projet'!$A$88,'Données projet'!$B$88,BD166+BC167-BL166)))</f>
        <v>580.31999999999982</v>
      </c>
      <c r="BE167" s="13">
        <f>BD167*VLOOKUP('Données projet'!$B$11,Paramètres!$A$1:$I$89,3,0)*VLOOKUP('Données projet'!$B$11,Paramètres!$A$1:$I$89,5,0)</f>
        <v>525.07353599999988</v>
      </c>
      <c r="BF167" s="13">
        <f t="shared" si="167"/>
        <v>116.71819745258918</v>
      </c>
      <c r="BG167" s="20">
        <f t="shared" si="168"/>
        <v>1117.7872690965926</v>
      </c>
      <c r="BH167" s="59">
        <f t="shared" si="116"/>
        <v>1411.1206024299258</v>
      </c>
      <c r="BI167" s="59">
        <f ca="1">AVERAGE(OFFSET($BH$3,0,0,'Données projet'!$E$11+1,1))-AVERAGE(OFFSET($H$3,0,0,'Données projet'!$E$11+1,1))</f>
        <v>465.85201723964195</v>
      </c>
      <c r="BJ167" s="59">
        <f t="shared" si="146"/>
        <v>110.67325286443491</v>
      </c>
      <c r="BK167" s="15">
        <f>IF(ISNA(VLOOKUP(A167,'Données projet'!$A$87:$I$107,3,0)),0,VLOOKUP(A167,'Données projet'!$A$87:$I$107,3,0))</f>
        <v>14</v>
      </c>
      <c r="BL167" s="15">
        <f>IF(ISNA(VLOOKUP(A167,'Données projet'!$A$87:$I$107,4,0)),0,VLOOKUP(A167,'Données projet'!$A$87:$I$107,4,0))</f>
        <v>59.58</v>
      </c>
      <c r="BM167" s="16">
        <f>IF(ISNA(VLOOKUP(A167,'Données projet'!$A$87:$I$107,5,0)),0%,VLOOKUP(A167,'Données projet'!$A$87:$I$107,5,0)*VLOOKUP('Données projet'!$B$11,Paramètres!$A$1:$I$89,7,0))</f>
        <v>0.43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125.62687225237548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125.62687225237548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212.00000000000009</v>
      </c>
      <c r="BZ167" s="13">
        <f>BY167*VLOOKUP('Données projet'!$B$12,Paramètres!$A$1:$I$89,3,0)*VLOOKUP('Données projet'!$B$12,Paramètres!$A$1:$I$89,5,0)</f>
        <v>185.20320000000009</v>
      </c>
      <c r="CA167" s="13">
        <f t="shared" si="170"/>
        <v>46.477875402099386</v>
      </c>
      <c r="CB167" s="20">
        <f t="shared" si="171"/>
        <v>403.5112063253232</v>
      </c>
      <c r="CC167" s="59">
        <f t="shared" si="119"/>
        <v>696.84453965865646</v>
      </c>
      <c r="CD167" s="59">
        <f ca="1">AVERAGE(OFFSET($CC$3,0,0,'Données projet'!$E$12+1,1))-AVERAGE(OFFSET($H$3,0,0,'Données projet'!$E$12+1,1))</f>
        <v>201.70120933876507</v>
      </c>
      <c r="CE167" s="59">
        <f t="shared" si="148"/>
        <v>188.1234063307752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12.329429804078501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12.329429804078501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213.00000000000003</v>
      </c>
      <c r="CU167" s="17">
        <f>CT167*VLOOKUP('Données projet'!$B$13,Paramètres!$A$1:$I$89,3,0)*VLOOKUP('Données projet'!$B$13,Paramètres!$A$1:$I$89,5,0)</f>
        <v>156.17160000000004</v>
      </c>
      <c r="CV167" s="13">
        <f t="shared" si="173"/>
        <v>39.977795753356993</v>
      </c>
      <c r="CW167" s="20">
        <f t="shared" si="174"/>
        <v>341.62686427043013</v>
      </c>
      <c r="CX167" s="59">
        <f t="shared" si="122"/>
        <v>634.96019760376339</v>
      </c>
      <c r="CY167" s="59">
        <f ca="1">AVERAGE(OFFSET($CX$3,0,0,'Données projet'!$E$13+1,1))-AVERAGE(OFFSET($H$3,0,0,'Données projet'!$E$13+1,1))</f>
        <v>141.13780344922503</v>
      </c>
      <c r="CZ167" s="59">
        <f t="shared" si="150"/>
        <v>144.12010599544237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4.7483591876419018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4.7483591876419018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148.39628895278571</v>
      </c>
      <c r="AO168" s="59">
        <f t="shared" si="144"/>
        <v>361.07991692964788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3.232397477939942</v>
      </c>
      <c r="AW168" s="21">
        <f>EXP(-LN(2)/2)*AW167+(1-EXP(-LN(2)/2))/(LN(2)/2)*AQ168*AT168*VLOOKUP('Données projet'!$B$10,Paramètres!$A$1:$I$89,3,0)*0.475*44/12</f>
        <v>2.1543733688936177E-22</v>
      </c>
      <c r="AX168" s="21">
        <f t="shared" si="166"/>
        <v>3.232397477939942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8.977999999999998</v>
      </c>
      <c r="BD168" s="12">
        <f>IF('Données projet'!$A$88&gt;35,BD167+BC168-BL167,IF(A168&lt;'Données projet'!$A$88,$BA$205^A168,IF(A168='Données projet'!$A$88,'Données projet'!$B$88,BD167+BC168-BL167)))</f>
        <v>529.71799999999973</v>
      </c>
      <c r="BE168" s="13">
        <f>BD168*VLOOKUP('Données projet'!$B$11,Paramètres!$A$1:$I$89,3,0)*VLOOKUP('Données projet'!$B$11,Paramètres!$A$1:$I$89,5,0)</f>
        <v>479.28884639999978</v>
      </c>
      <c r="BF168" s="13">
        <f t="shared" si="167"/>
        <v>107.67821785986543</v>
      </c>
      <c r="BG168" s="20">
        <f t="shared" si="168"/>
        <v>1022.3009702525984</v>
      </c>
      <c r="BH168" s="59">
        <f t="shared" si="116"/>
        <v>1315.6343035859318</v>
      </c>
      <c r="BI168" s="59">
        <f ca="1">AVERAGE(OFFSET($BH$3,0,0,'Données projet'!$E$11+1,1))-AVERAGE(OFFSET($H$3,0,0,'Données projet'!$E$11+1,1))</f>
        <v>465.85201723964195</v>
      </c>
      <c r="BJ168" s="59">
        <f t="shared" si="146"/>
        <v>110.67325286443491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123.16340591233239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123.16340591233239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212.00000000000009</v>
      </c>
      <c r="BZ168" s="13">
        <f>BY168*VLOOKUP('Données projet'!$B$12,Paramètres!$A$1:$I$89,3,0)*VLOOKUP('Données projet'!$B$12,Paramètres!$A$1:$I$89,5,0)</f>
        <v>185.20320000000009</v>
      </c>
      <c r="CA168" s="13">
        <f t="shared" si="170"/>
        <v>46.477875402099386</v>
      </c>
      <c r="CB168" s="20">
        <f t="shared" si="171"/>
        <v>403.5112063253232</v>
      </c>
      <c r="CC168" s="59">
        <f t="shared" si="119"/>
        <v>696.84453965865646</v>
      </c>
      <c r="CD168" s="59">
        <f ca="1">AVERAGE(OFFSET($CC$3,0,0,'Données projet'!$E$12+1,1))-AVERAGE(OFFSET($H$3,0,0,'Données projet'!$E$12+1,1))</f>
        <v>201.70120933876507</v>
      </c>
      <c r="CE168" s="59">
        <f t="shared" si="148"/>
        <v>188.1234063307752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12.087657205830142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12.087657205830142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213.00000000000003</v>
      </c>
      <c r="CU168" s="17">
        <f>CT168*VLOOKUP('Données projet'!$B$13,Paramètres!$A$1:$I$89,3,0)*VLOOKUP('Données projet'!$B$13,Paramètres!$A$1:$I$89,5,0)</f>
        <v>156.17160000000004</v>
      </c>
      <c r="CV168" s="13">
        <f t="shared" si="173"/>
        <v>39.977795753356993</v>
      </c>
      <c r="CW168" s="20">
        <f t="shared" si="174"/>
        <v>341.62686427043013</v>
      </c>
      <c r="CX168" s="59">
        <f t="shared" si="122"/>
        <v>634.96019760376339</v>
      </c>
      <c r="CY168" s="59">
        <f ca="1">AVERAGE(OFFSET($CX$3,0,0,'Données projet'!$E$13+1,1))-AVERAGE(OFFSET($H$3,0,0,'Données projet'!$E$13+1,1))</f>
        <v>141.13780344922503</v>
      </c>
      <c r="CZ168" s="59">
        <f t="shared" si="150"/>
        <v>144.12010599544237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4.6552467601853715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4.6552467601853715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148.39628895278571</v>
      </c>
      <c r="AO169" s="59">
        <f t="shared" si="144"/>
        <v>361.07991692964788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3.1440073989212789</v>
      </c>
      <c r="AW169" s="21">
        <f>EXP(-LN(2)/2)*AW168+(1-EXP(-LN(2)/2))/(LN(2)/2)*AQ169*AT169*VLOOKUP('Données projet'!$B$10,Paramètres!$A$1:$I$89,3,0)*0.475*44/12</f>
        <v>1.5233720183523845E-22</v>
      </c>
      <c r="AX169" s="21">
        <f t="shared" si="166"/>
        <v>3.1440073989212789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8.977999999999998</v>
      </c>
      <c r="BD169" s="12">
        <f>IF('Données projet'!$A$88&gt;35,BD168+BC169-BL168,IF(A169&lt;'Données projet'!$A$88,$BA$205^A169,IF(A169='Données projet'!$A$88,'Données projet'!$B$88,BD168+BC169-BL168)))</f>
        <v>538.69599999999969</v>
      </c>
      <c r="BE169" s="13">
        <f>BD169*VLOOKUP('Données projet'!$B$11,Paramètres!$A$1:$I$89,3,0)*VLOOKUP('Données projet'!$B$11,Paramètres!$A$1:$I$89,5,0)</f>
        <v>487.41214079999969</v>
      </c>
      <c r="BF169" s="13">
        <f t="shared" si="167"/>
        <v>109.28920663007598</v>
      </c>
      <c r="BG169" s="20">
        <f t="shared" si="168"/>
        <v>1039.2548467740485</v>
      </c>
      <c r="BH169" s="59">
        <f t="shared" si="116"/>
        <v>1332.5881801073817</v>
      </c>
      <c r="BI169" s="59">
        <f ca="1">AVERAGE(OFFSET($BH$3,0,0,'Données projet'!$E$11+1,1))-AVERAGE(OFFSET($H$3,0,0,'Données projet'!$E$11+1,1))</f>
        <v>465.85201723964195</v>
      </c>
      <c r="BJ169" s="59">
        <f t="shared" si="146"/>
        <v>110.67325286443491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120.74824664465146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120.74824664465146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212.00000000000009</v>
      </c>
      <c r="BZ169" s="13">
        <f>BY169*VLOOKUP('Données projet'!$B$12,Paramètres!$A$1:$I$89,3,0)*VLOOKUP('Données projet'!$B$12,Paramètres!$A$1:$I$89,5,0)</f>
        <v>185.20320000000009</v>
      </c>
      <c r="CA169" s="13">
        <f t="shared" si="170"/>
        <v>46.477875402099386</v>
      </c>
      <c r="CB169" s="20">
        <f t="shared" si="171"/>
        <v>403.5112063253232</v>
      </c>
      <c r="CC169" s="59">
        <f t="shared" si="119"/>
        <v>696.84453965865646</v>
      </c>
      <c r="CD169" s="59">
        <f ca="1">AVERAGE(OFFSET($CC$3,0,0,'Données projet'!$E$12+1,1))-AVERAGE(OFFSET($H$3,0,0,'Données projet'!$E$12+1,1))</f>
        <v>201.70120933876507</v>
      </c>
      <c r="CE169" s="59">
        <f t="shared" si="148"/>
        <v>188.1234063307752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11.850625620766712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11.850625620766712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213.00000000000003</v>
      </c>
      <c r="CU169" s="17">
        <f>CT169*VLOOKUP('Données projet'!$B$13,Paramètres!$A$1:$I$89,3,0)*VLOOKUP('Données projet'!$B$13,Paramètres!$A$1:$I$89,5,0)</f>
        <v>156.17160000000004</v>
      </c>
      <c r="CV169" s="13">
        <f t="shared" si="173"/>
        <v>39.977795753356993</v>
      </c>
      <c r="CW169" s="20">
        <f t="shared" si="174"/>
        <v>341.62686427043013</v>
      </c>
      <c r="CX169" s="59">
        <f t="shared" si="122"/>
        <v>634.96019760376339</v>
      </c>
      <c r="CY169" s="59">
        <f ca="1">AVERAGE(OFFSET($CX$3,0,0,'Données projet'!$E$13+1,1))-AVERAGE(OFFSET($H$3,0,0,'Données projet'!$E$13+1,1))</f>
        <v>141.13780344922503</v>
      </c>
      <c r="CZ169" s="59">
        <f t="shared" si="150"/>
        <v>144.12010599544237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4.5639602106382906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4.5639602106382906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148.39628895278571</v>
      </c>
      <c r="AO170" s="59">
        <f t="shared" si="144"/>
        <v>361.07991692964788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3.0580343512616133</v>
      </c>
      <c r="AW170" s="21">
        <f>EXP(-LN(2)/2)*AW169+(1-EXP(-LN(2)/2))/(LN(2)/2)*AQ170*AT170*VLOOKUP('Données projet'!$B$10,Paramètres!$A$1:$I$89,3,0)*0.475*44/12</f>
        <v>1.0771866844468088E-22</v>
      </c>
      <c r="AX170" s="21">
        <f t="shared" si="166"/>
        <v>3.0580343512616133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8.977999999999998</v>
      </c>
      <c r="BD170" s="12">
        <f>IF('Données projet'!$A$88&gt;35,BD169+BC170-BL169,IF(A170&lt;'Données projet'!$A$88,$BA$205^A170,IF(A170='Données projet'!$A$88,'Données projet'!$B$88,BD169+BC170-BL169)))</f>
        <v>547.67399999999964</v>
      </c>
      <c r="BE170" s="13">
        <f>BD170*VLOOKUP('Données projet'!$B$11,Paramètres!$A$1:$I$89,3,0)*VLOOKUP('Données projet'!$B$11,Paramètres!$A$1:$I$89,5,0)</f>
        <v>495.53543519999965</v>
      </c>
      <c r="BF170" s="13">
        <f t="shared" si="167"/>
        <v>110.89707305149885</v>
      </c>
      <c r="BG170" s="20">
        <f t="shared" si="168"/>
        <v>1056.2032852046932</v>
      </c>
      <c r="BH170" s="59">
        <f t="shared" si="116"/>
        <v>1349.5366185380265</v>
      </c>
      <c r="BI170" s="59">
        <f ca="1">AVERAGE(OFFSET($BH$3,0,0,'Données projet'!$E$11+1,1))-AVERAGE(OFFSET($H$3,0,0,'Données projet'!$E$11+1,1))</f>
        <v>465.85201723964195</v>
      </c>
      <c r="BJ170" s="59">
        <f t="shared" si="146"/>
        <v>110.67325286443491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118.38044717710805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118.38044717710805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212.00000000000009</v>
      </c>
      <c r="BZ170" s="13">
        <f>BY170*VLOOKUP('Données projet'!$B$12,Paramètres!$A$1:$I$89,3,0)*VLOOKUP('Données projet'!$B$12,Paramètres!$A$1:$I$89,5,0)</f>
        <v>185.20320000000009</v>
      </c>
      <c r="CA170" s="13">
        <f t="shared" si="170"/>
        <v>46.477875402099386</v>
      </c>
      <c r="CB170" s="20">
        <f t="shared" si="171"/>
        <v>403.5112063253232</v>
      </c>
      <c r="CC170" s="59">
        <f t="shared" si="119"/>
        <v>696.84453965865646</v>
      </c>
      <c r="CD170" s="59">
        <f ca="1">AVERAGE(OFFSET($CC$3,0,0,'Données projet'!$E$12+1,1))-AVERAGE(OFFSET($H$3,0,0,'Données projet'!$E$12+1,1))</f>
        <v>201.70120933876507</v>
      </c>
      <c r="CE170" s="59">
        <f t="shared" si="148"/>
        <v>188.1234063307752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11.618242080511383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11.618242080511383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213.00000000000003</v>
      </c>
      <c r="CU170" s="17">
        <f>CT170*VLOOKUP('Données projet'!$B$13,Paramètres!$A$1:$I$89,3,0)*VLOOKUP('Données projet'!$B$13,Paramètres!$A$1:$I$89,5,0)</f>
        <v>156.17160000000004</v>
      </c>
      <c r="CV170" s="13">
        <f t="shared" si="173"/>
        <v>39.977795753356993</v>
      </c>
      <c r="CW170" s="20">
        <f t="shared" si="174"/>
        <v>341.62686427043013</v>
      </c>
      <c r="CX170" s="59">
        <f t="shared" si="122"/>
        <v>634.96019760376339</v>
      </c>
      <c r="CY170" s="59">
        <f ca="1">AVERAGE(OFFSET($CX$3,0,0,'Données projet'!$E$13+1,1))-AVERAGE(OFFSET($H$3,0,0,'Données projet'!$E$13+1,1))</f>
        <v>141.13780344922503</v>
      </c>
      <c r="CZ170" s="59">
        <f t="shared" si="150"/>
        <v>144.12010599544237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4.4744637346485305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4.4744637346485305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148.39628895278571</v>
      </c>
      <c r="AO171" s="59">
        <f t="shared" si="144"/>
        <v>361.07991692964788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2.974412241111327</v>
      </c>
      <c r="AW171" s="21">
        <f>EXP(-LN(2)/2)*AW170+(1-EXP(-LN(2)/2))/(LN(2)/2)*AQ171*AT171*VLOOKUP('Données projet'!$B$10,Paramètres!$A$1:$I$89,3,0)*0.475*44/12</f>
        <v>7.6168600917619227E-23</v>
      </c>
      <c r="AX171" s="21">
        <f t="shared" si="166"/>
        <v>2.974412241111327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8.977999999999998</v>
      </c>
      <c r="BD171" s="12">
        <f>IF('Données projet'!$A$88&gt;35,BD170+BC171-BL170,IF(A171&lt;'Données projet'!$A$88,$BA$205^A171,IF(A171='Données projet'!$A$88,'Données projet'!$B$88,BD170+BC171-BL170)))</f>
        <v>556.65199999999959</v>
      </c>
      <c r="BE171" s="13">
        <f>BD171*VLOOKUP('Données projet'!$B$11,Paramètres!$A$1:$I$89,3,0)*VLOOKUP('Données projet'!$B$11,Paramètres!$A$1:$I$89,5,0)</f>
        <v>503.65872959999956</v>
      </c>
      <c r="BF171" s="13">
        <f t="shared" si="167"/>
        <v>112.50187421723477</v>
      </c>
      <c r="BG171" s="20">
        <f t="shared" si="168"/>
        <v>1073.1463849816832</v>
      </c>
      <c r="BH171" s="59">
        <f t="shared" si="116"/>
        <v>1366.4797183150165</v>
      </c>
      <c r="BI171" s="59">
        <f ca="1">AVERAGE(OFFSET($BH$3,0,0,'Données projet'!$E$11+1,1))-AVERAGE(OFFSET($H$3,0,0,'Données projet'!$E$11+1,1))</f>
        <v>465.85201723964195</v>
      </c>
      <c r="BJ171" s="59">
        <f t="shared" si="146"/>
        <v>110.67325286443491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116.0590788129081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116.0590788129081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212.00000000000009</v>
      </c>
      <c r="BZ171" s="13">
        <f>BY171*VLOOKUP('Données projet'!$B$12,Paramètres!$A$1:$I$89,3,0)*VLOOKUP('Données projet'!$B$12,Paramètres!$A$1:$I$89,5,0)</f>
        <v>185.20320000000009</v>
      </c>
      <c r="CA171" s="13">
        <f t="shared" si="170"/>
        <v>46.477875402099386</v>
      </c>
      <c r="CB171" s="20">
        <f t="shared" si="171"/>
        <v>403.5112063253232</v>
      </c>
      <c r="CC171" s="59">
        <f t="shared" si="119"/>
        <v>696.84453965865646</v>
      </c>
      <c r="CD171" s="59">
        <f ca="1">AVERAGE(OFFSET($CC$3,0,0,'Données projet'!$E$12+1,1))-AVERAGE(OFFSET($H$3,0,0,'Données projet'!$E$12+1,1))</f>
        <v>201.70120933876507</v>
      </c>
      <c r="CE171" s="59">
        <f t="shared" si="148"/>
        <v>188.1234063307752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11.390415439740497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11.390415439740497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213.00000000000003</v>
      </c>
      <c r="CU171" s="17">
        <f>CT171*VLOOKUP('Données projet'!$B$13,Paramètres!$A$1:$I$89,3,0)*VLOOKUP('Données projet'!$B$13,Paramètres!$A$1:$I$89,5,0)</f>
        <v>156.17160000000004</v>
      </c>
      <c r="CV171" s="13">
        <f t="shared" si="173"/>
        <v>39.977795753356993</v>
      </c>
      <c r="CW171" s="20">
        <f t="shared" si="174"/>
        <v>341.62686427043013</v>
      </c>
      <c r="CX171" s="59">
        <f t="shared" si="122"/>
        <v>634.96019760376339</v>
      </c>
      <c r="CY171" s="59">
        <f ca="1">AVERAGE(OFFSET($CX$3,0,0,'Données projet'!$E$13+1,1))-AVERAGE(OFFSET($H$3,0,0,'Données projet'!$E$13+1,1))</f>
        <v>141.13780344922503</v>
      </c>
      <c r="CZ171" s="59">
        <f t="shared" si="150"/>
        <v>144.12010599544237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4.3867222299654696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4.3867222299654696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148.39628895278571</v>
      </c>
      <c r="AO172" s="59">
        <f t="shared" si="144"/>
        <v>361.07991692964788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2.893076781960596</v>
      </c>
      <c r="AW172" s="21">
        <f>EXP(-LN(2)/2)*AW171+(1-EXP(-LN(2)/2))/(LN(2)/2)*AQ172*AT172*VLOOKUP('Données projet'!$B$10,Paramètres!$A$1:$I$89,3,0)*0.475*44/12</f>
        <v>5.3859334222340442E-23</v>
      </c>
      <c r="AX172" s="21">
        <f t="shared" si="166"/>
        <v>2.893076781960596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8.977999999999998</v>
      </c>
      <c r="BD172" s="12">
        <f>IF('Données projet'!$A$88&gt;35,BD171+BC172-BL171,IF(A172&lt;'Données projet'!$A$88,$BA$205^A172,IF(A172='Données projet'!$A$88,'Données projet'!$B$88,BD171+BC172-BL171)))</f>
        <v>565.62999999999954</v>
      </c>
      <c r="BE172" s="13">
        <f>BD172*VLOOKUP('Données projet'!$B$11,Paramètres!$A$1:$I$89,3,0)*VLOOKUP('Données projet'!$B$11,Paramètres!$A$1:$I$89,5,0)</f>
        <v>511.78202399999958</v>
      </c>
      <c r="BF172" s="13">
        <f t="shared" si="167"/>
        <v>114.10366527311611</v>
      </c>
      <c r="BG172" s="20">
        <f t="shared" si="168"/>
        <v>1090.0842421506763</v>
      </c>
      <c r="BH172" s="59">
        <f t="shared" si="116"/>
        <v>1383.4175754840096</v>
      </c>
      <c r="BI172" s="59">
        <f ca="1">AVERAGE(OFFSET($BH$3,0,0,'Données projet'!$E$11+1,1))-AVERAGE(OFFSET($H$3,0,0,'Données projet'!$E$11+1,1))</f>
        <v>465.85201723964195</v>
      </c>
      <c r="BJ172" s="59">
        <f t="shared" si="146"/>
        <v>110.67325286443491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113.78323106643521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113.78323106643521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212.00000000000009</v>
      </c>
      <c r="BZ172" s="13">
        <f>BY172*VLOOKUP('Données projet'!$B$12,Paramètres!$A$1:$I$89,3,0)*VLOOKUP('Données projet'!$B$12,Paramètres!$A$1:$I$89,5,0)</f>
        <v>185.20320000000009</v>
      </c>
      <c r="CA172" s="13">
        <f t="shared" si="170"/>
        <v>46.477875402099386</v>
      </c>
      <c r="CB172" s="20">
        <f t="shared" si="171"/>
        <v>403.5112063253232</v>
      </c>
      <c r="CC172" s="59">
        <f t="shared" si="119"/>
        <v>696.84453965865646</v>
      </c>
      <c r="CD172" s="59">
        <f ca="1">AVERAGE(OFFSET($CC$3,0,0,'Données projet'!$E$12+1,1))-AVERAGE(OFFSET($H$3,0,0,'Données projet'!$E$12+1,1))</f>
        <v>201.70120933876507</v>
      </c>
      <c r="CE172" s="59">
        <f t="shared" si="148"/>
        <v>188.1234063307752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11.167056340434598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11.167056340434598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213.00000000000003</v>
      </c>
      <c r="CU172" s="17">
        <f>CT172*VLOOKUP('Données projet'!$B$13,Paramètres!$A$1:$I$89,3,0)*VLOOKUP('Données projet'!$B$13,Paramètres!$A$1:$I$89,5,0)</f>
        <v>156.17160000000004</v>
      </c>
      <c r="CV172" s="13">
        <f t="shared" si="173"/>
        <v>39.977795753356993</v>
      </c>
      <c r="CW172" s="20">
        <f t="shared" si="174"/>
        <v>341.62686427043013</v>
      </c>
      <c r="CX172" s="59">
        <f t="shared" si="122"/>
        <v>634.96019760376339</v>
      </c>
      <c r="CY172" s="59">
        <f ca="1">AVERAGE(OFFSET($CX$3,0,0,'Données projet'!$E$13+1,1))-AVERAGE(OFFSET($H$3,0,0,'Données projet'!$E$13+1,1))</f>
        <v>141.13780344922503</v>
      </c>
      <c r="CZ172" s="59">
        <f t="shared" si="150"/>
        <v>144.12010599544237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4.3007012826722102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4.3007012826722102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148.39628895278571</v>
      </c>
      <c r="AO173" s="59">
        <f t="shared" si="144"/>
        <v>361.07991692964788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2.8139654452175877</v>
      </c>
      <c r="AW173" s="21">
        <f>EXP(-LN(2)/2)*AW172+(1-EXP(-LN(2)/2))/(LN(2)/2)*AQ173*AT173*VLOOKUP('Données projet'!$B$10,Paramètres!$A$1:$I$89,3,0)*0.475*44/12</f>
        <v>3.8084300458809614E-23</v>
      </c>
      <c r="AX173" s="21">
        <f t="shared" si="166"/>
        <v>2.8139654452175877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8.977999999999998</v>
      </c>
      <c r="BD173" s="12">
        <f>IF('Données projet'!$A$88&gt;35,BD172+BC173-BL172,IF(A173&lt;'Données projet'!$A$88,$BA$205^A173,IF(A173='Données projet'!$A$88,'Données projet'!$B$88,BD172+BC173-BL172)))</f>
        <v>574.60799999999949</v>
      </c>
      <c r="BE173" s="13">
        <f>BD173*VLOOKUP('Données projet'!$B$11,Paramètres!$A$1:$I$89,3,0)*VLOOKUP('Données projet'!$B$11,Paramètres!$A$1:$I$89,5,0)</f>
        <v>519.90531839999949</v>
      </c>
      <c r="BF173" s="13">
        <f t="shared" si="167"/>
        <v>115.70249951395583</v>
      </c>
      <c r="BG173" s="20">
        <f t="shared" si="168"/>
        <v>1107.0169495334719</v>
      </c>
      <c r="BH173" s="59">
        <f t="shared" si="116"/>
        <v>1400.3502828668052</v>
      </c>
      <c r="BI173" s="59">
        <f ca="1">AVERAGE(OFFSET($BH$3,0,0,'Données projet'!$E$11+1,1))-AVERAGE(OFFSET($H$3,0,0,'Données projet'!$E$11+1,1))</f>
        <v>465.85201723964195</v>
      </c>
      <c r="BJ173" s="59">
        <f t="shared" si="146"/>
        <v>110.67325286443491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111.55201130614059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111.55201130614059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212.00000000000009</v>
      </c>
      <c r="BZ173" s="13">
        <f>BY173*VLOOKUP('Données projet'!$B$12,Paramètres!$A$1:$I$89,3,0)*VLOOKUP('Données projet'!$B$12,Paramètres!$A$1:$I$89,5,0)</f>
        <v>185.20320000000009</v>
      </c>
      <c r="CA173" s="13">
        <f t="shared" si="170"/>
        <v>46.477875402099386</v>
      </c>
      <c r="CB173" s="20">
        <f t="shared" si="171"/>
        <v>403.5112063253232</v>
      </c>
      <c r="CC173" s="59">
        <f t="shared" si="119"/>
        <v>696.84453965865646</v>
      </c>
      <c r="CD173" s="59">
        <f ca="1">AVERAGE(OFFSET($CC$3,0,0,'Données projet'!$E$12+1,1))-AVERAGE(OFFSET($H$3,0,0,'Données projet'!$E$12+1,1))</f>
        <v>201.70120933876507</v>
      </c>
      <c r="CE173" s="59">
        <f t="shared" si="148"/>
        <v>188.1234063307752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10.948077176830489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10.948077176830489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213.00000000000003</v>
      </c>
      <c r="CU173" s="17">
        <f>CT173*VLOOKUP('Données projet'!$B$13,Paramètres!$A$1:$I$89,3,0)*VLOOKUP('Données projet'!$B$13,Paramètres!$A$1:$I$89,5,0)</f>
        <v>156.17160000000004</v>
      </c>
      <c r="CV173" s="13">
        <f t="shared" si="173"/>
        <v>39.977795753356993</v>
      </c>
      <c r="CW173" s="20">
        <f t="shared" si="174"/>
        <v>341.62686427043013</v>
      </c>
      <c r="CX173" s="59">
        <f t="shared" si="122"/>
        <v>634.96019760376339</v>
      </c>
      <c r="CY173" s="59">
        <f ca="1">AVERAGE(OFFSET($CX$3,0,0,'Données projet'!$E$13+1,1))-AVERAGE(OFFSET($H$3,0,0,'Données projet'!$E$13+1,1))</f>
        <v>141.13780344922503</v>
      </c>
      <c r="CZ173" s="59">
        <f t="shared" si="150"/>
        <v>144.12010599544237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4.2163671536877745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4.2163671536877745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148.39628895278571</v>
      </c>
      <c r="AO174" s="59">
        <f t="shared" si="144"/>
        <v>361.07991692964788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2.7370174121381012</v>
      </c>
      <c r="AW174" s="21">
        <f>EXP(-LN(2)/2)*AW173+(1-EXP(-LN(2)/2))/(LN(2)/2)*AQ174*AT174*VLOOKUP('Données projet'!$B$10,Paramètres!$A$1:$I$89,3,0)*0.475*44/12</f>
        <v>2.6929667111170221E-23</v>
      </c>
      <c r="AX174" s="21">
        <f t="shared" si="166"/>
        <v>2.7370174121381012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8.977999999999998</v>
      </c>
      <c r="BD174" s="12">
        <f>IF('Données projet'!$A$88&gt;35,BD173+BC174-BL173,IF(A174&lt;'Données projet'!$A$88,$BA$205^A174,IF(A174='Données projet'!$A$88,'Données projet'!$B$88,BD173+BC174-BL173)))</f>
        <v>583.58599999999944</v>
      </c>
      <c r="BE174" s="13">
        <f>BD174*VLOOKUP('Données projet'!$B$11,Paramètres!$A$1:$I$89,3,0)*VLOOKUP('Données projet'!$B$11,Paramètres!$A$1:$I$89,5,0)</f>
        <v>528.02861279999945</v>
      </c>
      <c r="BF174" s="13">
        <f t="shared" si="167"/>
        <v>117.29842847361064</v>
      </c>
      <c r="BG174" s="20">
        <f t="shared" si="168"/>
        <v>1123.9445968848709</v>
      </c>
      <c r="BH174" s="59">
        <f t="shared" si="116"/>
        <v>1417.2779302182041</v>
      </c>
      <c r="BI174" s="59">
        <f ca="1">AVERAGE(OFFSET($BH$3,0,0,'Données projet'!$E$11+1,1))-AVERAGE(OFFSET($H$3,0,0,'Données projet'!$E$11+1,1))</f>
        <v>465.85201723964195</v>
      </c>
      <c r="BJ174" s="59">
        <f t="shared" si="146"/>
        <v>110.67325286443491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109.36454440443568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109.36454440443568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212.00000000000009</v>
      </c>
      <c r="BZ174" s="13">
        <f>BY174*VLOOKUP('Données projet'!$B$12,Paramètres!$A$1:$I$89,3,0)*VLOOKUP('Données projet'!$B$12,Paramètres!$A$1:$I$89,5,0)</f>
        <v>185.20320000000009</v>
      </c>
      <c r="CA174" s="13">
        <f t="shared" si="170"/>
        <v>46.477875402099386</v>
      </c>
      <c r="CB174" s="20">
        <f t="shared" si="171"/>
        <v>403.5112063253232</v>
      </c>
      <c r="CC174" s="59">
        <f t="shared" si="119"/>
        <v>696.84453965865646</v>
      </c>
      <c r="CD174" s="59">
        <f ca="1">AVERAGE(OFFSET($CC$3,0,0,'Données projet'!$E$12+1,1))-AVERAGE(OFFSET($H$3,0,0,'Données projet'!$E$12+1,1))</f>
        <v>201.70120933876507</v>
      </c>
      <c r="CE174" s="59">
        <f t="shared" si="148"/>
        <v>188.1234063307752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10.733392061060556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10.733392061060556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213.00000000000003</v>
      </c>
      <c r="CU174" s="17">
        <f>CT174*VLOOKUP('Données projet'!$B$13,Paramètres!$A$1:$I$89,3,0)*VLOOKUP('Données projet'!$B$13,Paramètres!$A$1:$I$89,5,0)</f>
        <v>156.17160000000004</v>
      </c>
      <c r="CV174" s="13">
        <f t="shared" si="173"/>
        <v>39.977795753356993</v>
      </c>
      <c r="CW174" s="20">
        <f t="shared" si="174"/>
        <v>341.62686427043013</v>
      </c>
      <c r="CX174" s="59">
        <f t="shared" si="122"/>
        <v>634.96019760376339</v>
      </c>
      <c r="CY174" s="59">
        <f ca="1">AVERAGE(OFFSET($CX$3,0,0,'Données projet'!$E$13+1,1))-AVERAGE(OFFSET($H$3,0,0,'Données projet'!$E$13+1,1))</f>
        <v>141.13780344922503</v>
      </c>
      <c r="CZ174" s="59">
        <f t="shared" si="150"/>
        <v>144.12010599544237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4.1336867655339837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4.1336867655339837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148.39628895278571</v>
      </c>
      <c r="AO175" s="59">
        <f t="shared" si="144"/>
        <v>361.07991692964788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2.6621735270696947</v>
      </c>
      <c r="AW175" s="21">
        <f>EXP(-LN(2)/2)*AW174+(1-EXP(-LN(2)/2))/(LN(2)/2)*AQ175*AT175*VLOOKUP('Données projet'!$B$10,Paramètres!$A$1:$I$89,3,0)*0.475*44/12</f>
        <v>1.9042150229404807E-23</v>
      </c>
      <c r="AX175" s="21">
        <f t="shared" si="166"/>
        <v>2.6621735270696947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8.977999999999998</v>
      </c>
      <c r="BD175" s="12">
        <f>IF('Données projet'!$A$88&gt;35,BD174+BC175-BL174,IF(A175&lt;'Données projet'!$A$88,$BA$205^A175,IF(A175='Données projet'!$A$88,'Données projet'!$B$88,BD174+BC175-BL174)))</f>
        <v>592.5639999999994</v>
      </c>
      <c r="BE175" s="13">
        <f>BD175*VLOOKUP('Données projet'!$B$11,Paramètres!$A$1:$I$89,3,0)*VLOOKUP('Données projet'!$B$11,Paramètres!$A$1:$I$89,5,0)</f>
        <v>536.15190719999953</v>
      </c>
      <c r="BF175" s="13">
        <f t="shared" si="167"/>
        <v>118.89150200934502</v>
      </c>
      <c r="BG175" s="20">
        <f t="shared" si="168"/>
        <v>1140.8672710396083</v>
      </c>
      <c r="BH175" s="59">
        <f t="shared" si="116"/>
        <v>1434.2006043729416</v>
      </c>
      <c r="BI175" s="59">
        <f ca="1">AVERAGE(OFFSET($BH$3,0,0,'Données projet'!$E$11+1,1))-AVERAGE(OFFSET($H$3,0,0,'Données projet'!$E$11+1,1))</f>
        <v>465.85201723964195</v>
      </c>
      <c r="BJ175" s="59">
        <f t="shared" si="146"/>
        <v>110.67325286443491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107.21997239445012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107.21997239445012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212.00000000000009</v>
      </c>
      <c r="BZ175" s="13">
        <f>BY175*VLOOKUP('Données projet'!$B$12,Paramètres!$A$1:$I$89,3,0)*VLOOKUP('Données projet'!$B$12,Paramètres!$A$1:$I$89,5,0)</f>
        <v>185.20320000000009</v>
      </c>
      <c r="CA175" s="13">
        <f t="shared" si="170"/>
        <v>46.477875402099386</v>
      </c>
      <c r="CB175" s="20">
        <f t="shared" si="171"/>
        <v>403.5112063253232</v>
      </c>
      <c r="CC175" s="59">
        <f t="shared" si="119"/>
        <v>696.84453965865646</v>
      </c>
      <c r="CD175" s="59">
        <f ca="1">AVERAGE(OFFSET($CC$3,0,0,'Données projet'!$E$12+1,1))-AVERAGE(OFFSET($H$3,0,0,'Données projet'!$E$12+1,1))</f>
        <v>201.70120933876507</v>
      </c>
      <c r="CE175" s="59">
        <f t="shared" si="148"/>
        <v>188.1234063307752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10.52291678946588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10.52291678946588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213.00000000000003</v>
      </c>
      <c r="CU175" s="17">
        <f>CT175*VLOOKUP('Données projet'!$B$13,Paramètres!$A$1:$I$89,3,0)*VLOOKUP('Données projet'!$B$13,Paramètres!$A$1:$I$89,5,0)</f>
        <v>156.17160000000004</v>
      </c>
      <c r="CV175" s="13">
        <f t="shared" si="173"/>
        <v>39.977795753356993</v>
      </c>
      <c r="CW175" s="20">
        <f t="shared" si="174"/>
        <v>341.62686427043013</v>
      </c>
      <c r="CX175" s="59">
        <f t="shared" si="122"/>
        <v>634.96019760376339</v>
      </c>
      <c r="CY175" s="59">
        <f ca="1">AVERAGE(OFFSET($CX$3,0,0,'Données projet'!$E$13+1,1))-AVERAGE(OFFSET($H$3,0,0,'Données projet'!$E$13+1,1))</f>
        <v>141.13780344922503</v>
      </c>
      <c r="CZ175" s="59">
        <f t="shared" si="150"/>
        <v>144.12010599544237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4.0526276893618318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4.0526276893618318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148.39628895278571</v>
      </c>
      <c r="AO176" s="59">
        <f t="shared" si="144"/>
        <v>361.07991692964788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2.5893762519743526</v>
      </c>
      <c r="AW176" s="21">
        <f>EXP(-LN(2)/2)*AW175+(1-EXP(-LN(2)/2))/(LN(2)/2)*AQ176*AT176*VLOOKUP('Données projet'!$B$10,Paramètres!$A$1:$I$89,3,0)*0.475*44/12</f>
        <v>1.346483355558511E-23</v>
      </c>
      <c r="AX176" s="21">
        <f t="shared" si="166"/>
        <v>2.5893762519743526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8.977999999999998</v>
      </c>
      <c r="BD176" s="12">
        <f>IF('Données projet'!$A$88&gt;35,BD175+BC176-BL175,IF(A176&lt;'Données projet'!$A$88,$BA$205^A176,IF(A176='Données projet'!$A$88,'Données projet'!$B$88,BD175+BC176-BL175)))</f>
        <v>601.54199999999935</v>
      </c>
      <c r="BE176" s="13">
        <f>BD176*VLOOKUP('Données projet'!$B$11,Paramètres!$A$1:$I$89,3,0)*VLOOKUP('Données projet'!$B$11,Paramètres!$A$1:$I$89,5,0)</f>
        <v>544.27520159999938</v>
      </c>
      <c r="BF176" s="13">
        <f t="shared" si="167"/>
        <v>120.48176838093659</v>
      </c>
      <c r="BG176" s="20">
        <f t="shared" si="168"/>
        <v>1157.7850560501302</v>
      </c>
      <c r="BH176" s="59">
        <f t="shared" si="116"/>
        <v>1451.1183893834634</v>
      </c>
      <c r="BI176" s="59">
        <f ca="1">AVERAGE(OFFSET($BH$3,0,0,'Données projet'!$E$11+1,1))-AVERAGE(OFFSET($H$3,0,0,'Données projet'!$E$11+1,1))</f>
        <v>465.85201723964195</v>
      </c>
      <c r="BJ176" s="59">
        <f t="shared" si="146"/>
        <v>110.67325286443491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105.11745413352062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105.11745413352062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212.00000000000009</v>
      </c>
      <c r="BZ176" s="13">
        <f>BY176*VLOOKUP('Données projet'!$B$12,Paramètres!$A$1:$I$89,3,0)*VLOOKUP('Données projet'!$B$12,Paramètres!$A$1:$I$89,5,0)</f>
        <v>185.20320000000009</v>
      </c>
      <c r="CA176" s="13">
        <f t="shared" si="170"/>
        <v>46.477875402099386</v>
      </c>
      <c r="CB176" s="20">
        <f t="shared" si="171"/>
        <v>403.5112063253232</v>
      </c>
      <c r="CC176" s="59">
        <f t="shared" si="119"/>
        <v>696.84453965865646</v>
      </c>
      <c r="CD176" s="59">
        <f ca="1">AVERAGE(OFFSET($CC$3,0,0,'Données projet'!$E$12+1,1))-AVERAGE(OFFSET($H$3,0,0,'Données projet'!$E$12+1,1))</f>
        <v>201.70120933876507</v>
      </c>
      <c r="CE176" s="59">
        <f t="shared" si="148"/>
        <v>188.1234063307752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10.316568809569937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10.316568809569937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213.00000000000003</v>
      </c>
      <c r="CU176" s="17">
        <f>CT176*VLOOKUP('Données projet'!$B$13,Paramètres!$A$1:$I$89,3,0)*VLOOKUP('Données projet'!$B$13,Paramètres!$A$1:$I$89,5,0)</f>
        <v>156.17160000000004</v>
      </c>
      <c r="CV176" s="13">
        <f t="shared" si="173"/>
        <v>39.977795753356993</v>
      </c>
      <c r="CW176" s="20">
        <f t="shared" si="174"/>
        <v>341.62686427043013</v>
      </c>
      <c r="CX176" s="59">
        <f t="shared" si="122"/>
        <v>634.96019760376339</v>
      </c>
      <c r="CY176" s="59">
        <f ca="1">AVERAGE(OFFSET($CX$3,0,0,'Données projet'!$E$13+1,1))-AVERAGE(OFFSET($H$3,0,0,'Données projet'!$E$13+1,1))</f>
        <v>141.13780344922503</v>
      </c>
      <c r="CZ176" s="59">
        <f t="shared" si="150"/>
        <v>144.12010599544237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3.9731581322322609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3.9731581322322609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148.39628895278571</v>
      </c>
      <c r="AO177" s="59">
        <f t="shared" si="144"/>
        <v>361.07991692964788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2.5185696221947351</v>
      </c>
      <c r="AW177" s="21">
        <f>EXP(-LN(2)/2)*AW176+(1-EXP(-LN(2)/2))/(LN(2)/2)*AQ177*AT177*VLOOKUP('Données projet'!$B$10,Paramètres!$A$1:$I$89,3,0)*0.475*44/12</f>
        <v>9.5210751147024034E-24</v>
      </c>
      <c r="AX177" s="21">
        <f t="shared" si="166"/>
        <v>2.5185696221947351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>
        <f>VLOOKUP(A177,'Données projet'!$A$87:$I$107,2,0)</f>
        <v>610.52</v>
      </c>
      <c r="BB177" s="12">
        <f>VLOOKUP(A177,'Données projet'!$A$87:$I$107,9,0)</f>
        <v>8.977999999999998</v>
      </c>
      <c r="BC177" s="12">
        <f t="array" ref="BC177">INDEX(BB:BB,MIN(IF(ISNUMBER(BB177:BB373),ROW(BB177:BB373),"")))</f>
        <v>8.977999999999998</v>
      </c>
      <c r="BD177" s="12">
        <f>IF('Données projet'!$A$88&gt;35,BD176+BC177-BL176,IF(A177&lt;'Données projet'!$A$88,$BA$205^A177,IF(A177='Données projet'!$A$88,'Données projet'!$B$88,BD176+BC177-BL176)))</f>
        <v>610.5199999999993</v>
      </c>
      <c r="BE177" s="13">
        <f>BD177*VLOOKUP('Données projet'!$B$11,Paramètres!$A$1:$I$89,3,0)*VLOOKUP('Données projet'!$B$11,Paramètres!$A$1:$I$89,5,0)</f>
        <v>552.39849599999934</v>
      </c>
      <c r="BF177" s="13">
        <f t="shared" si="167"/>
        <v>122.06927432492564</v>
      </c>
      <c r="BG177" s="20">
        <f t="shared" si="168"/>
        <v>1174.6980333159111</v>
      </c>
      <c r="BH177" s="59">
        <f t="shared" si="116"/>
        <v>1468.0313666492443</v>
      </c>
      <c r="BI177" s="59">
        <f ca="1">AVERAGE(OFFSET($BH$3,0,0,'Données projet'!$E$11+1,1))-AVERAGE(OFFSET($H$3,0,0,'Données projet'!$E$11+1,1))</f>
        <v>465.85201723964195</v>
      </c>
      <c r="BJ177" s="59">
        <f t="shared" si="146"/>
        <v>110.67325286443491</v>
      </c>
      <c r="BK177" s="15">
        <f>IF(ISNA(VLOOKUP(A177,'Données projet'!$A$87:$I$107,3,0)),0,VLOOKUP(A177,'Données projet'!$A$87:$I$107,3,0))</f>
        <v>15</v>
      </c>
      <c r="BL177" s="15">
        <f>IF(ISNA(VLOOKUP(A177,'Données projet'!$A$87:$I$107,4,0)),0,VLOOKUP(A177,'Données projet'!$A$87:$I$107,4,0))</f>
        <v>214.77</v>
      </c>
      <c r="BM177" s="16">
        <f>IF(ISNA(VLOOKUP(A177,'Données projet'!$A$87:$I$107,5,0)),0%,VLOOKUP(A177,'Données projet'!$A$87:$I$107,5,0)*VLOOKUP('Données projet'!$B$11,Paramètres!$A$1:$I$89,7,0))</f>
        <v>0.43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195.42846873055828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195.42846873055828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212.00000000000009</v>
      </c>
      <c r="BZ177" s="13">
        <f>BY177*VLOOKUP('Données projet'!$B$12,Paramètres!$A$1:$I$89,3,0)*VLOOKUP('Données projet'!$B$12,Paramètres!$A$1:$I$89,5,0)</f>
        <v>185.20320000000009</v>
      </c>
      <c r="CA177" s="13">
        <f t="shared" si="170"/>
        <v>46.477875402099386</v>
      </c>
      <c r="CB177" s="20">
        <f t="shared" si="171"/>
        <v>403.5112063253232</v>
      </c>
      <c r="CC177" s="59">
        <f t="shared" si="119"/>
        <v>696.84453965865646</v>
      </c>
      <c r="CD177" s="59">
        <f ca="1">AVERAGE(OFFSET($CC$3,0,0,'Données projet'!$E$12+1,1))-AVERAGE(OFFSET($H$3,0,0,'Données projet'!$E$12+1,1))</f>
        <v>201.70120933876507</v>
      </c>
      <c r="CE177" s="59">
        <f t="shared" si="148"/>
        <v>188.1234063307752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10.114267187699912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10.114267187699912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213.00000000000003</v>
      </c>
      <c r="CU177" s="17">
        <f>CT177*VLOOKUP('Données projet'!$B$13,Paramètres!$A$1:$I$89,3,0)*VLOOKUP('Données projet'!$B$13,Paramètres!$A$1:$I$89,5,0)</f>
        <v>156.17160000000004</v>
      </c>
      <c r="CV177" s="13">
        <f t="shared" si="173"/>
        <v>39.977795753356993</v>
      </c>
      <c r="CW177" s="20">
        <f t="shared" si="174"/>
        <v>341.62686427043013</v>
      </c>
      <c r="CX177" s="59">
        <f t="shared" si="122"/>
        <v>634.96019760376339</v>
      </c>
      <c r="CY177" s="59">
        <f ca="1">AVERAGE(OFFSET($CX$3,0,0,'Données projet'!$E$13+1,1))-AVERAGE(OFFSET($H$3,0,0,'Données projet'!$E$13+1,1))</f>
        <v>141.13780344922503</v>
      </c>
      <c r="CZ177" s="59">
        <f t="shared" si="150"/>
        <v>144.12010599544237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3.8952469246463575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3.8952469246463575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148.39628895278571</v>
      </c>
      <c r="AO178" s="59">
        <f t="shared" si="144"/>
        <v>361.07991692964788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2.4496992034299998</v>
      </c>
      <c r="AW178" s="21">
        <f>EXP(-LN(2)/2)*AW177+(1-EXP(-LN(2)/2))/(LN(2)/2)*AQ178*AT178*VLOOKUP('Données projet'!$B$10,Paramètres!$A$1:$I$89,3,0)*0.475*44/12</f>
        <v>6.7324167777925552E-24</v>
      </c>
      <c r="AX178" s="21">
        <f t="shared" si="166"/>
        <v>2.4496992034299998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-2.2700000000000009</v>
      </c>
      <c r="BD178" s="12">
        <f>IF('Données projet'!$A$88&gt;35,BD177+BC178-BL177,IF(A178&lt;'Données projet'!$A$88,$BA$205^A178,IF(A178='Données projet'!$A$88,'Données projet'!$B$88,BD177+BC178-BL177)))</f>
        <v>393.47999999999934</v>
      </c>
      <c r="BE178" s="13">
        <f>BD178*VLOOKUP('Données projet'!$B$11,Paramètres!$A$1:$I$89,3,0)*VLOOKUP('Données projet'!$B$11,Paramètres!$A$1:$I$89,5,0)</f>
        <v>356.0207039999994</v>
      </c>
      <c r="BF178" s="13">
        <f t="shared" si="167"/>
        <v>82.801003433501791</v>
      </c>
      <c r="BG178" s="20">
        <f t="shared" si="168"/>
        <v>764.28114044668121</v>
      </c>
      <c r="BH178" s="59">
        <f t="shared" si="116"/>
        <v>1057.6144737800146</v>
      </c>
      <c r="BI178" s="59">
        <f ca="1">AVERAGE(OFFSET($BH$3,0,0,'Données projet'!$E$11+1,1))-AVERAGE(OFFSET($H$3,0,0,'Données projet'!$E$11+1,1))</f>
        <v>465.85201723964195</v>
      </c>
      <c r="BJ178" s="59">
        <f t="shared" si="146"/>
        <v>110.67325286443491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191.59623565834798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191.59623565834798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212.00000000000009</v>
      </c>
      <c r="BZ178" s="13">
        <f>BY178*VLOOKUP('Données projet'!$B$12,Paramètres!$A$1:$I$89,3,0)*VLOOKUP('Données projet'!$B$12,Paramètres!$A$1:$I$89,5,0)</f>
        <v>185.20320000000009</v>
      </c>
      <c r="CA178" s="13">
        <f t="shared" si="170"/>
        <v>46.477875402099386</v>
      </c>
      <c r="CB178" s="20">
        <f t="shared" si="171"/>
        <v>403.5112063253232</v>
      </c>
      <c r="CC178" s="59">
        <f t="shared" si="119"/>
        <v>696.84453965865646</v>
      </c>
      <c r="CD178" s="59">
        <f ca="1">AVERAGE(OFFSET($CC$3,0,0,'Données projet'!$E$12+1,1))-AVERAGE(OFFSET($H$3,0,0,'Données projet'!$E$12+1,1))</f>
        <v>201.70120933876507</v>
      </c>
      <c r="CE178" s="59">
        <f t="shared" si="148"/>
        <v>188.1234063307752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9.9159325772429536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9.9159325772429536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213.00000000000003</v>
      </c>
      <c r="CU178" s="17">
        <f>CT178*VLOOKUP('Données projet'!$B$13,Paramètres!$A$1:$I$89,3,0)*VLOOKUP('Données projet'!$B$13,Paramètres!$A$1:$I$89,5,0)</f>
        <v>156.17160000000004</v>
      </c>
      <c r="CV178" s="13">
        <f t="shared" si="173"/>
        <v>39.977795753356993</v>
      </c>
      <c r="CW178" s="20">
        <f t="shared" si="174"/>
        <v>341.62686427043013</v>
      </c>
      <c r="CX178" s="59">
        <f t="shared" si="122"/>
        <v>634.96019760376339</v>
      </c>
      <c r="CY178" s="59">
        <f ca="1">AVERAGE(OFFSET($CX$3,0,0,'Données projet'!$E$13+1,1))-AVERAGE(OFFSET($H$3,0,0,'Données projet'!$E$13+1,1))</f>
        <v>141.13780344922503</v>
      </c>
      <c r="CZ178" s="59">
        <f t="shared" si="150"/>
        <v>144.12010599544237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3.818863508320069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3.818863508320069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148.39628895278571</v>
      </c>
      <c r="AO179" s="59">
        <f t="shared" si="144"/>
        <v>361.07991692964788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2.382712049888124</v>
      </c>
      <c r="AW179" s="21">
        <f>EXP(-LN(2)/2)*AW178+(1-EXP(-LN(2)/2))/(LN(2)/2)*AQ179*AT179*VLOOKUP('Données projet'!$B$10,Paramètres!$A$1:$I$89,3,0)*0.475*44/12</f>
        <v>4.7605375573512017E-24</v>
      </c>
      <c r="AX179" s="21">
        <f t="shared" si="166"/>
        <v>2.382712049888124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-2.2700000000000009</v>
      </c>
      <c r="BD179" s="12">
        <f>IF('Données projet'!$A$88&gt;35,BD178+BC179-BL178,IF(A179&lt;'Données projet'!$A$88,$BA$205^A179,IF(A179='Données projet'!$A$88,'Données projet'!$B$88,BD178+BC179-BL178)))</f>
        <v>391.20999999999935</v>
      </c>
      <c r="BE179" s="13">
        <f>BD179*VLOOKUP('Données projet'!$B$11,Paramètres!$A$1:$I$89,3,0)*VLOOKUP('Données projet'!$B$11,Paramètres!$A$1:$I$89,5,0)</f>
        <v>353.96680799999939</v>
      </c>
      <c r="BF179" s="13">
        <f t="shared" si="167"/>
        <v>82.378781676406732</v>
      </c>
      <c r="BG179" s="20">
        <f t="shared" si="168"/>
        <v>759.96856868640737</v>
      </c>
      <c r="BH179" s="59">
        <f t="shared" si="116"/>
        <v>1053.3019020197407</v>
      </c>
      <c r="BI179" s="59">
        <f ca="1">AVERAGE(OFFSET($BH$3,0,0,'Données projet'!$E$11+1,1))-AVERAGE(OFFSET($H$3,0,0,'Données projet'!$E$11+1,1))</f>
        <v>465.85201723964195</v>
      </c>
      <c r="BJ179" s="59">
        <f t="shared" si="146"/>
        <v>110.67325286443491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187.83915033925234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187.83915033925234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212.00000000000009</v>
      </c>
      <c r="BZ179" s="13">
        <f>BY179*VLOOKUP('Données projet'!$B$12,Paramètres!$A$1:$I$89,3,0)*VLOOKUP('Données projet'!$B$12,Paramètres!$A$1:$I$89,5,0)</f>
        <v>185.20320000000009</v>
      </c>
      <c r="CA179" s="13">
        <f t="shared" si="170"/>
        <v>46.477875402099386</v>
      </c>
      <c r="CB179" s="20">
        <f t="shared" si="171"/>
        <v>403.5112063253232</v>
      </c>
      <c r="CC179" s="59">
        <f t="shared" si="119"/>
        <v>696.84453965865646</v>
      </c>
      <c r="CD179" s="59">
        <f ca="1">AVERAGE(OFFSET($CC$3,0,0,'Données projet'!$E$12+1,1))-AVERAGE(OFFSET($H$3,0,0,'Données projet'!$E$12+1,1))</f>
        <v>201.70120933876507</v>
      </c>
      <c r="CE179" s="59">
        <f t="shared" si="148"/>
        <v>188.1234063307752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9.7214871875248896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9.7214871875248896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213.00000000000003</v>
      </c>
      <c r="CU179" s="17">
        <f>CT179*VLOOKUP('Données projet'!$B$13,Paramètres!$A$1:$I$89,3,0)*VLOOKUP('Données projet'!$B$13,Paramètres!$A$1:$I$89,5,0)</f>
        <v>156.17160000000004</v>
      </c>
      <c r="CV179" s="13">
        <f t="shared" si="173"/>
        <v>39.977795753356993</v>
      </c>
      <c r="CW179" s="20">
        <f t="shared" si="174"/>
        <v>341.62686427043013</v>
      </c>
      <c r="CX179" s="59">
        <f t="shared" si="122"/>
        <v>634.96019760376339</v>
      </c>
      <c r="CY179" s="59">
        <f ca="1">AVERAGE(OFFSET($CX$3,0,0,'Données projet'!$E$13+1,1))-AVERAGE(OFFSET($H$3,0,0,'Données projet'!$E$13+1,1))</f>
        <v>141.13780344922503</v>
      </c>
      <c r="CZ179" s="59">
        <f t="shared" si="150"/>
        <v>144.12010599544237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3.7439779241986555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3.7439779241986555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148.39628895278571</v>
      </c>
      <c r="AO180" s="59">
        <f t="shared" si="144"/>
        <v>361.07991692964788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2.3175566635825522</v>
      </c>
      <c r="AW180" s="21">
        <f>EXP(-LN(2)/2)*AW179+(1-EXP(-LN(2)/2))/(LN(2)/2)*AQ180*AT180*VLOOKUP('Données projet'!$B$10,Paramètres!$A$1:$I$89,3,0)*0.475*44/12</f>
        <v>3.3662083888962776E-24</v>
      </c>
      <c r="AX180" s="21">
        <f t="shared" si="166"/>
        <v>2.3175566635825522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>
        <f>VLOOKUP(A180,'Données projet'!$A$87:$I$107,2,0)</f>
        <v>388.94</v>
      </c>
      <c r="BB180" s="12">
        <f>VLOOKUP(A180,'Données projet'!$A$87:$I$107,9,0)</f>
        <v>-2.2700000000000009</v>
      </c>
      <c r="BC180" s="12">
        <f t="array" ref="BC180">INDEX(BB:BB,MIN(IF(ISNUMBER(BB180:BB376),ROW(BB180:BB376),"")))</f>
        <v>-2.2700000000000009</v>
      </c>
      <c r="BD180" s="12">
        <f>IF('Données projet'!$A$88&gt;35,BD179+BC180-BL179,IF(A180&lt;'Données projet'!$A$88,$BA$205^A180,IF(A180='Données projet'!$A$88,'Données projet'!$B$88,BD179+BC180-BL179)))</f>
        <v>388.93999999999937</v>
      </c>
      <c r="BE180" s="13">
        <f>BD180*VLOOKUP('Données projet'!$B$11,Paramètres!$A$1:$I$89,3,0)*VLOOKUP('Données projet'!$B$11,Paramètres!$A$1:$I$89,5,0)</f>
        <v>351.91291199999944</v>
      </c>
      <c r="BF180" s="13">
        <f t="shared" si="167"/>
        <v>81.956274647572045</v>
      </c>
      <c r="BG180" s="20">
        <f t="shared" si="168"/>
        <v>755.65550007785362</v>
      </c>
      <c r="BH180" s="59">
        <f t="shared" si="116"/>
        <v>1048.988833411187</v>
      </c>
      <c r="BI180" s="59">
        <f ca="1">AVERAGE(OFFSET($BH$3,0,0,'Données projet'!$E$11+1,1))-AVERAGE(OFFSET($H$3,0,0,'Données projet'!$E$11+1,1))</f>
        <v>465.85201723964195</v>
      </c>
      <c r="BJ180" s="59">
        <f t="shared" si="146"/>
        <v>110.67325286443491</v>
      </c>
      <c r="BK180" s="15">
        <f>IF(ISNA(VLOOKUP(A180,'Données projet'!$A$87:$I$107,3,0)),0,VLOOKUP(A180,'Données projet'!$A$87:$I$107,3,0))</f>
        <v>16</v>
      </c>
      <c r="BL180" s="15">
        <f>IF(ISNA(VLOOKUP(A180,'Données projet'!$A$87:$I$107,4,0)),0,VLOOKUP(A180,'Données projet'!$A$87:$I$107,4,0))</f>
        <v>115.19</v>
      </c>
      <c r="BM180" s="16">
        <f>IF(ISNA(VLOOKUP(A180,'Données projet'!$A$87:$I$107,5,0)),0%,VLOOKUP(A180,'Données projet'!$A$87:$I$107,5,0)*VLOOKUP('Données projet'!$B$11,Paramètres!$A$1:$I$89,7,0))</f>
        <v>0.43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233.6988116203394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233.6988116203394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212.00000000000009</v>
      </c>
      <c r="BZ180" s="13">
        <f>BY180*VLOOKUP('Données projet'!$B$12,Paramètres!$A$1:$I$89,3,0)*VLOOKUP('Données projet'!$B$12,Paramètres!$A$1:$I$89,5,0)</f>
        <v>185.20320000000009</v>
      </c>
      <c r="CA180" s="13">
        <f t="shared" si="170"/>
        <v>46.477875402099386</v>
      </c>
      <c r="CB180" s="20">
        <f t="shared" si="171"/>
        <v>403.5112063253232</v>
      </c>
      <c r="CC180" s="59">
        <f t="shared" si="119"/>
        <v>696.84453965865646</v>
      </c>
      <c r="CD180" s="59">
        <f ca="1">AVERAGE(OFFSET($CC$3,0,0,'Données projet'!$E$12+1,1))-AVERAGE(OFFSET($H$3,0,0,'Données projet'!$E$12+1,1))</f>
        <v>201.70120933876507</v>
      </c>
      <c r="CE180" s="59">
        <f t="shared" si="148"/>
        <v>188.1234063307752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9.5308547532992201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9.5308547532992201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213.00000000000003</v>
      </c>
      <c r="CU180" s="17">
        <f>CT180*VLOOKUP('Données projet'!$B$13,Paramètres!$A$1:$I$89,3,0)*VLOOKUP('Données projet'!$B$13,Paramètres!$A$1:$I$89,5,0)</f>
        <v>156.17160000000004</v>
      </c>
      <c r="CV180" s="13">
        <f t="shared" si="173"/>
        <v>39.977795753356993</v>
      </c>
      <c r="CW180" s="20">
        <f t="shared" si="174"/>
        <v>341.62686427043013</v>
      </c>
      <c r="CX180" s="59">
        <f t="shared" si="122"/>
        <v>634.96019760376339</v>
      </c>
      <c r="CY180" s="59">
        <f ca="1">AVERAGE(OFFSET($CX$3,0,0,'Données projet'!$E$13+1,1))-AVERAGE(OFFSET($H$3,0,0,'Données projet'!$E$13+1,1))</f>
        <v>141.13780344922503</v>
      </c>
      <c r="CZ180" s="59">
        <f t="shared" si="150"/>
        <v>144.12010599544237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3.6705608007061667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3.6705608007061667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148.39628895278571</v>
      </c>
      <c r="AO181" s="59">
        <f t="shared" si="144"/>
        <v>361.07991692964788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2.254182954741879</v>
      </c>
      <c r="AW181" s="21">
        <f>EXP(-LN(2)/2)*AW180+(1-EXP(-LN(2)/2))/(LN(2)/2)*AQ181*AT181*VLOOKUP('Données projet'!$B$10,Paramètres!$A$1:$I$89,3,0)*0.475*44/12</f>
        <v>2.3802687786756008E-24</v>
      </c>
      <c r="AX181" s="21">
        <f t="shared" si="166"/>
        <v>2.254182954741879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-0.72999999999999921</v>
      </c>
      <c r="BD181" s="12">
        <f>IF('Données projet'!$A$88&gt;35,BD180+BC181-BL180,IF(A181&lt;'Données projet'!$A$88,$BA$205^A181,IF(A181='Données projet'!$A$88,'Données projet'!$B$88,BD180+BC181-BL180)))</f>
        <v>273.01999999999936</v>
      </c>
      <c r="BE181" s="13">
        <f>BD181*VLOOKUP('Données projet'!$B$11,Paramètres!$A$1:$I$89,3,0)*VLOOKUP('Données projet'!$B$11,Paramètres!$A$1:$I$89,5,0)</f>
        <v>247.02849599999942</v>
      </c>
      <c r="BF181" s="13">
        <f t="shared" si="167"/>
        <v>59.949195861748692</v>
      </c>
      <c r="BG181" s="20">
        <f t="shared" si="168"/>
        <v>534.6528133258779</v>
      </c>
      <c r="BH181" s="59">
        <f t="shared" si="116"/>
        <v>827.98614665921127</v>
      </c>
      <c r="BI181" s="59">
        <f ca="1">AVERAGE(OFFSET($BH$3,0,0,'Données projet'!$E$11+1,1))-AVERAGE(OFFSET($H$3,0,0,'Données projet'!$E$11+1,1))</f>
        <v>465.85201723964195</v>
      </c>
      <c r="BJ181" s="59">
        <f t="shared" si="146"/>
        <v>110.67325286443491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229.11612046666477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229.11612046666477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212.00000000000009</v>
      </c>
      <c r="BZ181" s="13">
        <f>BY181*VLOOKUP('Données projet'!$B$12,Paramètres!$A$1:$I$89,3,0)*VLOOKUP('Données projet'!$B$12,Paramètres!$A$1:$I$89,5,0)</f>
        <v>185.20320000000009</v>
      </c>
      <c r="CA181" s="13">
        <f t="shared" si="170"/>
        <v>46.477875402099386</v>
      </c>
      <c r="CB181" s="20">
        <f t="shared" si="171"/>
        <v>403.5112063253232</v>
      </c>
      <c r="CC181" s="59">
        <f t="shared" si="119"/>
        <v>696.84453965865646</v>
      </c>
      <c r="CD181" s="59">
        <f ca="1">AVERAGE(OFFSET($CC$3,0,0,'Données projet'!$E$12+1,1))-AVERAGE(OFFSET($H$3,0,0,'Données projet'!$E$12+1,1))</f>
        <v>201.70120933876507</v>
      </c>
      <c r="CE181" s="59">
        <f t="shared" si="148"/>
        <v>188.1234063307752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9.3439605048344117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9.3439605048344117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213.00000000000003</v>
      </c>
      <c r="CU181" s="17">
        <f>CT181*VLOOKUP('Données projet'!$B$13,Paramètres!$A$1:$I$89,3,0)*VLOOKUP('Données projet'!$B$13,Paramètres!$A$1:$I$89,5,0)</f>
        <v>156.17160000000004</v>
      </c>
      <c r="CV181" s="13">
        <f t="shared" si="173"/>
        <v>39.977795753356993</v>
      </c>
      <c r="CW181" s="20">
        <f t="shared" si="174"/>
        <v>341.62686427043013</v>
      </c>
      <c r="CX181" s="59">
        <f t="shared" si="122"/>
        <v>634.96019760376339</v>
      </c>
      <c r="CY181" s="59">
        <f ca="1">AVERAGE(OFFSET($CX$3,0,0,'Données projet'!$E$13+1,1))-AVERAGE(OFFSET($H$3,0,0,'Données projet'!$E$13+1,1))</f>
        <v>141.13780344922503</v>
      </c>
      <c r="CZ181" s="59">
        <f t="shared" si="150"/>
        <v>144.12010599544237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3.5985833422253419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3.5985833422253419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148.39628895278571</v>
      </c>
      <c r="AO182" s="59">
        <f t="shared" si="144"/>
        <v>361.07991692964788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2.1925422033021329</v>
      </c>
      <c r="AW182" s="21">
        <f>EXP(-LN(2)/2)*AW181+(1-EXP(-LN(2)/2))/(LN(2)/2)*AQ182*AT182*VLOOKUP('Données projet'!$B$10,Paramètres!$A$1:$I$89,3,0)*0.475*44/12</f>
        <v>1.6831041944481388E-24</v>
      </c>
      <c r="AX182" s="21">
        <f t="shared" si="166"/>
        <v>2.1925422033021329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-0.72999999999999921</v>
      </c>
      <c r="BD182" s="12">
        <f>IF('Données projet'!$A$88&gt;35,BD181+BC182-BL181,IF(A182&lt;'Données projet'!$A$88,$BA$205^A182,IF(A182='Données projet'!$A$88,'Données projet'!$B$88,BD181+BC182-BL181)))</f>
        <v>272.28999999999934</v>
      </c>
      <c r="BE182" s="13">
        <f>BD182*VLOOKUP('Données projet'!$B$11,Paramètres!$A$1:$I$89,3,0)*VLOOKUP('Données projet'!$B$11,Paramètres!$A$1:$I$89,5,0)</f>
        <v>246.36799199999939</v>
      </c>
      <c r="BF182" s="13">
        <f t="shared" si="167"/>
        <v>59.807539816896266</v>
      </c>
      <c r="BG182" s="20">
        <f t="shared" si="168"/>
        <v>533.25571791442655</v>
      </c>
      <c r="BH182" s="59">
        <f t="shared" si="116"/>
        <v>826.58905124775993</v>
      </c>
      <c r="BI182" s="59">
        <f ca="1">AVERAGE(OFFSET($BH$3,0,0,'Données projet'!$E$11+1,1))-AVERAGE(OFFSET($H$3,0,0,'Données projet'!$E$11+1,1))</f>
        <v>465.85201723964195</v>
      </c>
      <c r="BJ182" s="59">
        <f t="shared" si="146"/>
        <v>110.67325286443491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224.62329309134807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224.62329309134807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212.00000000000009</v>
      </c>
      <c r="BZ182" s="13">
        <f>BY182*VLOOKUP('Données projet'!$B$12,Paramètres!$A$1:$I$89,3,0)*VLOOKUP('Données projet'!$B$12,Paramètres!$A$1:$I$89,5,0)</f>
        <v>185.20320000000009</v>
      </c>
      <c r="CA182" s="13">
        <f t="shared" si="170"/>
        <v>46.477875402099386</v>
      </c>
      <c r="CB182" s="20">
        <f t="shared" si="171"/>
        <v>403.5112063253232</v>
      </c>
      <c r="CC182" s="59">
        <f t="shared" si="119"/>
        <v>696.84453965865646</v>
      </c>
      <c r="CD182" s="59">
        <f ca="1">AVERAGE(OFFSET($CC$3,0,0,'Données projet'!$E$12+1,1))-AVERAGE(OFFSET($H$3,0,0,'Données projet'!$E$12+1,1))</f>
        <v>201.70120933876507</v>
      </c>
      <c r="CE182" s="59">
        <f t="shared" si="148"/>
        <v>188.1234063307752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9.1607311385877619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9.1607311385877619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213.00000000000003</v>
      </c>
      <c r="CU182" s="17">
        <f>CT182*VLOOKUP('Données projet'!$B$13,Paramètres!$A$1:$I$89,3,0)*VLOOKUP('Données projet'!$B$13,Paramètres!$A$1:$I$89,5,0)</f>
        <v>156.17160000000004</v>
      </c>
      <c r="CV182" s="13">
        <f t="shared" si="173"/>
        <v>39.977795753356993</v>
      </c>
      <c r="CW182" s="20">
        <f t="shared" si="174"/>
        <v>341.62686427043013</v>
      </c>
      <c r="CX182" s="59">
        <f t="shared" si="122"/>
        <v>634.96019760376339</v>
      </c>
      <c r="CY182" s="59">
        <f ca="1">AVERAGE(OFFSET($CX$3,0,0,'Données projet'!$E$13+1,1))-AVERAGE(OFFSET($H$3,0,0,'Données projet'!$E$13+1,1))</f>
        <v>141.13780344922503</v>
      </c>
      <c r="CZ182" s="59">
        <f t="shared" si="150"/>
        <v>144.12010599544237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3.5280173178034113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3.5280173178034113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148.39628895278571</v>
      </c>
      <c r="AO183" s="59">
        <f t="shared" si="144"/>
        <v>361.07991692964788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2.1325870214520526</v>
      </c>
      <c r="AW183" s="21">
        <f>EXP(-LN(2)/2)*AW182+(1-EXP(-LN(2)/2))/(LN(2)/2)*AQ183*AT183*VLOOKUP('Données projet'!$B$10,Paramètres!$A$1:$I$89,3,0)*0.475*44/12</f>
        <v>1.1901343893378004E-24</v>
      </c>
      <c r="AX183" s="21">
        <f t="shared" si="166"/>
        <v>2.1325870214520526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>
        <f>VLOOKUP(A183,'Données projet'!$A$87:$I$107,2,0)</f>
        <v>271.56</v>
      </c>
      <c r="BB183" s="12">
        <f>VLOOKUP(A183,'Données projet'!$A$87:$I$107,9,0)</f>
        <v>-0.72999999999999921</v>
      </c>
      <c r="BC183" s="12">
        <f t="array" ref="BC183">INDEX(BB:BB,MIN(IF(ISNUMBER(BB183:BB379),ROW(BB183:BB379),"")))</f>
        <v>-0.72999999999999921</v>
      </c>
      <c r="BD183" s="12">
        <f>IF('Données projet'!$A$88&gt;35,BD182+BC183-BL182,IF(A183&lt;'Données projet'!$A$88,$BA$205^A183,IF(A183='Données projet'!$A$88,'Données projet'!$B$88,BD182+BC183-BL182)))</f>
        <v>271.55999999999932</v>
      </c>
      <c r="BE183" s="13">
        <f>BD183*VLOOKUP('Données projet'!$B$11,Paramètres!$A$1:$I$89,3,0)*VLOOKUP('Données projet'!$B$11,Paramètres!$A$1:$I$89,5,0)</f>
        <v>245.70748799999936</v>
      </c>
      <c r="BF183" s="13">
        <f t="shared" si="167"/>
        <v>59.665839559288955</v>
      </c>
      <c r="BG183" s="20">
        <f t="shared" si="168"/>
        <v>531.85854549909379</v>
      </c>
      <c r="BH183" s="59">
        <f t="shared" si="116"/>
        <v>825.19187883242716</v>
      </c>
      <c r="BI183" s="59">
        <f ca="1">AVERAGE(OFFSET($BH$3,0,0,'Données projet'!$E$11+1,1))-AVERAGE(OFFSET($H$3,0,0,'Données projet'!$E$11+1,1))</f>
        <v>465.85201723964195</v>
      </c>
      <c r="BJ183" s="59">
        <f t="shared" si="146"/>
        <v>110.67325286443491</v>
      </c>
      <c r="BK183" s="15">
        <f>IF(ISNA(VLOOKUP(A183,'Données projet'!$A$87:$I$107,3,0)),0,VLOOKUP(A183,'Données projet'!$A$87:$I$107,3,0))</f>
        <v>17</v>
      </c>
      <c r="BL183" s="15">
        <f>IF(ISNA(VLOOKUP(A183,'Données projet'!$A$87:$I$107,4,0)),0,VLOOKUP(A183,'Données projet'!$A$87:$I$107,4,0))</f>
        <v>77.72</v>
      </c>
      <c r="BM183" s="16">
        <f>IF(ISNA(VLOOKUP(A183,'Données projet'!$A$87:$I$107,5,0)),0%,VLOOKUP(A183,'Données projet'!$A$87:$I$107,5,0)*VLOOKUP('Données projet'!$B$11,Paramètres!$A$1:$I$89,7,0))</f>
        <v>0.43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253.64584044066271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253.64584044066271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212.00000000000009</v>
      </c>
      <c r="BZ183" s="13">
        <f>BY183*VLOOKUP('Données projet'!$B$12,Paramètres!$A$1:$I$89,3,0)*VLOOKUP('Données projet'!$B$12,Paramètres!$A$1:$I$89,5,0)</f>
        <v>185.20320000000009</v>
      </c>
      <c r="CA183" s="13">
        <f t="shared" si="170"/>
        <v>46.477875402099386</v>
      </c>
      <c r="CB183" s="20">
        <f t="shared" si="171"/>
        <v>403.5112063253232</v>
      </c>
      <c r="CC183" s="59">
        <f t="shared" si="119"/>
        <v>696.84453965865646</v>
      </c>
      <c r="CD183" s="59">
        <f ca="1">AVERAGE(OFFSET($CC$3,0,0,'Données projet'!$E$12+1,1))-AVERAGE(OFFSET($H$3,0,0,'Données projet'!$E$12+1,1))</f>
        <v>201.70120933876507</v>
      </c>
      <c r="CE183" s="59">
        <f t="shared" si="148"/>
        <v>188.1234063307752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8.9810947884543317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8.9810947884543317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213.00000000000003</v>
      </c>
      <c r="CU183" s="17">
        <f>CT183*VLOOKUP('Données projet'!$B$13,Paramètres!$A$1:$I$89,3,0)*VLOOKUP('Données projet'!$B$13,Paramètres!$A$1:$I$89,5,0)</f>
        <v>156.17160000000004</v>
      </c>
      <c r="CV183" s="13">
        <f t="shared" si="173"/>
        <v>39.977795753356993</v>
      </c>
      <c r="CW183" s="20">
        <f t="shared" si="174"/>
        <v>341.62686427043013</v>
      </c>
      <c r="CX183" s="59">
        <f t="shared" si="122"/>
        <v>634.96019760376339</v>
      </c>
      <c r="CY183" s="59">
        <f ca="1">AVERAGE(OFFSET($CX$3,0,0,'Données projet'!$E$13+1,1))-AVERAGE(OFFSET($H$3,0,0,'Données projet'!$E$13+1,1))</f>
        <v>141.13780344922503</v>
      </c>
      <c r="CZ183" s="59">
        <f t="shared" si="150"/>
        <v>144.12010599544237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3.4588350500793701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3.4588350500793701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148.39628895278571</v>
      </c>
      <c r="AO184" s="59">
        <f t="shared" si="144"/>
        <v>361.07991692964788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2.0742713172025686</v>
      </c>
      <c r="AW184" s="21">
        <f>EXP(-LN(2)/2)*AW183+(1-EXP(-LN(2)/2))/(LN(2)/2)*AQ184*AT184*VLOOKUP('Données projet'!$B$10,Paramètres!$A$1:$I$89,3,0)*0.475*44/12</f>
        <v>8.415520972240694E-25</v>
      </c>
      <c r="AX184" s="21">
        <f t="shared" si="166"/>
        <v>2.0742713172025686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-0.79000000000000148</v>
      </c>
      <c r="BD184" s="12">
        <f>IF('Données projet'!$A$88&gt;35,BD183+BC184-BL183,IF(A184&lt;'Données projet'!$A$88,$BA$205^A184,IF(A184='Données projet'!$A$88,'Données projet'!$B$88,BD183+BC184-BL183)))</f>
        <v>193.0499999999993</v>
      </c>
      <c r="BE184" s="13">
        <f>BD184*VLOOKUP('Données projet'!$B$11,Paramètres!$A$1:$I$89,3,0)*VLOOKUP('Données projet'!$B$11,Paramètres!$A$1:$I$89,5,0)</f>
        <v>174.67163999999934</v>
      </c>
      <c r="BF184" s="13">
        <f t="shared" si="167"/>
        <v>44.134659021409632</v>
      </c>
      <c r="BG184" s="20">
        <f t="shared" si="168"/>
        <v>381.0876374622872</v>
      </c>
      <c r="BH184" s="59">
        <f t="shared" si="116"/>
        <v>674.42097079562052</v>
      </c>
      <c r="BI184" s="59">
        <f ca="1">AVERAGE(OFFSET($BH$3,0,0,'Données projet'!$E$11+1,1))-AVERAGE(OFFSET($H$3,0,0,'Données projet'!$E$11+1,1))</f>
        <v>465.85201723964195</v>
      </c>
      <c r="BJ184" s="59">
        <f t="shared" si="146"/>
        <v>110.67325286443491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248.67200021830777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248.67200021830777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212.00000000000009</v>
      </c>
      <c r="BZ184" s="13">
        <f>BY184*VLOOKUP('Données projet'!$B$12,Paramètres!$A$1:$I$89,3,0)*VLOOKUP('Données projet'!$B$12,Paramètres!$A$1:$I$89,5,0)</f>
        <v>185.20320000000009</v>
      </c>
      <c r="CA184" s="13">
        <f t="shared" si="170"/>
        <v>46.477875402099386</v>
      </c>
      <c r="CB184" s="20">
        <f t="shared" si="171"/>
        <v>403.5112063253232</v>
      </c>
      <c r="CC184" s="59">
        <f t="shared" si="119"/>
        <v>696.84453965865646</v>
      </c>
      <c r="CD184" s="59">
        <f ca="1">AVERAGE(OFFSET($CC$3,0,0,'Données projet'!$E$12+1,1))-AVERAGE(OFFSET($H$3,0,0,'Données projet'!$E$12+1,1))</f>
        <v>201.70120933876507</v>
      </c>
      <c r="CE184" s="59">
        <f t="shared" si="148"/>
        <v>188.1234063307752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8.804980997579662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8.804980997579662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213.00000000000003</v>
      </c>
      <c r="CU184" s="17">
        <f>CT184*VLOOKUP('Données projet'!$B$13,Paramètres!$A$1:$I$89,3,0)*VLOOKUP('Données projet'!$B$13,Paramètres!$A$1:$I$89,5,0)</f>
        <v>156.17160000000004</v>
      </c>
      <c r="CV184" s="13">
        <f t="shared" si="173"/>
        <v>39.977795753356993</v>
      </c>
      <c r="CW184" s="20">
        <f t="shared" si="174"/>
        <v>341.62686427043013</v>
      </c>
      <c r="CX184" s="59">
        <f t="shared" si="122"/>
        <v>634.96019760376339</v>
      </c>
      <c r="CY184" s="59">
        <f ca="1">AVERAGE(OFFSET($CX$3,0,0,'Données projet'!$E$13+1,1))-AVERAGE(OFFSET($H$3,0,0,'Données projet'!$E$13+1,1))</f>
        <v>141.13780344922503</v>
      </c>
      <c r="CZ184" s="59">
        <f t="shared" si="150"/>
        <v>144.12010599544237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3.3910094044283805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3.3910094044283805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148.39628895278571</v>
      </c>
      <c r="AO185" s="59">
        <f t="shared" si="144"/>
        <v>361.07991692964788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2.0175502589524767</v>
      </c>
      <c r="AW185" s="21">
        <f>EXP(-LN(2)/2)*AW184+(1-EXP(-LN(2)/2))/(LN(2)/2)*AQ185*AT185*VLOOKUP('Données projet'!$B$10,Paramètres!$A$1:$I$89,3,0)*0.475*44/12</f>
        <v>5.9506719466890021E-25</v>
      </c>
      <c r="AX185" s="21">
        <f t="shared" si="166"/>
        <v>2.0175502589524767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-0.79000000000000148</v>
      </c>
      <c r="BD185" s="12">
        <f>IF('Données projet'!$A$88&gt;35,BD184+BC185-BL184,IF(A185&lt;'Données projet'!$A$88,$BA$205^A185,IF(A185='Données projet'!$A$88,'Données projet'!$B$88,BD184+BC185-BL184)))</f>
        <v>192.25999999999931</v>
      </c>
      <c r="BE185" s="13">
        <f>BD185*VLOOKUP('Données projet'!$B$11,Paramètres!$A$1:$I$89,3,0)*VLOOKUP('Données projet'!$B$11,Paramètres!$A$1:$I$89,5,0)</f>
        <v>173.95684799999935</v>
      </c>
      <c r="BF185" s="13">
        <f t="shared" si="167"/>
        <v>43.975035698276209</v>
      </c>
      <c r="BG185" s="20">
        <f t="shared" si="168"/>
        <v>379.56469744116322</v>
      </c>
      <c r="BH185" s="59">
        <f t="shared" si="116"/>
        <v>672.89803077449653</v>
      </c>
      <c r="BI185" s="59">
        <f ca="1">AVERAGE(OFFSET($BH$3,0,0,'Données projet'!$E$11+1,1))-AVERAGE(OFFSET($H$3,0,0,'Données projet'!$E$11+1,1))</f>
        <v>465.85201723964195</v>
      </c>
      <c r="BJ185" s="59">
        <f t="shared" si="146"/>
        <v>110.67325286443491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243.79569396897023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243.79569396897023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212.00000000000009</v>
      </c>
      <c r="BZ185" s="13">
        <f>BY185*VLOOKUP('Données projet'!$B$12,Paramètres!$A$1:$I$89,3,0)*VLOOKUP('Données projet'!$B$12,Paramètres!$A$1:$I$89,5,0)</f>
        <v>185.20320000000009</v>
      </c>
      <c r="CA185" s="13">
        <f t="shared" si="170"/>
        <v>46.477875402099386</v>
      </c>
      <c r="CB185" s="20">
        <f t="shared" si="171"/>
        <v>403.5112063253232</v>
      </c>
      <c r="CC185" s="59">
        <f t="shared" si="119"/>
        <v>696.84453965865646</v>
      </c>
      <c r="CD185" s="59">
        <f ca="1">AVERAGE(OFFSET($CC$3,0,0,'Données projet'!$E$12+1,1))-AVERAGE(OFFSET($H$3,0,0,'Données projet'!$E$12+1,1))</f>
        <v>201.70120933876507</v>
      </c>
      <c r="CE185" s="59">
        <f t="shared" si="148"/>
        <v>188.1234063307752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8.6323206907252406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8.6323206907252406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213.00000000000003</v>
      </c>
      <c r="CU185" s="17">
        <f>CT185*VLOOKUP('Données projet'!$B$13,Paramètres!$A$1:$I$89,3,0)*VLOOKUP('Données projet'!$B$13,Paramètres!$A$1:$I$89,5,0)</f>
        <v>156.17160000000004</v>
      </c>
      <c r="CV185" s="13">
        <f t="shared" si="173"/>
        <v>39.977795753356993</v>
      </c>
      <c r="CW185" s="20">
        <f t="shared" si="174"/>
        <v>341.62686427043013</v>
      </c>
      <c r="CX185" s="59">
        <f t="shared" si="122"/>
        <v>634.96019760376339</v>
      </c>
      <c r="CY185" s="59">
        <f ca="1">AVERAGE(OFFSET($CX$3,0,0,'Données projet'!$E$13+1,1))-AVERAGE(OFFSET($H$3,0,0,'Données projet'!$E$13+1,1))</f>
        <v>141.13780344922503</v>
      </c>
      <c r="CZ185" s="59">
        <f t="shared" si="150"/>
        <v>144.12010599544237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3.3245137783190479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3.3245137783190479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148.39628895278571</v>
      </c>
      <c r="AO186" s="59">
        <f t="shared" si="144"/>
        <v>361.07991692964788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1.9623802410230644</v>
      </c>
      <c r="AW186" s="21">
        <f>EXP(-LN(2)/2)*AW185+(1-EXP(-LN(2)/2))/(LN(2)/2)*AQ186*AT186*VLOOKUP('Données projet'!$B$10,Paramètres!$A$1:$I$89,3,0)*0.475*44/12</f>
        <v>4.207760486120347E-25</v>
      </c>
      <c r="AX186" s="21">
        <f t="shared" si="166"/>
        <v>1.9623802410230644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>
        <f>VLOOKUP(A186,'Données projet'!$A$87:$I$107,2,0)</f>
        <v>191.47</v>
      </c>
      <c r="BB186" s="12">
        <f>VLOOKUP(A186,'Données projet'!$A$87:$I$107,9,0)</f>
        <v>-0.79000000000000148</v>
      </c>
      <c r="BC186" s="12">
        <f t="array" ref="BC186">INDEX(BB:BB,MIN(IF(ISNUMBER(BB186:BB382),ROW(BB186:BB382),"")))</f>
        <v>-0.79000000000000148</v>
      </c>
      <c r="BD186" s="12">
        <f>IF('Données projet'!$A$88&gt;35,BD185+BC186-BL185,IF(A186&lt;'Données projet'!$A$88,$BA$205^A186,IF(A186='Données projet'!$A$88,'Données projet'!$B$88,BD185+BC186-BL185)))</f>
        <v>191.46999999999932</v>
      </c>
      <c r="BE186" s="13">
        <f>BD186*VLOOKUP('Données projet'!$B$11,Paramètres!$A$1:$I$89,3,0)*VLOOKUP('Données projet'!$B$11,Paramètres!$A$1:$I$89,5,0)</f>
        <v>173.24205599999939</v>
      </c>
      <c r="BF186" s="13">
        <f t="shared" si="167"/>
        <v>43.815336010444845</v>
      </c>
      <c r="BG186" s="20">
        <f t="shared" si="168"/>
        <v>378.04162441819039</v>
      </c>
      <c r="BH186" s="59">
        <f t="shared" si="116"/>
        <v>671.37495775152365</v>
      </c>
      <c r="BI186" s="59">
        <f ca="1">AVERAGE(OFFSET($BH$3,0,0,'Données projet'!$E$11+1,1))-AVERAGE(OFFSET($H$3,0,0,'Données projet'!$E$11+1,1))</f>
        <v>465.85201723964195</v>
      </c>
      <c r="BJ186" s="59">
        <f t="shared" si="146"/>
        <v>110.67325286443491</v>
      </c>
      <c r="BK186" s="15">
        <f>IF(ISNA(VLOOKUP(A186,'Données projet'!$A$87:$I$107,3,0)),0,VLOOKUP(A186,'Données projet'!$A$87:$I$107,3,0))</f>
        <v>18</v>
      </c>
      <c r="BL186" s="15">
        <f>IF(ISNA(VLOOKUP(A186,'Données projet'!$A$87:$I$107,4,0)),0,VLOOKUP(A186,'Données projet'!$A$87:$I$107,4,0))</f>
        <v>169.76</v>
      </c>
      <c r="BM186" s="16">
        <f>IF(ISNA(VLOOKUP(A186,'Données projet'!$A$87:$I$107,5,0)),0%,VLOOKUP(A186,'Données projet'!$A$87:$I$107,5,0)*VLOOKUP('Données projet'!$B$11,Paramètres!$A$1:$I$89,7,0))</f>
        <v>0.43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312.02856913251412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312.02856913251412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212.00000000000009</v>
      </c>
      <c r="BZ186" s="13">
        <f>BY186*VLOOKUP('Données projet'!$B$12,Paramètres!$A$1:$I$89,3,0)*VLOOKUP('Données projet'!$B$12,Paramètres!$A$1:$I$89,5,0)</f>
        <v>185.20320000000009</v>
      </c>
      <c r="CA186" s="13">
        <f t="shared" si="170"/>
        <v>46.477875402099386</v>
      </c>
      <c r="CB186" s="20">
        <f t="shared" si="171"/>
        <v>403.5112063253232</v>
      </c>
      <c r="CC186" s="59">
        <f t="shared" si="119"/>
        <v>696.84453965865646</v>
      </c>
      <c r="CD186" s="59">
        <f ca="1">AVERAGE(OFFSET($CC$3,0,0,'Données projet'!$E$12+1,1))-AVERAGE(OFFSET($H$3,0,0,'Données projet'!$E$12+1,1))</f>
        <v>201.70120933876507</v>
      </c>
      <c r="CE186" s="59">
        <f t="shared" si="148"/>
        <v>188.1234063307752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8.4630461471758451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8.4630461471758451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213.00000000000003</v>
      </c>
      <c r="CU186" s="17">
        <f>CT186*VLOOKUP('Données projet'!$B$13,Paramètres!$A$1:$I$89,3,0)*VLOOKUP('Données projet'!$B$13,Paramètres!$A$1:$I$89,5,0)</f>
        <v>156.17160000000004</v>
      </c>
      <c r="CV186" s="13">
        <f t="shared" si="173"/>
        <v>39.977795753356993</v>
      </c>
      <c r="CW186" s="20">
        <f t="shared" si="174"/>
        <v>341.62686427043013</v>
      </c>
      <c r="CX186" s="59">
        <f t="shared" si="122"/>
        <v>634.96019760376339</v>
      </c>
      <c r="CY186" s="59">
        <f ca="1">AVERAGE(OFFSET($CX$3,0,0,'Données projet'!$E$13+1,1))-AVERAGE(OFFSET($H$3,0,0,'Données projet'!$E$13+1,1))</f>
        <v>141.13780344922503</v>
      </c>
      <c r="CZ186" s="59">
        <f t="shared" si="150"/>
        <v>144.12010599544237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3.2593220908793921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3.2593220908793921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148.39628895278571</v>
      </c>
      <c r="AO187" s="59">
        <f t="shared" si="144"/>
        <v>361.07991692964788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1.9087188501351968</v>
      </c>
      <c r="AW187" s="21">
        <f>EXP(-LN(2)/2)*AW186+(1-EXP(-LN(2)/2))/(LN(2)/2)*AQ187*AT187*VLOOKUP('Données projet'!$B$10,Paramètres!$A$1:$I$89,3,0)*0.475*44/12</f>
        <v>2.9753359733445011E-25</v>
      </c>
      <c r="AX187" s="21">
        <f t="shared" si="166"/>
        <v>1.9087188501351968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21.709999999999326</v>
      </c>
      <c r="BE187" s="13">
        <f>BD187*VLOOKUP('Données projet'!$B$11,Paramètres!$A$1:$I$89,3,0)*VLOOKUP('Données projet'!$B$11,Paramètres!$A$1:$I$89,5,0)</f>
        <v>19.64320799999939</v>
      </c>
      <c r="BF187" s="13">
        <f t="shared" si="167"/>
        <v>6.4008043874806155</v>
      </c>
      <c r="BG187" s="20">
        <f t="shared" si="168"/>
        <v>45.359988241527674</v>
      </c>
      <c r="BH187" s="59">
        <f t="shared" si="116"/>
        <v>338.69332157486099</v>
      </c>
      <c r="BI187" s="59">
        <f ca="1">AVERAGE(OFFSET($BH$3,0,0,'Données projet'!$E$11+1,1))-AVERAGE(OFFSET($H$3,0,0,'Données projet'!$E$11+1,1))</f>
        <v>465.85201723964195</v>
      </c>
      <c r="BJ187" s="59">
        <f t="shared" si="146"/>
        <v>110.67325286443491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305.9098792104603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305.9098792104603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212.00000000000009</v>
      </c>
      <c r="BZ187" s="13">
        <f>BY187*VLOOKUP('Données projet'!$B$12,Paramètres!$A$1:$I$89,3,0)*VLOOKUP('Données projet'!$B$12,Paramètres!$A$1:$I$89,5,0)</f>
        <v>185.20320000000009</v>
      </c>
      <c r="CA187" s="13">
        <f t="shared" si="170"/>
        <v>46.477875402099386</v>
      </c>
      <c r="CB187" s="20">
        <f t="shared" si="171"/>
        <v>403.5112063253232</v>
      </c>
      <c r="CC187" s="59">
        <f t="shared" si="119"/>
        <v>696.84453965865646</v>
      </c>
      <c r="CD187" s="59">
        <f ca="1">AVERAGE(OFFSET($CC$3,0,0,'Données projet'!$E$12+1,1))-AVERAGE(OFFSET($H$3,0,0,'Données projet'!$E$12+1,1))</f>
        <v>201.70120933876507</v>
      </c>
      <c r="CE187" s="59">
        <f t="shared" si="148"/>
        <v>188.1234063307752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8.2970909741781771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8.2970909741781771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213.00000000000003</v>
      </c>
      <c r="CU187" s="17">
        <f>CT187*VLOOKUP('Données projet'!$B$13,Paramètres!$A$1:$I$89,3,0)*VLOOKUP('Données projet'!$B$13,Paramètres!$A$1:$I$89,5,0)</f>
        <v>156.17160000000004</v>
      </c>
      <c r="CV187" s="13">
        <f t="shared" si="173"/>
        <v>39.977795753356993</v>
      </c>
      <c r="CW187" s="20">
        <f t="shared" si="174"/>
        <v>341.62686427043013</v>
      </c>
      <c r="CX187" s="59">
        <f t="shared" si="122"/>
        <v>634.96019760376339</v>
      </c>
      <c r="CY187" s="59">
        <f ca="1">AVERAGE(OFFSET($CX$3,0,0,'Données projet'!$E$13+1,1))-AVERAGE(OFFSET($H$3,0,0,'Données projet'!$E$13+1,1))</f>
        <v>141.13780344922503</v>
      </c>
      <c r="CZ187" s="59">
        <f t="shared" si="150"/>
        <v>144.12010599544237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3.1954087726674247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3.1954087726674247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148.39628895278571</v>
      </c>
      <c r="AO188" s="59">
        <f t="shared" si="144"/>
        <v>361.07991692964788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1.8565248328030879</v>
      </c>
      <c r="AW188" s="21">
        <f>EXP(-LN(2)/2)*AW187+(1-EXP(-LN(2)/2))/(LN(2)/2)*AQ188*AT188*VLOOKUP('Données projet'!$B$10,Paramètres!$A$1:$I$89,3,0)*0.475*44/12</f>
        <v>2.1038802430601735E-25</v>
      </c>
      <c r="AX188" s="21">
        <f t="shared" si="166"/>
        <v>1.8565248328030879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21.709999999999326</v>
      </c>
      <c r="BE188" s="13">
        <f>BD188*VLOOKUP('Données projet'!$B$11,Paramètres!$A$1:$I$89,3,0)*VLOOKUP('Données projet'!$B$11,Paramètres!$A$1:$I$89,5,0)</f>
        <v>19.64320799999939</v>
      </c>
      <c r="BF188" s="13">
        <f t="shared" si="167"/>
        <v>6.4008043874806155</v>
      </c>
      <c r="BG188" s="20">
        <f t="shared" si="168"/>
        <v>45.359988241527674</v>
      </c>
      <c r="BH188" s="59">
        <f t="shared" si="116"/>
        <v>338.69332157486099</v>
      </c>
      <c r="BI188" s="59">
        <f ca="1">AVERAGE(OFFSET($BH$3,0,0,'Données projet'!$E$11+1,1))-AVERAGE(OFFSET($H$3,0,0,'Données projet'!$E$11+1,1))</f>
        <v>465.85201723964195</v>
      </c>
      <c r="BJ188" s="59">
        <f t="shared" si="146"/>
        <v>110.67325286443491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299.91117306574557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299.91117306574557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212.00000000000009</v>
      </c>
      <c r="BZ188" s="13">
        <f>BY188*VLOOKUP('Données projet'!$B$12,Paramètres!$A$1:$I$89,3,0)*VLOOKUP('Données projet'!$B$12,Paramètres!$A$1:$I$89,5,0)</f>
        <v>185.20320000000009</v>
      </c>
      <c r="CA188" s="13">
        <f t="shared" si="170"/>
        <v>46.477875402099386</v>
      </c>
      <c r="CB188" s="20">
        <f t="shared" si="171"/>
        <v>403.5112063253232</v>
      </c>
      <c r="CC188" s="59">
        <f t="shared" si="119"/>
        <v>696.84453965865646</v>
      </c>
      <c r="CD188" s="59">
        <f ca="1">AVERAGE(OFFSET($CC$3,0,0,'Données projet'!$E$12+1,1))-AVERAGE(OFFSET($H$3,0,0,'Données projet'!$E$12+1,1))</f>
        <v>201.70120933876507</v>
      </c>
      <c r="CE188" s="59">
        <f t="shared" si="148"/>
        <v>188.1234063307752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8.1343900809003316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8.1343900809003316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213.00000000000003</v>
      </c>
      <c r="CU188" s="17">
        <f>CT188*VLOOKUP('Données projet'!$B$13,Paramètres!$A$1:$I$89,3,0)*VLOOKUP('Données projet'!$B$13,Paramètres!$A$1:$I$89,5,0)</f>
        <v>156.17160000000004</v>
      </c>
      <c r="CV188" s="13">
        <f t="shared" si="173"/>
        <v>39.977795753356993</v>
      </c>
      <c r="CW188" s="20">
        <f t="shared" si="174"/>
        <v>341.62686427043013</v>
      </c>
      <c r="CX188" s="59">
        <f t="shared" si="122"/>
        <v>634.96019760376339</v>
      </c>
      <c r="CY188" s="59">
        <f ca="1">AVERAGE(OFFSET($CX$3,0,0,'Données projet'!$E$13+1,1))-AVERAGE(OFFSET($H$3,0,0,'Données projet'!$E$13+1,1))</f>
        <v>141.13780344922503</v>
      </c>
      <c r="CZ188" s="59">
        <f t="shared" si="150"/>
        <v>144.12010599544237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3.1327487556423192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3.1327487556423192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148.39628895278571</v>
      </c>
      <c r="AO189" s="59">
        <f t="shared" si="144"/>
        <v>361.07991692964788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1.8057580636196897</v>
      </c>
      <c r="AW189" s="21">
        <f>EXP(-LN(2)/2)*AW188+(1-EXP(-LN(2)/2))/(LN(2)/2)*AQ189*AT189*VLOOKUP('Données projet'!$B$10,Paramètres!$A$1:$I$89,3,0)*0.475*44/12</f>
        <v>1.4876679866722505E-25</v>
      </c>
      <c r="AX189" s="21">
        <f t="shared" si="166"/>
        <v>1.8057580636196897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21.709999999999326</v>
      </c>
      <c r="BE189" s="13">
        <f>BD189*VLOOKUP('Données projet'!$B$11,Paramètres!$A$1:$I$89,3,0)*VLOOKUP('Données projet'!$B$11,Paramètres!$A$1:$I$89,5,0)</f>
        <v>19.64320799999939</v>
      </c>
      <c r="BF189" s="13">
        <f t="shared" si="167"/>
        <v>6.4008043874806155</v>
      </c>
      <c r="BG189" s="20">
        <f t="shared" si="168"/>
        <v>45.359988241527674</v>
      </c>
      <c r="BH189" s="59">
        <f t="shared" si="116"/>
        <v>338.69332157486099</v>
      </c>
      <c r="BI189" s="59">
        <f ca="1">AVERAGE(OFFSET($BH$3,0,0,'Données projet'!$E$11+1,1))-AVERAGE(OFFSET($H$3,0,0,'Données projet'!$E$11+1,1))</f>
        <v>465.85201723964195</v>
      </c>
      <c r="BJ189" s="59">
        <f t="shared" si="146"/>
        <v>110.67325286443491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294.03009788967927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294.03009788967927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212.00000000000009</v>
      </c>
      <c r="BZ189" s="13">
        <f>BY189*VLOOKUP('Données projet'!$B$12,Paramètres!$A$1:$I$89,3,0)*VLOOKUP('Données projet'!$B$12,Paramètres!$A$1:$I$89,5,0)</f>
        <v>185.20320000000009</v>
      </c>
      <c r="CA189" s="13">
        <f t="shared" si="170"/>
        <v>46.477875402099386</v>
      </c>
      <c r="CB189" s="20">
        <f t="shared" si="171"/>
        <v>403.5112063253232</v>
      </c>
      <c r="CC189" s="59">
        <f t="shared" si="119"/>
        <v>696.84453965865646</v>
      </c>
      <c r="CD189" s="59">
        <f ca="1">AVERAGE(OFFSET($CC$3,0,0,'Données projet'!$E$12+1,1))-AVERAGE(OFFSET($H$3,0,0,'Données projet'!$E$12+1,1))</f>
        <v>201.70120933876507</v>
      </c>
      <c r="CE189" s="59">
        <f t="shared" si="148"/>
        <v>188.1234063307752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7.9748796529019188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7.9748796529019188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213.00000000000003</v>
      </c>
      <c r="CU189" s="17">
        <f>CT189*VLOOKUP('Données projet'!$B$13,Paramètres!$A$1:$I$89,3,0)*VLOOKUP('Données projet'!$B$13,Paramètres!$A$1:$I$89,5,0)</f>
        <v>156.17160000000004</v>
      </c>
      <c r="CV189" s="13">
        <f t="shared" si="173"/>
        <v>39.977795753356993</v>
      </c>
      <c r="CW189" s="20">
        <f t="shared" si="174"/>
        <v>341.62686427043013</v>
      </c>
      <c r="CX189" s="59">
        <f t="shared" si="122"/>
        <v>634.96019760376339</v>
      </c>
      <c r="CY189" s="59">
        <f ca="1">AVERAGE(OFFSET($CX$3,0,0,'Données projet'!$E$13+1,1))-AVERAGE(OFFSET($H$3,0,0,'Données projet'!$E$13+1,1))</f>
        <v>141.13780344922503</v>
      </c>
      <c r="CZ189" s="59">
        <f t="shared" si="150"/>
        <v>144.12010599544237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3.0713174633322398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3.0713174633322398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148.39628895278571</v>
      </c>
      <c r="AO190" s="59">
        <f t="shared" si="144"/>
        <v>361.07991692964788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1.7563795144093199</v>
      </c>
      <c r="AW190" s="21">
        <f>EXP(-LN(2)/2)*AW189+(1-EXP(-LN(2)/2))/(LN(2)/2)*AQ190*AT190*VLOOKUP('Données projet'!$B$10,Paramètres!$A$1:$I$89,3,0)*0.475*44/12</f>
        <v>1.0519401215300867E-25</v>
      </c>
      <c r="AX190" s="21">
        <f t="shared" si="166"/>
        <v>1.7563795144093199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21.709999999999326</v>
      </c>
      <c r="BE190" s="13">
        <f>BD190*VLOOKUP('Données projet'!$B$11,Paramètres!$A$1:$I$89,3,0)*VLOOKUP('Données projet'!$B$11,Paramètres!$A$1:$I$89,5,0)</f>
        <v>19.64320799999939</v>
      </c>
      <c r="BF190" s="13">
        <f t="shared" si="167"/>
        <v>6.4008043874806155</v>
      </c>
      <c r="BG190" s="20">
        <f t="shared" si="168"/>
        <v>45.359988241527674</v>
      </c>
      <c r="BH190" s="59">
        <f t="shared" si="116"/>
        <v>338.69332157486099</v>
      </c>
      <c r="BI190" s="59">
        <f ca="1">AVERAGE(OFFSET($BH$3,0,0,'Données projet'!$E$11+1,1))-AVERAGE(OFFSET($H$3,0,0,'Données projet'!$E$11+1,1))</f>
        <v>465.85201723964195</v>
      </c>
      <c r="BJ190" s="59">
        <f t="shared" si="146"/>
        <v>110.67325286443491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288.26434701071395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288.26434701071395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212.00000000000009</v>
      </c>
      <c r="BZ190" s="13">
        <f>BY190*VLOOKUP('Données projet'!$B$12,Paramètres!$A$1:$I$89,3,0)*VLOOKUP('Données projet'!$B$12,Paramètres!$A$1:$I$89,5,0)</f>
        <v>185.20320000000009</v>
      </c>
      <c r="CA190" s="13">
        <f t="shared" si="170"/>
        <v>46.477875402099386</v>
      </c>
      <c r="CB190" s="20">
        <f t="shared" si="171"/>
        <v>403.5112063253232</v>
      </c>
      <c r="CC190" s="59">
        <f t="shared" si="119"/>
        <v>696.84453965865646</v>
      </c>
      <c r="CD190" s="59">
        <f ca="1">AVERAGE(OFFSET($CC$3,0,0,'Données projet'!$E$12+1,1))-AVERAGE(OFFSET($H$3,0,0,'Données projet'!$E$12+1,1))</f>
        <v>201.70120933876507</v>
      </c>
      <c r="CE190" s="59">
        <f t="shared" si="148"/>
        <v>188.1234063307752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7.8184971271048012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7.8184971271048012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213.00000000000003</v>
      </c>
      <c r="CU190" s="17">
        <f>CT190*VLOOKUP('Données projet'!$B$13,Paramètres!$A$1:$I$89,3,0)*VLOOKUP('Données projet'!$B$13,Paramètres!$A$1:$I$89,5,0)</f>
        <v>156.17160000000004</v>
      </c>
      <c r="CV190" s="13">
        <f t="shared" si="173"/>
        <v>39.977795753356993</v>
      </c>
      <c r="CW190" s="20">
        <f t="shared" si="174"/>
        <v>341.62686427043013</v>
      </c>
      <c r="CX190" s="59">
        <f t="shared" si="122"/>
        <v>634.96019760376339</v>
      </c>
      <c r="CY190" s="59">
        <f ca="1">AVERAGE(OFFSET($CX$3,0,0,'Données projet'!$E$13+1,1))-AVERAGE(OFFSET($H$3,0,0,'Données projet'!$E$13+1,1))</f>
        <v>141.13780344922503</v>
      </c>
      <c r="CZ190" s="59">
        <f t="shared" si="150"/>
        <v>144.12010599544237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3.0110908011949724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3.0110908011949724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148.39628895278571</v>
      </c>
      <c r="AO191" s="59">
        <f t="shared" si="144"/>
        <v>361.07991692964788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1.7083512242238126</v>
      </c>
      <c r="AW191" s="21">
        <f>EXP(-LN(2)/2)*AW190+(1-EXP(-LN(2)/2))/(LN(2)/2)*AQ191*AT191*VLOOKUP('Données projet'!$B$10,Paramètres!$A$1:$I$89,3,0)*0.475*44/12</f>
        <v>7.4383399333612527E-26</v>
      </c>
      <c r="AX191" s="21">
        <f t="shared" si="166"/>
        <v>1.7083512242238126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21.709999999999326</v>
      </c>
      <c r="BE191" s="13">
        <f>BD191*VLOOKUP('Données projet'!$B$11,Paramètres!$A$1:$I$89,3,0)*VLOOKUP('Données projet'!$B$11,Paramètres!$A$1:$I$89,5,0)</f>
        <v>19.64320799999939</v>
      </c>
      <c r="BF191" s="13">
        <f t="shared" si="167"/>
        <v>6.4008043874806155</v>
      </c>
      <c r="BG191" s="20">
        <f t="shared" si="168"/>
        <v>45.359988241527674</v>
      </c>
      <c r="BH191" s="59">
        <f t="shared" si="116"/>
        <v>338.69332157486099</v>
      </c>
      <c r="BI191" s="59">
        <f ca="1">AVERAGE(OFFSET($BH$3,0,0,'Données projet'!$E$11+1,1))-AVERAGE(OFFSET($H$3,0,0,'Données projet'!$E$11+1,1))</f>
        <v>465.85201723964195</v>
      </c>
      <c r="BJ191" s="59">
        <f t="shared" si="146"/>
        <v>110.67325286443491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282.61165898972433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282.61165898972433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212.00000000000009</v>
      </c>
      <c r="BZ191" s="13">
        <f>BY191*VLOOKUP('Données projet'!$B$12,Paramètres!$A$1:$I$89,3,0)*VLOOKUP('Données projet'!$B$12,Paramètres!$A$1:$I$89,5,0)</f>
        <v>185.20320000000009</v>
      </c>
      <c r="CA191" s="13">
        <f t="shared" si="170"/>
        <v>46.477875402099386</v>
      </c>
      <c r="CB191" s="20">
        <f t="shared" si="171"/>
        <v>403.5112063253232</v>
      </c>
      <c r="CC191" s="59">
        <f t="shared" si="119"/>
        <v>696.84453965865646</v>
      </c>
      <c r="CD191" s="59">
        <f ca="1">AVERAGE(OFFSET($CC$3,0,0,'Données projet'!$E$12+1,1))-AVERAGE(OFFSET($H$3,0,0,'Données projet'!$E$12+1,1))</f>
        <v>201.70120933876507</v>
      </c>
      <c r="CE191" s="59">
        <f t="shared" si="148"/>
        <v>188.1234063307752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7.6651811672546426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7.6651811672546426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213.00000000000003</v>
      </c>
      <c r="CU191" s="17">
        <f>CT191*VLOOKUP('Données projet'!$B$13,Paramètres!$A$1:$I$89,3,0)*VLOOKUP('Données projet'!$B$13,Paramètres!$A$1:$I$89,5,0)</f>
        <v>156.17160000000004</v>
      </c>
      <c r="CV191" s="13">
        <f t="shared" si="173"/>
        <v>39.977795753356993</v>
      </c>
      <c r="CW191" s="20">
        <f t="shared" si="174"/>
        <v>341.62686427043013</v>
      </c>
      <c r="CX191" s="59">
        <f t="shared" si="122"/>
        <v>634.96019760376339</v>
      </c>
      <c r="CY191" s="59">
        <f ca="1">AVERAGE(OFFSET($CX$3,0,0,'Données projet'!$E$13+1,1))-AVERAGE(OFFSET($H$3,0,0,'Données projet'!$E$13+1,1))</f>
        <v>141.13780344922503</v>
      </c>
      <c r="CZ191" s="59">
        <f t="shared" si="150"/>
        <v>144.12010599544237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2.9520451471675799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2.9520451471675799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148.39628895278571</v>
      </c>
      <c r="AO192" s="59">
        <f t="shared" si="144"/>
        <v>361.07991692964788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1.6616362701591261</v>
      </c>
      <c r="AW192" s="21">
        <f>EXP(-LN(2)/2)*AW191+(1-EXP(-LN(2)/2))/(LN(2)/2)*AQ192*AT192*VLOOKUP('Données projet'!$B$10,Paramètres!$A$1:$I$89,3,0)*0.475*44/12</f>
        <v>5.2597006076504337E-26</v>
      </c>
      <c r="AX192" s="21">
        <f t="shared" si="166"/>
        <v>1.6616362701591261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21.709999999999326</v>
      </c>
      <c r="BE192" s="13">
        <f>BD192*VLOOKUP('Données projet'!$B$11,Paramètres!$A$1:$I$89,3,0)*VLOOKUP('Données projet'!$B$11,Paramètres!$A$1:$I$89,5,0)</f>
        <v>19.64320799999939</v>
      </c>
      <c r="BF192" s="13">
        <f t="shared" si="167"/>
        <v>6.4008043874806155</v>
      </c>
      <c r="BG192" s="20">
        <f t="shared" si="168"/>
        <v>45.359988241527674</v>
      </c>
      <c r="BH192" s="59">
        <f t="shared" si="116"/>
        <v>338.69332157486099</v>
      </c>
      <c r="BI192" s="59">
        <f ca="1">AVERAGE(OFFSET($BH$3,0,0,'Données projet'!$E$11+1,1))-AVERAGE(OFFSET($H$3,0,0,'Données projet'!$E$11+1,1))</f>
        <v>465.85201723964195</v>
      </c>
      <c r="BJ192" s="59">
        <f t="shared" si="146"/>
        <v>110.67325286443491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277.0698167330271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277.0698167330271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212.00000000000009</v>
      </c>
      <c r="BZ192" s="13">
        <f>BY192*VLOOKUP('Données projet'!$B$12,Paramètres!$A$1:$I$89,3,0)*VLOOKUP('Données projet'!$B$12,Paramètres!$A$1:$I$89,5,0)</f>
        <v>185.20320000000009</v>
      </c>
      <c r="CA192" s="13">
        <f t="shared" si="170"/>
        <v>46.477875402099386</v>
      </c>
      <c r="CB192" s="20">
        <f t="shared" si="171"/>
        <v>403.5112063253232</v>
      </c>
      <c r="CC192" s="59">
        <f t="shared" si="119"/>
        <v>696.84453965865646</v>
      </c>
      <c r="CD192" s="59">
        <f ca="1">AVERAGE(OFFSET($CC$3,0,0,'Données projet'!$E$12+1,1))-AVERAGE(OFFSET($H$3,0,0,'Données projet'!$E$12+1,1))</f>
        <v>201.70120933876507</v>
      </c>
      <c r="CE192" s="59">
        <f t="shared" si="148"/>
        <v>188.1234063307752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7.5148716398636433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7.5148716398636433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213.00000000000003</v>
      </c>
      <c r="CU192" s="17">
        <f>CT192*VLOOKUP('Données projet'!$B$13,Paramètres!$A$1:$I$89,3,0)*VLOOKUP('Données projet'!$B$13,Paramètres!$A$1:$I$89,5,0)</f>
        <v>156.17160000000004</v>
      </c>
      <c r="CV192" s="13">
        <f t="shared" si="173"/>
        <v>39.977795753356993</v>
      </c>
      <c r="CW192" s="20">
        <f t="shared" si="174"/>
        <v>341.62686427043013</v>
      </c>
      <c r="CX192" s="59">
        <f t="shared" si="122"/>
        <v>634.96019760376339</v>
      </c>
      <c r="CY192" s="59">
        <f ca="1">AVERAGE(OFFSET($CX$3,0,0,'Données projet'!$E$13+1,1))-AVERAGE(OFFSET($H$3,0,0,'Données projet'!$E$13+1,1))</f>
        <v>141.13780344922503</v>
      </c>
      <c r="CZ192" s="59">
        <f t="shared" si="150"/>
        <v>144.12010599544237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2.894157342401372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2.894157342401372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148.39628895278571</v>
      </c>
      <c r="AO193" s="59">
        <f t="shared" si="144"/>
        <v>361.07991692964788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1.616198738969971</v>
      </c>
      <c r="AW193" s="21">
        <f>EXP(-LN(2)/2)*AW192+(1-EXP(-LN(2)/2))/(LN(2)/2)*AQ193*AT193*VLOOKUP('Données projet'!$B$10,Paramètres!$A$1:$I$89,3,0)*0.475*44/12</f>
        <v>3.7191699666806263E-26</v>
      </c>
      <c r="AX193" s="21">
        <f t="shared" si="166"/>
        <v>1.616198738969971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21.709999999999326</v>
      </c>
      <c r="BE193" s="13">
        <f>BD193*VLOOKUP('Données projet'!$B$11,Paramètres!$A$1:$I$89,3,0)*VLOOKUP('Données projet'!$B$11,Paramètres!$A$1:$I$89,5,0)</f>
        <v>19.64320799999939</v>
      </c>
      <c r="BF193" s="13">
        <f t="shared" si="167"/>
        <v>6.4008043874806155</v>
      </c>
      <c r="BG193" s="20">
        <f t="shared" si="168"/>
        <v>45.359988241527674</v>
      </c>
      <c r="BH193" s="59">
        <f t="shared" si="116"/>
        <v>338.69332157486099</v>
      </c>
      <c r="BI193" s="59">
        <f ca="1">AVERAGE(OFFSET($BH$3,0,0,'Données projet'!$E$11+1,1))-AVERAGE(OFFSET($H$3,0,0,'Données projet'!$E$11+1,1))</f>
        <v>465.85201723964195</v>
      </c>
      <c r="BJ193" s="59">
        <f t="shared" si="146"/>
        <v>110.67325286443491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271.63664662279371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271.63664662279371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212.00000000000009</v>
      </c>
      <c r="BZ193" s="13">
        <f>BY193*VLOOKUP('Données projet'!$B$12,Paramètres!$A$1:$I$89,3,0)*VLOOKUP('Données projet'!$B$12,Paramètres!$A$1:$I$89,5,0)</f>
        <v>185.20320000000009</v>
      </c>
      <c r="CA193" s="13">
        <f t="shared" si="170"/>
        <v>46.477875402099386</v>
      </c>
      <c r="CB193" s="20">
        <f t="shared" si="171"/>
        <v>403.5112063253232</v>
      </c>
      <c r="CC193" s="59">
        <f t="shared" si="119"/>
        <v>696.84453965865646</v>
      </c>
      <c r="CD193" s="59">
        <f ca="1">AVERAGE(OFFSET($CC$3,0,0,'Données projet'!$E$12+1,1))-AVERAGE(OFFSET($H$3,0,0,'Données projet'!$E$12+1,1))</f>
        <v>201.70120933876507</v>
      </c>
      <c r="CE193" s="59">
        <f t="shared" si="148"/>
        <v>188.1234063307752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7.3675095906250228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7.3675095906250228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213.00000000000003</v>
      </c>
      <c r="CU193" s="17">
        <f>CT193*VLOOKUP('Données projet'!$B$13,Paramètres!$A$1:$I$89,3,0)*VLOOKUP('Données projet'!$B$13,Paramètres!$A$1:$I$89,5,0)</f>
        <v>156.17160000000004</v>
      </c>
      <c r="CV193" s="13">
        <f t="shared" si="173"/>
        <v>39.977795753356993</v>
      </c>
      <c r="CW193" s="20">
        <f t="shared" si="174"/>
        <v>341.62686427043013</v>
      </c>
      <c r="CX193" s="59">
        <f t="shared" si="122"/>
        <v>634.96019760376339</v>
      </c>
      <c r="CY193" s="59">
        <f ca="1">AVERAGE(OFFSET($CX$3,0,0,'Données projet'!$E$13+1,1))-AVERAGE(OFFSET($H$3,0,0,'Données projet'!$E$13+1,1))</f>
        <v>141.13780344922503</v>
      </c>
      <c r="CZ193" s="59">
        <f t="shared" si="150"/>
        <v>144.12010599544237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2.8374046821785548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2.8374046821785548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148.39628895278571</v>
      </c>
      <c r="AO194" s="59">
        <f t="shared" si="144"/>
        <v>361.07991692964788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1.5720036994606394</v>
      </c>
      <c r="AW194" s="21">
        <f>EXP(-LN(2)/2)*AW193+(1-EXP(-LN(2)/2))/(LN(2)/2)*AQ194*AT194*VLOOKUP('Données projet'!$B$10,Paramètres!$A$1:$I$89,3,0)*0.475*44/12</f>
        <v>2.6298503038252169E-26</v>
      </c>
      <c r="AX194" s="21">
        <f t="shared" si="166"/>
        <v>1.5720036994606394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21.709999999999326</v>
      </c>
      <c r="BE194" s="13">
        <f>BD194*VLOOKUP('Données projet'!$B$11,Paramètres!$A$1:$I$89,3,0)*VLOOKUP('Données projet'!$B$11,Paramètres!$A$1:$I$89,5,0)</f>
        <v>19.64320799999939</v>
      </c>
      <c r="BF194" s="13">
        <f t="shared" si="167"/>
        <v>6.4008043874806155</v>
      </c>
      <c r="BG194" s="20">
        <f t="shared" si="168"/>
        <v>45.359988241527674</v>
      </c>
      <c r="BH194" s="59">
        <f t="shared" si="116"/>
        <v>338.69332157486099</v>
      </c>
      <c r="BI194" s="59">
        <f ca="1">AVERAGE(OFFSET($BH$3,0,0,'Données projet'!$E$11+1,1))-AVERAGE(OFFSET($H$3,0,0,'Données projet'!$E$11+1,1))</f>
        <v>465.85201723964195</v>
      </c>
      <c r="BJ194" s="59">
        <f t="shared" si="146"/>
        <v>110.67325286443491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266.31001766451544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266.31001766451544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212.00000000000009</v>
      </c>
      <c r="BZ194" s="13">
        <f>BY194*VLOOKUP('Données projet'!$B$12,Paramètres!$A$1:$I$89,3,0)*VLOOKUP('Données projet'!$B$12,Paramètres!$A$1:$I$89,5,0)</f>
        <v>185.20320000000009</v>
      </c>
      <c r="CA194" s="13">
        <f t="shared" si="170"/>
        <v>46.477875402099386</v>
      </c>
      <c r="CB194" s="20">
        <f t="shared" si="171"/>
        <v>403.5112063253232</v>
      </c>
      <c r="CC194" s="59">
        <f t="shared" si="119"/>
        <v>696.84453965865646</v>
      </c>
      <c r="CD194" s="59">
        <f ca="1">AVERAGE(OFFSET($CC$3,0,0,'Données projet'!$E$12+1,1))-AVERAGE(OFFSET($H$3,0,0,'Données projet'!$E$12+1,1))</f>
        <v>201.70120933876507</v>
      </c>
      <c r="CE194" s="59">
        <f t="shared" si="148"/>
        <v>188.1234063307752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7.2230372212899967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7.2230372212899967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213.00000000000003</v>
      </c>
      <c r="CU194" s="17">
        <f>CT194*VLOOKUP('Données projet'!$B$13,Paramètres!$A$1:$I$89,3,0)*VLOOKUP('Données projet'!$B$13,Paramètres!$A$1:$I$89,5,0)</f>
        <v>156.17160000000004</v>
      </c>
      <c r="CV194" s="13">
        <f t="shared" si="173"/>
        <v>39.977795753356993</v>
      </c>
      <c r="CW194" s="20">
        <f t="shared" si="174"/>
        <v>341.62686427043013</v>
      </c>
      <c r="CX194" s="59">
        <f t="shared" si="122"/>
        <v>634.96019760376339</v>
      </c>
      <c r="CY194" s="59">
        <f ca="1">AVERAGE(OFFSET($CX$3,0,0,'Données projet'!$E$13+1,1))-AVERAGE(OFFSET($H$3,0,0,'Données projet'!$E$13+1,1))</f>
        <v>141.13780344922503</v>
      </c>
      <c r="CZ194" s="59">
        <f t="shared" si="150"/>
        <v>144.12010599544237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2.7817649070070023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2.7817649070070023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148.39628895278571</v>
      </c>
      <c r="AO195" s="59">
        <f t="shared" si="144"/>
        <v>361.07991692964788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1.5290171756308066</v>
      </c>
      <c r="AW195" s="21">
        <f>EXP(-LN(2)/2)*AW194+(1-EXP(-LN(2)/2))/(LN(2)/2)*AQ195*AT195*VLOOKUP('Données projet'!$B$10,Paramètres!$A$1:$I$89,3,0)*0.475*44/12</f>
        <v>1.8595849833403132E-26</v>
      </c>
      <c r="AX195" s="21">
        <f t="shared" si="166"/>
        <v>1.5290171756308066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21.709999999999326</v>
      </c>
      <c r="BE195" s="13">
        <f>BD195*VLOOKUP('Données projet'!$B$11,Paramètres!$A$1:$I$89,3,0)*VLOOKUP('Données projet'!$B$11,Paramètres!$A$1:$I$89,5,0)</f>
        <v>19.64320799999939</v>
      </c>
      <c r="BF195" s="13">
        <f t="shared" si="167"/>
        <v>6.4008043874806155</v>
      </c>
      <c r="BG195" s="20">
        <f t="shared" si="168"/>
        <v>45.359988241527674</v>
      </c>
      <c r="BH195" s="59">
        <f t="shared" si="116"/>
        <v>338.69332157486099</v>
      </c>
      <c r="BI195" s="59">
        <f ca="1">AVERAGE(OFFSET($BH$3,0,0,'Données projet'!$E$11+1,1))-AVERAGE(OFFSET($H$3,0,0,'Données projet'!$E$11+1,1))</f>
        <v>465.85201723964195</v>
      </c>
      <c r="BJ195" s="59">
        <f t="shared" si="146"/>
        <v>110.67325286443491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261.08784065118613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261.08784065118613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212.00000000000009</v>
      </c>
      <c r="BZ195" s="13">
        <f>BY195*VLOOKUP('Données projet'!$B$12,Paramètres!$A$1:$I$89,3,0)*VLOOKUP('Données projet'!$B$12,Paramètres!$A$1:$I$89,5,0)</f>
        <v>185.20320000000009</v>
      </c>
      <c r="CA195" s="13">
        <f t="shared" si="170"/>
        <v>46.477875402099386</v>
      </c>
      <c r="CB195" s="20">
        <f t="shared" si="171"/>
        <v>403.5112063253232</v>
      </c>
      <c r="CC195" s="59">
        <f t="shared" si="119"/>
        <v>696.84453965865646</v>
      </c>
      <c r="CD195" s="59">
        <f ca="1">AVERAGE(OFFSET($CC$3,0,0,'Données projet'!$E$12+1,1))-AVERAGE(OFFSET($H$3,0,0,'Données projet'!$E$12+1,1))</f>
        <v>201.70120933876507</v>
      </c>
      <c r="CE195" s="59">
        <f t="shared" si="148"/>
        <v>188.1234063307752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7.0813978669981861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7.0813978669981861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213.00000000000003</v>
      </c>
      <c r="CU195" s="17">
        <f>CT195*VLOOKUP('Données projet'!$B$13,Paramètres!$A$1:$I$89,3,0)*VLOOKUP('Données projet'!$B$13,Paramètres!$A$1:$I$89,5,0)</f>
        <v>156.17160000000004</v>
      </c>
      <c r="CV195" s="13">
        <f t="shared" si="173"/>
        <v>39.977795753356993</v>
      </c>
      <c r="CW195" s="20">
        <f t="shared" si="174"/>
        <v>341.62686427043013</v>
      </c>
      <c r="CX195" s="59">
        <f t="shared" si="122"/>
        <v>634.96019760376339</v>
      </c>
      <c r="CY195" s="59">
        <f ca="1">AVERAGE(OFFSET($CX$3,0,0,'Données projet'!$E$13+1,1))-AVERAGE(OFFSET($H$3,0,0,'Données projet'!$E$13+1,1))</f>
        <v>141.13780344922503</v>
      </c>
      <c r="CZ195" s="59">
        <f t="shared" si="150"/>
        <v>144.12010599544237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2.7272161938896522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2.7272161938896522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148.39628895278571</v>
      </c>
      <c r="AO196" s="59">
        <f t="shared" si="144"/>
        <v>361.07991692964788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1.4872061205556635</v>
      </c>
      <c r="AW196" s="21">
        <f>EXP(-LN(2)/2)*AW195+(1-EXP(-LN(2)/2))/(LN(2)/2)*AQ196*AT196*VLOOKUP('Données projet'!$B$10,Paramètres!$A$1:$I$89,3,0)*0.475*44/12</f>
        <v>1.3149251519126084E-26</v>
      </c>
      <c r="AX196" s="21">
        <f t="shared" si="166"/>
        <v>1.4872061205556635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21.709999999999326</v>
      </c>
      <c r="BE196" s="13">
        <f>BD196*VLOOKUP('Données projet'!$B$11,Paramètres!$A$1:$I$89,3,0)*VLOOKUP('Données projet'!$B$11,Paramètres!$A$1:$I$89,5,0)</f>
        <v>19.64320799999939</v>
      </c>
      <c r="BF196" s="13">
        <f t="shared" si="167"/>
        <v>6.4008043874806155</v>
      </c>
      <c r="BG196" s="20">
        <f t="shared" si="168"/>
        <v>45.359988241527674</v>
      </c>
      <c r="BH196" s="59">
        <f t="shared" ref="BH196:BH203" si="194">BG196+(AY196+AZ196)*44/12</f>
        <v>338.69332157486099</v>
      </c>
      <c r="BI196" s="59">
        <f ca="1">AVERAGE(OFFSET($BH$3,0,0,'Données projet'!$E$11+1,1))-AVERAGE(OFFSET($H$3,0,0,'Données projet'!$E$11+1,1))</f>
        <v>465.85201723964195</v>
      </c>
      <c r="BJ196" s="59">
        <f t="shared" si="146"/>
        <v>110.67325286443491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255.96806734387474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255.96806734387474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212.00000000000009</v>
      </c>
      <c r="BZ196" s="13">
        <f>BY196*VLOOKUP('Données projet'!$B$12,Paramètres!$A$1:$I$89,3,0)*VLOOKUP('Données projet'!$B$12,Paramètres!$A$1:$I$89,5,0)</f>
        <v>185.20320000000009</v>
      </c>
      <c r="CA196" s="13">
        <f t="shared" si="170"/>
        <v>46.477875402099386</v>
      </c>
      <c r="CB196" s="20">
        <f t="shared" si="171"/>
        <v>403.5112063253232</v>
      </c>
      <c r="CC196" s="59">
        <f t="shared" ref="CC196:CC203" si="195">CB196+(BT196+BU196)*44/12</f>
        <v>696.84453965865646</v>
      </c>
      <c r="CD196" s="59">
        <f ca="1">AVERAGE(OFFSET($CC$3,0,0,'Données projet'!$E$12+1,1))-AVERAGE(OFFSET($H$3,0,0,'Données projet'!$E$12+1,1))</f>
        <v>201.70120933876507</v>
      </c>
      <c r="CE196" s="59">
        <f t="shared" si="148"/>
        <v>188.1234063307752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6.9425359740525625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6.9425359740525625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213.00000000000003</v>
      </c>
      <c r="CU196" s="17">
        <f>CT196*VLOOKUP('Données projet'!$B$13,Paramètres!$A$1:$I$89,3,0)*VLOOKUP('Données projet'!$B$13,Paramètres!$A$1:$I$89,5,0)</f>
        <v>156.17160000000004</v>
      </c>
      <c r="CV196" s="13">
        <f t="shared" si="173"/>
        <v>39.977795753356993</v>
      </c>
      <c r="CW196" s="20">
        <f t="shared" si="174"/>
        <v>341.62686427043013</v>
      </c>
      <c r="CX196" s="59">
        <f t="shared" ref="CX196:CX203" si="196">CW196+(CO196+CP196)*44/12</f>
        <v>634.96019760376339</v>
      </c>
      <c r="CY196" s="59">
        <f ca="1">AVERAGE(OFFSET($CX$3,0,0,'Données projet'!$E$13+1,1))-AVERAGE(OFFSET($H$3,0,0,'Données projet'!$E$13+1,1))</f>
        <v>141.13780344922503</v>
      </c>
      <c r="CZ196" s="59">
        <f t="shared" si="150"/>
        <v>144.12010599544237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2.6737371477651037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2.6737371477651037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148.39628895278571</v>
      </c>
      <c r="AO197" s="59">
        <f t="shared" ref="AO197:AO203" si="205">$AO$3</f>
        <v>361.07991692964788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1.446538390980298</v>
      </c>
      <c r="AW197" s="21">
        <f>EXP(-LN(2)/2)*AW196+(1-EXP(-LN(2)/2))/(LN(2)/2)*AQ197*AT197*VLOOKUP('Données projet'!$B$10,Paramètres!$A$1:$I$89,3,0)*0.475*44/12</f>
        <v>9.2979249167015658E-27</v>
      </c>
      <c r="AX197" s="21">
        <f t="shared" si="166"/>
        <v>1.446538390980298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21.709999999999326</v>
      </c>
      <c r="BE197" s="13">
        <f>BD197*VLOOKUP('Données projet'!$B$11,Paramètres!$A$1:$I$89,3,0)*VLOOKUP('Données projet'!$B$11,Paramètres!$A$1:$I$89,5,0)</f>
        <v>19.64320799999939</v>
      </c>
      <c r="BF197" s="13">
        <f t="shared" si="167"/>
        <v>6.4008043874806155</v>
      </c>
      <c r="BG197" s="20">
        <f t="shared" si="168"/>
        <v>45.359988241527674</v>
      </c>
      <c r="BH197" s="59">
        <f t="shared" si="194"/>
        <v>338.69332157486099</v>
      </c>
      <c r="BI197" s="59">
        <f ca="1">AVERAGE(OFFSET($BH$3,0,0,'Données projet'!$E$11+1,1))-AVERAGE(OFFSET($H$3,0,0,'Données projet'!$E$11+1,1))</f>
        <v>465.85201723964195</v>
      </c>
      <c r="BJ197" s="59">
        <f t="shared" ref="BJ197:BJ203" si="206">$BJ$3</f>
        <v>110.67325286443491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250.94868966836637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250.94868966836637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212.00000000000009</v>
      </c>
      <c r="BZ197" s="13">
        <f>BY197*VLOOKUP('Données projet'!$B$12,Paramètres!$A$1:$I$89,3,0)*VLOOKUP('Données projet'!$B$12,Paramètres!$A$1:$I$89,5,0)</f>
        <v>185.20320000000009</v>
      </c>
      <c r="CA197" s="13">
        <f t="shared" si="170"/>
        <v>46.477875402099386</v>
      </c>
      <c r="CB197" s="20">
        <f t="shared" si="171"/>
        <v>403.5112063253232</v>
      </c>
      <c r="CC197" s="59">
        <f t="shared" si="195"/>
        <v>696.84453965865646</v>
      </c>
      <c r="CD197" s="59">
        <f ca="1">AVERAGE(OFFSET($CC$3,0,0,'Données projet'!$E$12+1,1))-AVERAGE(OFFSET($H$3,0,0,'Données projet'!$E$12+1,1))</f>
        <v>201.70120933876507</v>
      </c>
      <c r="CE197" s="59">
        <f t="shared" ref="CE197:CE203" si="207">$CE$3</f>
        <v>188.1234063307752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6.8063970781302112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6.8063970781302112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213.00000000000003</v>
      </c>
      <c r="CU197" s="17">
        <f>CT197*VLOOKUP('Données projet'!$B$13,Paramètres!$A$1:$I$89,3,0)*VLOOKUP('Données projet'!$B$13,Paramètres!$A$1:$I$89,5,0)</f>
        <v>156.17160000000004</v>
      </c>
      <c r="CV197" s="13">
        <f t="shared" si="173"/>
        <v>39.977795753356993</v>
      </c>
      <c r="CW197" s="20">
        <f t="shared" si="174"/>
        <v>341.62686427043013</v>
      </c>
      <c r="CX197" s="59">
        <f t="shared" si="196"/>
        <v>634.96019760376339</v>
      </c>
      <c r="CY197" s="59">
        <f ca="1">AVERAGE(OFFSET($CX$3,0,0,'Données projet'!$E$13+1,1))-AVERAGE(OFFSET($H$3,0,0,'Données projet'!$E$13+1,1))</f>
        <v>141.13780344922503</v>
      </c>
      <c r="CZ197" s="59">
        <f t="shared" ref="CZ197:CZ203" si="208">$CZ$3</f>
        <v>144.12010599544237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2.6213067931160601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2.6213067931160601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148.39628895278571</v>
      </c>
      <c r="AO198" s="59">
        <f t="shared" si="205"/>
        <v>361.07991692964788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1.4069827226087939</v>
      </c>
      <c r="AW198" s="21">
        <f>EXP(-LN(2)/2)*AW197+(1-EXP(-LN(2)/2))/(LN(2)/2)*AQ198*AT198*VLOOKUP('Données projet'!$B$10,Paramètres!$A$1:$I$89,3,0)*0.475*44/12</f>
        <v>6.5746257595630422E-27</v>
      </c>
      <c r="AX198" s="21">
        <f t="shared" si="166"/>
        <v>1.4069827226087939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21.709999999999326</v>
      </c>
      <c r="BE198" s="13">
        <f>BD198*VLOOKUP('Données projet'!$B$11,Paramètres!$A$1:$I$89,3,0)*VLOOKUP('Données projet'!$B$11,Paramètres!$A$1:$I$89,5,0)</f>
        <v>19.64320799999939</v>
      </c>
      <c r="BF198" s="13">
        <f t="shared" si="167"/>
        <v>6.4008043874806155</v>
      </c>
      <c r="BG198" s="20">
        <f t="shared" si="168"/>
        <v>45.359988241527674</v>
      </c>
      <c r="BH198" s="59">
        <f t="shared" si="194"/>
        <v>338.69332157486099</v>
      </c>
      <c r="BI198" s="59">
        <f ca="1">AVERAGE(OFFSET($BH$3,0,0,'Données projet'!$E$11+1,1))-AVERAGE(OFFSET($H$3,0,0,'Données projet'!$E$11+1,1))</f>
        <v>465.85201723964195</v>
      </c>
      <c r="BJ198" s="59">
        <f t="shared" si="206"/>
        <v>110.67325286443491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246.02773892755664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246.02773892755664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212.00000000000009</v>
      </c>
      <c r="BZ198" s="13">
        <f>BY198*VLOOKUP('Données projet'!$B$12,Paramètres!$A$1:$I$89,3,0)*VLOOKUP('Données projet'!$B$12,Paramètres!$A$1:$I$89,5,0)</f>
        <v>185.20320000000009</v>
      </c>
      <c r="CA198" s="13">
        <f t="shared" si="170"/>
        <v>46.477875402099386</v>
      </c>
      <c r="CB198" s="20">
        <f t="shared" si="171"/>
        <v>403.5112063253232</v>
      </c>
      <c r="CC198" s="59">
        <f t="shared" si="195"/>
        <v>696.84453965865646</v>
      </c>
      <c r="CD198" s="59">
        <f ca="1">AVERAGE(OFFSET($CC$3,0,0,'Données projet'!$E$12+1,1))-AVERAGE(OFFSET($H$3,0,0,'Données projet'!$E$12+1,1))</f>
        <v>201.70120933876507</v>
      </c>
      <c r="CE198" s="59">
        <f t="shared" si="207"/>
        <v>188.1234063307752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6.6729277829203699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6.6729277829203699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213.00000000000003</v>
      </c>
      <c r="CU198" s="17">
        <f>CT198*VLOOKUP('Données projet'!$B$13,Paramètres!$A$1:$I$89,3,0)*VLOOKUP('Données projet'!$B$13,Paramètres!$A$1:$I$89,5,0)</f>
        <v>156.17160000000004</v>
      </c>
      <c r="CV198" s="13">
        <f t="shared" si="173"/>
        <v>39.977795753356993</v>
      </c>
      <c r="CW198" s="20">
        <f t="shared" si="174"/>
        <v>341.62686427043013</v>
      </c>
      <c r="CX198" s="59">
        <f t="shared" si="196"/>
        <v>634.96019760376339</v>
      </c>
      <c r="CY198" s="59">
        <f ca="1">AVERAGE(OFFSET($CX$3,0,0,'Données projet'!$E$13+1,1))-AVERAGE(OFFSET($H$3,0,0,'Données projet'!$E$13+1,1))</f>
        <v>141.13780344922503</v>
      </c>
      <c r="CZ198" s="59">
        <f t="shared" si="208"/>
        <v>144.12010599544237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2.5699045657423256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2.5699045657423256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148.39628895278571</v>
      </c>
      <c r="AO199" s="59">
        <f t="shared" si="205"/>
        <v>361.07991692964788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1.3685087060690506</v>
      </c>
      <c r="AW199" s="21">
        <f>EXP(-LN(2)/2)*AW198+(1-EXP(-LN(2)/2))/(LN(2)/2)*AQ199*AT199*VLOOKUP('Données projet'!$B$10,Paramètres!$A$1:$I$89,3,0)*0.475*44/12</f>
        <v>4.6489624583507829E-27</v>
      </c>
      <c r="AX199" s="21">
        <f t="shared" si="166"/>
        <v>1.3685087060690506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21.709999999999326</v>
      </c>
      <c r="BE199" s="13">
        <f>BD199*VLOOKUP('Données projet'!$B$11,Paramètres!$A$1:$I$89,3,0)*VLOOKUP('Données projet'!$B$11,Paramètres!$A$1:$I$89,5,0)</f>
        <v>19.64320799999939</v>
      </c>
      <c r="BF199" s="13">
        <f t="shared" si="167"/>
        <v>6.4008043874806155</v>
      </c>
      <c r="BG199" s="20">
        <f t="shared" si="168"/>
        <v>45.359988241527674</v>
      </c>
      <c r="BH199" s="59">
        <f t="shared" si="194"/>
        <v>338.69332157486099</v>
      </c>
      <c r="BI199" s="59">
        <f ca="1">AVERAGE(OFFSET($BH$3,0,0,'Données projet'!$E$11+1,1))-AVERAGE(OFFSET($H$3,0,0,'Données projet'!$E$11+1,1))</f>
        <v>465.85201723964195</v>
      </c>
      <c r="BJ199" s="59">
        <f t="shared" si="206"/>
        <v>110.67325286443491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241.20328502929061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241.20328502929061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212.00000000000009</v>
      </c>
      <c r="BZ199" s="13">
        <f>BY199*VLOOKUP('Données projet'!$B$12,Paramètres!$A$1:$I$89,3,0)*VLOOKUP('Données projet'!$B$12,Paramètres!$A$1:$I$89,5,0)</f>
        <v>185.20320000000009</v>
      </c>
      <c r="CA199" s="13">
        <f t="shared" si="170"/>
        <v>46.477875402099386</v>
      </c>
      <c r="CB199" s="20">
        <f t="shared" si="171"/>
        <v>403.5112063253232</v>
      </c>
      <c r="CC199" s="59">
        <f t="shared" si="195"/>
        <v>696.84453965865646</v>
      </c>
      <c r="CD199" s="59">
        <f ca="1">AVERAGE(OFFSET($CC$3,0,0,'Données projet'!$E$12+1,1))-AVERAGE(OFFSET($H$3,0,0,'Données projet'!$E$12+1,1))</f>
        <v>201.70120933876507</v>
      </c>
      <c r="CE199" s="59">
        <f t="shared" si="207"/>
        <v>188.1234063307752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6.542075739181362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6.542075739181362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213.00000000000003</v>
      </c>
      <c r="CU199" s="17">
        <f>CT199*VLOOKUP('Données projet'!$B$13,Paramètres!$A$1:$I$89,3,0)*VLOOKUP('Données projet'!$B$13,Paramètres!$A$1:$I$89,5,0)</f>
        <v>156.17160000000004</v>
      </c>
      <c r="CV199" s="13">
        <f t="shared" si="173"/>
        <v>39.977795753356993</v>
      </c>
      <c r="CW199" s="20">
        <f t="shared" si="174"/>
        <v>341.62686427043013</v>
      </c>
      <c r="CX199" s="59">
        <f t="shared" si="196"/>
        <v>634.96019760376339</v>
      </c>
      <c r="CY199" s="59">
        <f ca="1">AVERAGE(OFFSET($CX$3,0,0,'Données projet'!$E$13+1,1))-AVERAGE(OFFSET($H$3,0,0,'Données projet'!$E$13+1,1))</f>
        <v>141.13780344922503</v>
      </c>
      <c r="CZ199" s="59">
        <f t="shared" si="208"/>
        <v>144.12010599544237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2.5195103046951273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2.5195103046951273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148.39628895278571</v>
      </c>
      <c r="AO200" s="59">
        <f t="shared" si="205"/>
        <v>361.07991692964788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1.3310867635348473</v>
      </c>
      <c r="AW200" s="21">
        <f>EXP(-LN(2)/2)*AW199+(1-EXP(-LN(2)/2))/(LN(2)/2)*AQ200*AT200*VLOOKUP('Données projet'!$B$10,Paramètres!$A$1:$I$89,3,0)*0.475*44/12</f>
        <v>3.2873128797815211E-27</v>
      </c>
      <c r="AX200" s="21">
        <f t="shared" si="166"/>
        <v>1.3310867635348473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21.709999999999326</v>
      </c>
      <c r="BE200" s="13">
        <f>BD200*VLOOKUP('Données projet'!$B$11,Paramètres!$A$1:$I$89,3,0)*VLOOKUP('Données projet'!$B$11,Paramètres!$A$1:$I$89,5,0)</f>
        <v>19.64320799999939</v>
      </c>
      <c r="BF200" s="13">
        <f t="shared" si="167"/>
        <v>6.4008043874806155</v>
      </c>
      <c r="BG200" s="20">
        <f t="shared" si="168"/>
        <v>45.359988241527674</v>
      </c>
      <c r="BH200" s="59">
        <f t="shared" si="194"/>
        <v>338.69332157486099</v>
      </c>
      <c r="BI200" s="59">
        <f ca="1">AVERAGE(OFFSET($BH$3,0,0,'Données projet'!$E$11+1,1))-AVERAGE(OFFSET($H$3,0,0,'Données projet'!$E$11+1,1))</f>
        <v>465.85201723964195</v>
      </c>
      <c r="BJ200" s="59">
        <f t="shared" si="206"/>
        <v>110.67325286443491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236.47343572934324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236.47343572934324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212.00000000000009</v>
      </c>
      <c r="BZ200" s="13">
        <f>BY200*VLOOKUP('Données projet'!$B$12,Paramètres!$A$1:$I$89,3,0)*VLOOKUP('Données projet'!$B$12,Paramètres!$A$1:$I$89,5,0)</f>
        <v>185.20320000000009</v>
      </c>
      <c r="CA200" s="13">
        <f t="shared" si="170"/>
        <v>46.477875402099386</v>
      </c>
      <c r="CB200" s="20">
        <f t="shared" si="171"/>
        <v>403.5112063253232</v>
      </c>
      <c r="CC200" s="59">
        <f t="shared" si="195"/>
        <v>696.84453965865646</v>
      </c>
      <c r="CD200" s="59">
        <f ca="1">AVERAGE(OFFSET($CC$3,0,0,'Données projet'!$E$12+1,1))-AVERAGE(OFFSET($H$3,0,0,'Données projet'!$E$12+1,1))</f>
        <v>201.70120933876507</v>
      </c>
      <c r="CE200" s="59">
        <f t="shared" si="207"/>
        <v>188.1234063307752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6.41378962420821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6.41378962420821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213.00000000000003</v>
      </c>
      <c r="CU200" s="17">
        <f>CT200*VLOOKUP('Données projet'!$B$13,Paramètres!$A$1:$I$89,3,0)*VLOOKUP('Données projet'!$B$13,Paramètres!$A$1:$I$89,5,0)</f>
        <v>156.17160000000004</v>
      </c>
      <c r="CV200" s="13">
        <f t="shared" si="173"/>
        <v>39.977795753356993</v>
      </c>
      <c r="CW200" s="20">
        <f t="shared" si="174"/>
        <v>341.62686427043013</v>
      </c>
      <c r="CX200" s="59">
        <f t="shared" si="196"/>
        <v>634.96019760376339</v>
      </c>
      <c r="CY200" s="59">
        <f ca="1">AVERAGE(OFFSET($CX$3,0,0,'Données projet'!$E$13+1,1))-AVERAGE(OFFSET($H$3,0,0,'Données projet'!$E$13+1,1))</f>
        <v>141.13780344922503</v>
      </c>
      <c r="CZ200" s="59">
        <f t="shared" si="208"/>
        <v>144.12010599544237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2.4701042443696002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2.4701042443696002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148.39628895278571</v>
      </c>
      <c r="AO201" s="59">
        <f t="shared" si="205"/>
        <v>361.07991692964788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1.2946881259871763</v>
      </c>
      <c r="AW201" s="21">
        <f>EXP(-LN(2)/2)*AW200+(1-EXP(-LN(2)/2))/(LN(2)/2)*AQ201*AT201*VLOOKUP('Données projet'!$B$10,Paramètres!$A$1:$I$89,3,0)*0.475*44/12</f>
        <v>2.3244812291753915E-27</v>
      </c>
      <c r="AX201" s="21">
        <f t="shared" si="166"/>
        <v>1.2946881259871763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21.709999999999326</v>
      </c>
      <c r="BE201" s="13">
        <f>BD201*VLOOKUP('Données projet'!$B$11,Paramètres!$A$1:$I$89,3,0)*VLOOKUP('Données projet'!$B$11,Paramètres!$A$1:$I$89,5,0)</f>
        <v>19.64320799999939</v>
      </c>
      <c r="BF201" s="13">
        <f t="shared" si="167"/>
        <v>6.4008043874806155</v>
      </c>
      <c r="BG201" s="20">
        <f t="shared" si="168"/>
        <v>45.359988241527674</v>
      </c>
      <c r="BH201" s="59">
        <f t="shared" si="194"/>
        <v>338.69332157486099</v>
      </c>
      <c r="BI201" s="59">
        <f ca="1">AVERAGE(OFFSET($BH$3,0,0,'Données projet'!$E$11+1,1))-AVERAGE(OFFSET($H$3,0,0,'Données projet'!$E$11+1,1))</f>
        <v>465.85201723964195</v>
      </c>
      <c r="BJ201" s="59">
        <f t="shared" si="206"/>
        <v>110.67325286443491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231.83633588924462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231.83633588924462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212.00000000000009</v>
      </c>
      <c r="BZ201" s="13">
        <f>BY201*VLOOKUP('Données projet'!$B$12,Paramètres!$A$1:$I$89,3,0)*VLOOKUP('Données projet'!$B$12,Paramètres!$A$1:$I$89,5,0)</f>
        <v>185.20320000000009</v>
      </c>
      <c r="CA201" s="13">
        <f t="shared" si="170"/>
        <v>46.477875402099386</v>
      </c>
      <c r="CB201" s="20">
        <f t="shared" si="171"/>
        <v>403.5112063253232</v>
      </c>
      <c r="CC201" s="59">
        <f t="shared" si="195"/>
        <v>696.84453965865646</v>
      </c>
      <c r="CD201" s="59">
        <f ca="1">AVERAGE(OFFSET($CC$3,0,0,'Données projet'!$E$12+1,1))-AVERAGE(OFFSET($H$3,0,0,'Données projet'!$E$12+1,1))</f>
        <v>201.70120933876507</v>
      </c>
      <c r="CE201" s="59">
        <f t="shared" si="207"/>
        <v>188.1234063307752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6.2880191217028774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6.2880191217028774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213.00000000000003</v>
      </c>
      <c r="CU201" s="17">
        <f>CT201*VLOOKUP('Données projet'!$B$13,Paramètres!$A$1:$I$89,3,0)*VLOOKUP('Données projet'!$B$13,Paramètres!$A$1:$I$89,5,0)</f>
        <v>156.17160000000004</v>
      </c>
      <c r="CV201" s="13">
        <f t="shared" si="173"/>
        <v>39.977795753356993</v>
      </c>
      <c r="CW201" s="20">
        <f t="shared" si="174"/>
        <v>341.62686427043013</v>
      </c>
      <c r="CX201" s="59">
        <f t="shared" si="196"/>
        <v>634.96019760376339</v>
      </c>
      <c r="CY201" s="59">
        <f ca="1">AVERAGE(OFFSET($CX$3,0,0,'Données projet'!$E$13+1,1))-AVERAGE(OFFSET($H$3,0,0,'Données projet'!$E$13+1,1))</f>
        <v>141.13780344922503</v>
      </c>
      <c r="CZ201" s="59">
        <f t="shared" si="208"/>
        <v>144.12010599544237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2.4216670067523354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2.4216670067523354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148.39628895278571</v>
      </c>
      <c r="AO202" s="59">
        <f t="shared" si="205"/>
        <v>361.07991692964788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1.2592848110973676</v>
      </c>
      <c r="AW202" s="21">
        <f>EXP(-LN(2)/2)*AW201+(1-EXP(-LN(2)/2))/(LN(2)/2)*AQ202*AT202*VLOOKUP('Données projet'!$B$10,Paramètres!$A$1:$I$89,3,0)*0.475*44/12</f>
        <v>1.6436564398907605E-27</v>
      </c>
      <c r="AX202" s="21">
        <f t="shared" si="166"/>
        <v>1.2592848110973676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21.709999999999326</v>
      </c>
      <c r="BE202" s="13">
        <f>BD202*VLOOKUP('Données projet'!$B$11,Paramètres!$A$1:$I$89,3,0)*VLOOKUP('Données projet'!$B$11,Paramètres!$A$1:$I$89,5,0)</f>
        <v>19.64320799999939</v>
      </c>
      <c r="BF202" s="13">
        <f t="shared" si="167"/>
        <v>6.4008043874806155</v>
      </c>
      <c r="BG202" s="20">
        <f t="shared" si="168"/>
        <v>45.359988241527674</v>
      </c>
      <c r="BH202" s="59">
        <f t="shared" si="194"/>
        <v>338.69332157486099</v>
      </c>
      <c r="BI202" s="59">
        <f ca="1">AVERAGE(OFFSET($BH$3,0,0,'Données projet'!$E$11+1,1))-AVERAGE(OFFSET($H$3,0,0,'Données projet'!$E$11+1,1))</f>
        <v>465.85201723964195</v>
      </c>
      <c r="BJ202" s="59">
        <f t="shared" si="206"/>
        <v>110.67325286443491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227.29016674865872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227.29016674865872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212.00000000000009</v>
      </c>
      <c r="BZ202" s="13">
        <f>BY202*VLOOKUP('Données projet'!$B$12,Paramètres!$A$1:$I$89,3,0)*VLOOKUP('Données projet'!$B$12,Paramètres!$A$1:$I$89,5,0)</f>
        <v>185.20320000000009</v>
      </c>
      <c r="CA202" s="13">
        <f t="shared" si="170"/>
        <v>46.477875402099386</v>
      </c>
      <c r="CB202" s="20">
        <f t="shared" si="171"/>
        <v>403.5112063253232</v>
      </c>
      <c r="CC202" s="59">
        <f t="shared" si="195"/>
        <v>696.84453965865646</v>
      </c>
      <c r="CD202" s="59">
        <f ca="1">AVERAGE(OFFSET($CC$3,0,0,'Données projet'!$E$12+1,1))-AVERAGE(OFFSET($H$3,0,0,'Données projet'!$E$12+1,1))</f>
        <v>201.70120933876507</v>
      </c>
      <c r="CE202" s="59">
        <f t="shared" si="207"/>
        <v>188.1234063307752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6.1647149020392424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6.1647149020392424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213.00000000000003</v>
      </c>
      <c r="CU202" s="17">
        <f>CT202*VLOOKUP('Données projet'!$B$13,Paramètres!$A$1:$I$89,3,0)*VLOOKUP('Données projet'!$B$13,Paramètres!$A$1:$I$89,5,0)</f>
        <v>156.17160000000004</v>
      </c>
      <c r="CV202" s="13">
        <f t="shared" si="173"/>
        <v>39.977795753356993</v>
      </c>
      <c r="CW202" s="20">
        <f t="shared" si="174"/>
        <v>341.62686427043013</v>
      </c>
      <c r="CX202" s="59">
        <f t="shared" si="196"/>
        <v>634.96019760376339</v>
      </c>
      <c r="CY202" s="59">
        <f ca="1">AVERAGE(OFFSET($CX$3,0,0,'Données projet'!$E$13+1,1))-AVERAGE(OFFSET($H$3,0,0,'Données projet'!$E$13+1,1))</f>
        <v>141.13780344922503</v>
      </c>
      <c r="CZ202" s="59">
        <f t="shared" si="208"/>
        <v>144.12010599544237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2.3741795938209473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2.3741795938209473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148.39628895278571</v>
      </c>
      <c r="AO203" s="59">
        <f t="shared" si="205"/>
        <v>361.07991692964788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1.2248496017149999</v>
      </c>
      <c r="AW203" s="21">
        <f>EXP(-LN(2)/2)*AW202+(1-EXP(-LN(2)/2))/(LN(2)/2)*AQ203*AT203*VLOOKUP('Données projet'!$B$10,Paramètres!$A$1:$I$89,3,0)*0.475*44/12</f>
        <v>1.1622406145876957E-27</v>
      </c>
      <c r="AX203" s="21">
        <f t="shared" si="166"/>
        <v>1.2248496017149999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21.709999999999326</v>
      </c>
      <c r="BE203" s="13">
        <f>BD203*VLOOKUP('Données projet'!$B$11,Paramètres!$A$1:$I$89,3,0)*VLOOKUP('Données projet'!$B$11,Paramètres!$A$1:$I$89,5,0)</f>
        <v>19.64320799999939</v>
      </c>
      <c r="BF203" s="13">
        <f t="shared" si="167"/>
        <v>6.4008043874806155</v>
      </c>
      <c r="BG203" s="20">
        <f t="shared" si="168"/>
        <v>45.359988241527674</v>
      </c>
      <c r="BH203" s="59">
        <f t="shared" si="194"/>
        <v>338.69332157486099</v>
      </c>
      <c r="BI203" s="59">
        <f ca="1">AVERAGE(OFFSET($BH$3,0,0,'Données projet'!$E$11+1,1))-AVERAGE(OFFSET($H$3,0,0,'Données projet'!$E$11+1,1))</f>
        <v>465.85201723964195</v>
      </c>
      <c r="BJ203" s="59">
        <f t="shared" si="206"/>
        <v>110.67325286443491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222.83314521203033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222.83314521203033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212.00000000000009</v>
      </c>
      <c r="BZ203" s="13">
        <f>BY203*VLOOKUP('Données projet'!$B$12,Paramètres!$A$1:$I$89,3,0)*VLOOKUP('Données projet'!$B$12,Paramètres!$A$1:$I$89,5,0)</f>
        <v>185.20320000000009</v>
      </c>
      <c r="CA203" s="13">
        <f t="shared" si="170"/>
        <v>46.477875402099386</v>
      </c>
      <c r="CB203" s="20">
        <f t="shared" si="171"/>
        <v>403.5112063253232</v>
      </c>
      <c r="CC203" s="59">
        <f t="shared" si="195"/>
        <v>696.84453965865646</v>
      </c>
      <c r="CD203" s="59">
        <f ca="1">AVERAGE(OFFSET($CC$3,0,0,'Données projet'!$E$12+1,1))-AVERAGE(OFFSET($H$3,0,0,'Données projet'!$E$12+1,1))</f>
        <v>201.70120933876507</v>
      </c>
      <c r="CE203" s="59">
        <f t="shared" si="207"/>
        <v>188.1234063307752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6.0438286029150632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6.0438286029150632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213.00000000000003</v>
      </c>
      <c r="CU203" s="17">
        <f>CT203*VLOOKUP('Données projet'!$B$13,Paramètres!$A$1:$I$89,3,0)*VLOOKUP('Données projet'!$B$13,Paramètres!$A$1:$I$89,5,0)</f>
        <v>156.17160000000004</v>
      </c>
      <c r="CV203" s="13">
        <f t="shared" si="173"/>
        <v>39.977795753356993</v>
      </c>
      <c r="CW203" s="20">
        <f t="shared" si="174"/>
        <v>341.62686427043013</v>
      </c>
      <c r="CX203" s="59">
        <f t="shared" si="196"/>
        <v>634.96019760376339</v>
      </c>
      <c r="CY203" s="59">
        <f ca="1">AVERAGE(OFFSET($CX$3,0,0,'Données projet'!$E$13+1,1))-AVERAGE(OFFSET($H$3,0,0,'Données projet'!$E$13+1,1))</f>
        <v>141.13780344922503</v>
      </c>
      <c r="CZ203" s="59">
        <f t="shared" si="208"/>
        <v>144.12010599544237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2.3276233800926822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2.3276233800926822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1.4943820583928935</v>
      </c>
      <c r="BA205" s="81">
        <f>EXP(LN('Données projet'!B88)/'Données projet'!A88)</f>
        <v>1.1549646791293957</v>
      </c>
      <c r="BV205" s="81">
        <f>EXP(LN('Données projet'!B114)/'Données projet'!A114)</f>
        <v>1.335141362540313</v>
      </c>
      <c r="CQ205" s="81">
        <f>EXP(LN('Données projet'!B140)/'Données projet'!A140)</f>
        <v>1.1577536725165907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80" zoomScaleNormal="8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Pin maritime</v>
      </c>
      <c r="B6" s="144">
        <f>'Données projet'!D9</f>
        <v>13.841056909845001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2053.96148060531</v>
      </c>
      <c r="G6" s="145">
        <f ca="1">F6*(100%-'Données projet'!$C$24)*(100%-'Données projet'!$C$25)*(100%-'Données projet'!$C$26)*(100%-'Données projet'!$C$27)</f>
        <v>1257.0244261304497</v>
      </c>
      <c r="H6" s="146">
        <f>IF(OR('Données projet'!B9="",'Données projet'!C9="",'Données projet'!C9=0%),0,AVERAGE(Calculateur!$AC$3:$AC$33)*B6)</f>
        <v>238.98982143380223</v>
      </c>
      <c r="I6" s="147">
        <f>H6*(100%-'Données projet'!$C$24)*(100%-'Données projet'!$C$25)*(100%-'Données projet'!$C$26)*(100%-'Données projet'!$C$27)</f>
        <v>146.26177071748697</v>
      </c>
      <c r="J6" s="148">
        <f>IF(OR('Données projet'!B9="",'Données projet'!C9="",'Données projet'!C9=0%),0,SUM(Calculateur!$V$3:$V$33)*VLOOKUP('Données projet'!$B$9,Paramètres!$A$1:$I$89,9,0)*B6)</f>
        <v>3609.4708209493792</v>
      </c>
      <c r="K6" s="149">
        <f>J6*(100%-'Données projet'!$C$24)*(100%-'Données projet'!$C$25)*(100%-'Données projet'!$C$26)*(100%-'Données projet'!$C$27)</f>
        <v>2208.9961424210205</v>
      </c>
      <c r="L6" s="150">
        <f ca="1">G6+I6+K6</f>
        <v>3612.282339268957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Pin taeda</v>
      </c>
      <c r="B7" s="152">
        <f>'Données projet'!D10</f>
        <v>5.3144986456800005</v>
      </c>
      <c r="C7" s="145">
        <f ca="1">IF(OR('Données projet'!B10="",'Données projet'!C10="",'Données projet'!C10=0%),0,Calculateur!AN3)</f>
        <v>148.39628895278571</v>
      </c>
      <c r="D7" s="145">
        <f>IF(OR('Données projet'!B10="",'Données projet'!C10="",'Données projet'!C10=0%),0,Calculateur!AO3)</f>
        <v>361.07991692964788</v>
      </c>
      <c r="E7" s="145">
        <f t="shared" ref="E7:E15" ca="1" si="0">MIN(C7,D7)</f>
        <v>148.39628895278571</v>
      </c>
      <c r="F7" s="145">
        <f t="shared" ref="F7:F15" ca="1" si="1">E7*B7</f>
        <v>788.65187666351767</v>
      </c>
      <c r="G7" s="145">
        <f ca="1">F7*(100%-'Données projet'!$C$24)*(100%-'Données projet'!$C$25)*(100%-'Données projet'!$C$26)*(100%-'Données projet'!$C$27)</f>
        <v>482.65494851807284</v>
      </c>
      <c r="H7" s="153">
        <f>IF(OR('Données projet'!B10="",'Données projet'!C10="",'Données projet'!C10=0%),0,AVERAGE(Calculateur!$AX$3:$AX$33)*B7)</f>
        <v>90.696449768037866</v>
      </c>
      <c r="I7" s="147">
        <f>H7*(100%-'Données projet'!$C$24)*(100%-'Données projet'!$C$25)*(100%-'Données projet'!$C$26)*(100%-'Données projet'!$C$27)</f>
        <v>55.506227258039168</v>
      </c>
      <c r="J7" s="148">
        <f>IF(OR('Données projet'!B10="",'Données projet'!C10="",'Données projet'!C10=0%),0,SUM(Calculateur!$AQ$3:$AQ$33)*VLOOKUP('Données projet'!$B$10,Paramètres!$A$1:$I$89,9,0)*B7)</f>
        <v>1010.073612597941</v>
      </c>
      <c r="K7" s="149">
        <f>J7*(100%-'Données projet'!$C$24)*(100%-'Données projet'!$C$25)*(100%-'Données projet'!$C$26)*(100%-'Données projet'!$C$27)</f>
        <v>618.16505090993985</v>
      </c>
      <c r="L7" s="150">
        <f t="shared" ref="L7:L15" ca="1" si="2">G7+I7+K7</f>
        <v>1156.326226686052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Chêne sessile</v>
      </c>
      <c r="B8" s="152">
        <f>'Données projet'!D11</f>
        <v>7.7777777770650008E-2</v>
      </c>
      <c r="C8" s="145">
        <f ca="1">IF(OR('Données projet'!B11="",'Données projet'!C11="",'Données projet'!C11=0%),0,Calculateur!BI3)</f>
        <v>465.85201723964195</v>
      </c>
      <c r="D8" s="145">
        <f>IF(OR('Données projet'!B11="",'Données projet'!C11="",'Données projet'!C11=0%),0,Calculateur!BJ3)</f>
        <v>110.67325286443491</v>
      </c>
      <c r="E8" s="145">
        <f t="shared" ca="1" si="0"/>
        <v>110.67325286443491</v>
      </c>
      <c r="F8" s="145">
        <f t="shared" ca="1" si="1"/>
        <v>8.6079196664449729</v>
      </c>
      <c r="G8" s="145">
        <f ca="1">F8*(100%-'Données projet'!$C$24)*(100%-'Données projet'!$C$25)*(100%-'Données projet'!$C$26)*(100%-'Données projet'!$C$27)</f>
        <v>5.2680468358643235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ca="1" si="2"/>
        <v>5.2680468358643235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Chêne rouge d'Amérique</v>
      </c>
      <c r="B9" s="152">
        <f>'Données projet'!D12</f>
        <v>7.7777777770650008E-2</v>
      </c>
      <c r="C9" s="145">
        <f ca="1">IF(OR('Données projet'!B12="",'Données projet'!C12="",'Données projet'!C12=0%),0,Calculateur!CD3)</f>
        <v>201.70120933876507</v>
      </c>
      <c r="D9" s="145">
        <f>IF(OR('Données projet'!B12="",'Données projet'!C12="",'Données projet'!C12=0%),0,Calculateur!CE3)</f>
        <v>188.1234063307752</v>
      </c>
      <c r="E9" s="145">
        <f t="shared" ca="1" si="0"/>
        <v>188.1234063307752</v>
      </c>
      <c r="F9" s="145">
        <f t="shared" ca="1" si="1"/>
        <v>14.631820491052727</v>
      </c>
      <c r="G9" s="145">
        <f ca="1">F9*(100%-'Données projet'!$C$24)*(100%-'Données projet'!$C$25)*(100%-'Données projet'!$C$26)*(100%-'Données projet'!$C$27)</f>
        <v>8.9546741405242702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1.3222222221010502</v>
      </c>
      <c r="K9" s="149">
        <f>J9*(100%-'Données projet'!$C$24)*(100%-'Données projet'!$C$25)*(100%-'Données projet'!$C$26)*(100%-'Données projet'!$C$27)</f>
        <v>0.80919999992584279</v>
      </c>
      <c r="L9" s="150">
        <f t="shared" ca="1" si="2"/>
        <v>9.7638741404501133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>Châtaignier</v>
      </c>
      <c r="B10" s="152">
        <f>'Données projet'!D13</f>
        <v>3.8888888895000001E-2</v>
      </c>
      <c r="C10" s="145">
        <f ca="1">IF(OR('Données projet'!B13="",'Données projet'!C13="",'Données projet'!C13=0%),0,Calculateur!CY3)</f>
        <v>141.13780344922503</v>
      </c>
      <c r="D10" s="145">
        <f>IF(OR('Données projet'!B13="",'Données projet'!C13="",'Données projet'!C13=0%),0,Calculateur!CZ3)</f>
        <v>144.12010599544237</v>
      </c>
      <c r="E10" s="145">
        <f t="shared" ca="1" si="0"/>
        <v>141.13780344922503</v>
      </c>
      <c r="F10" s="145">
        <f t="shared" ca="1" si="1"/>
        <v>5.48869235722126</v>
      </c>
      <c r="G10" s="145">
        <f ca="1">F10*(100%-'Données projet'!$C$24)*(100%-'Données projet'!$C$25)*(100%-'Données projet'!$C$26)*(100%-'Données projet'!$C$27)</f>
        <v>3.3590797226194109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0.61250000009625005</v>
      </c>
      <c r="K10" s="149">
        <f>J10*(100%-'Données projet'!$C$24)*(100%-'Données projet'!$C$25)*(100%-'Données projet'!$C$26)*(100%-'Données projet'!$C$27)</f>
        <v>0.37485000005890506</v>
      </c>
      <c r="L10" s="150">
        <f t="shared" ca="1" si="2"/>
        <v>3.7339297226783161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2871.3417897835466</v>
      </c>
      <c r="G16" s="164">
        <f t="shared" ca="1" si="3"/>
        <v>1757.2611753475305</v>
      </c>
      <c r="H16" s="165">
        <f t="shared" si="3"/>
        <v>329.6862712018401</v>
      </c>
      <c r="I16" s="165">
        <f t="shared" si="3"/>
        <v>201.76799797552613</v>
      </c>
      <c r="J16" s="166">
        <f t="shared" si="3"/>
        <v>4621.479155769518</v>
      </c>
      <c r="K16" s="166">
        <f t="shared" si="3"/>
        <v>2828.3452433309453</v>
      </c>
      <c r="L16" s="167">
        <f t="shared" ca="1" si="3"/>
        <v>4787.3744166540009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Pin taeda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Chêne sessile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Chêne rouge d'Amérique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>Châtaignier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90" zoomScaleNormal="90" workbookViewId="0">
      <selection activeCell="I16" sqref="I1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13.841056909845001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Pin taeda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5.3144986456800005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Chêne sessile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7.7777777770650008E-2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Chêne rouge d'Amérique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7.7777777770650008E-2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Châtaignier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3.8888888895000001E-2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12">
        <f ca="1">T23-T24</f>
        <v>0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n'est pas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Pin taeda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11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12</v>
      </c>
      <c r="B55" s="179">
        <f>'Données projet'!D63</f>
        <v>34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13</v>
      </c>
      <c r="B56" s="179">
        <f>'Données projet'!D64</f>
        <v>0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14</v>
      </c>
      <c r="B57" s="179">
        <f>'Données projet'!D65</f>
        <v>0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15</v>
      </c>
      <c r="B58" s="179">
        <f>'Données projet'!D66</f>
        <v>0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16</v>
      </c>
      <c r="B59" s="179">
        <f>'Données projet'!D67</f>
        <v>0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17</v>
      </c>
      <c r="B60" s="179">
        <f>'Données projet'!D68</f>
        <v>43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18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19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20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21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22</v>
      </c>
      <c r="B65" s="179">
        <f>'Données projet'!D73</f>
        <v>56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23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24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25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26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27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28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29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30</v>
      </c>
      <c r="B73" s="179">
        <f>'Données projet'!D81</f>
        <v>309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Chêne sessile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30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42</v>
      </c>
      <c r="B86" s="179">
        <f>'Données projet'!D89</f>
        <v>43.21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50</v>
      </c>
      <c r="B87" s="179">
        <f>'Données projet'!D90</f>
        <v>35.58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58</v>
      </c>
      <c r="B88" s="179">
        <f>'Données projet'!D91</f>
        <v>44.93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66</v>
      </c>
      <c r="B89" s="179">
        <f>'Données projet'!D92</f>
        <v>49.91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74</v>
      </c>
      <c r="B90" s="179">
        <f>'Données projet'!D93</f>
        <v>47.4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84</v>
      </c>
      <c r="B91" s="179">
        <f>'Données projet'!D94</f>
        <v>61.47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94</v>
      </c>
      <c r="B92" s="179">
        <f>'Données projet'!D95</f>
        <v>61.85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104</v>
      </c>
      <c r="B93" s="179">
        <f>'Données projet'!D96</f>
        <v>60.19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114</v>
      </c>
      <c r="B94" s="179">
        <f>'Données projet'!D97</f>
        <v>56.07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124</v>
      </c>
      <c r="B95" s="179">
        <f>'Données projet'!D98</f>
        <v>52.53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134</v>
      </c>
      <c r="B96" s="179">
        <f>'Données projet'!D99</f>
        <v>54.95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144</v>
      </c>
      <c r="B97" s="179">
        <f>'Données projet'!D100</f>
        <v>56.01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154</v>
      </c>
      <c r="B98" s="179">
        <f>'Données projet'!D101</f>
        <v>55.13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164</v>
      </c>
      <c r="B99" s="179">
        <f>'Données projet'!D102</f>
        <v>59.58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174</v>
      </c>
      <c r="B100" s="179">
        <f>'Données projet'!D103</f>
        <v>214.77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177</v>
      </c>
      <c r="B101" s="179">
        <f>'Données projet'!D104</f>
        <v>115.19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180</v>
      </c>
      <c r="B102" s="179">
        <f>'Données projet'!D105</f>
        <v>77.72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183</v>
      </c>
      <c r="B103" s="179">
        <f>'Données projet'!D106</f>
        <v>169.76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Chêne rouge d'Amérique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10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15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20</v>
      </c>
      <c r="B118" s="179">
        <f>'Données projet'!D116</f>
        <v>29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25</v>
      </c>
      <c r="B119" s="179">
        <f>'Données projet'!D117</f>
        <v>19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30</v>
      </c>
      <c r="B120" s="179">
        <f>'Données projet'!D118</f>
        <v>20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35</v>
      </c>
      <c r="B121" s="179">
        <f>'Données projet'!D119</f>
        <v>20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40</v>
      </c>
      <c r="B122" s="179">
        <f>'Données projet'!D120</f>
        <v>20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45</v>
      </c>
      <c r="B123" s="179">
        <f>'Données projet'!D121</f>
        <v>19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50</v>
      </c>
      <c r="B124" s="179">
        <f>'Données projet'!D122</f>
        <v>18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55</v>
      </c>
      <c r="B125" s="179">
        <f>'Données projet'!D123</f>
        <v>17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60</v>
      </c>
      <c r="B126" s="179">
        <f>'Données projet'!D124</f>
        <v>16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65</v>
      </c>
      <c r="B127" s="179">
        <f>'Données projet'!D125</f>
        <v>15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70</v>
      </c>
      <c r="B128" s="179">
        <f>'Données projet'!D126</f>
        <v>14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75</v>
      </c>
      <c r="B129" s="179">
        <f>'Données projet'!D127</f>
        <v>12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80</v>
      </c>
      <c r="B130" s="179">
        <f>'Données projet'!D128</f>
        <v>11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85</v>
      </c>
      <c r="B131" s="179">
        <f>'Données projet'!D129</f>
        <v>10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90</v>
      </c>
      <c r="B132" s="179">
        <f>'Données projet'!D130</f>
        <v>10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95</v>
      </c>
      <c r="B133" s="179">
        <f>'Données projet'!D131</f>
        <v>11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100</v>
      </c>
      <c r="B134" s="179">
        <f>'Données projet'!D132</f>
        <v>11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>Châtaignier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15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20</v>
      </c>
      <c r="B148" s="173">
        <f>'Données projet'!D141</f>
        <v>21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25</v>
      </c>
      <c r="B149" s="173">
        <f>'Données projet'!D142</f>
        <v>21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30</v>
      </c>
      <c r="B150" s="173">
        <f>'Données projet'!D143</f>
        <v>21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35</v>
      </c>
      <c r="B151" s="173">
        <f>'Données projet'!D144</f>
        <v>21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40</v>
      </c>
      <c r="B152" s="173">
        <f>'Données projet'!D145</f>
        <v>21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45</v>
      </c>
      <c r="B153" s="173">
        <f>'Données projet'!D146</f>
        <v>18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50</v>
      </c>
      <c r="B154" s="173">
        <f>'Données projet'!D147</f>
        <v>13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55</v>
      </c>
      <c r="B155" s="173">
        <f>'Données projet'!D148</f>
        <v>11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60</v>
      </c>
      <c r="B156" s="173">
        <f>'Données projet'!D149</f>
        <v>9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65</v>
      </c>
      <c r="B157" s="173">
        <f>'Données projet'!D150</f>
        <v>8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70</v>
      </c>
      <c r="B158" s="173">
        <f>'Données projet'!D151</f>
        <v>8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75</v>
      </c>
      <c r="B159" s="173">
        <f>'Données projet'!D152</f>
        <v>7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80</v>
      </c>
      <c r="B160" s="173">
        <f>'Données projet'!D153</f>
        <v>6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2024-07-26T15:21:05Z</dcterms:modified>
</cp:coreProperties>
</file>