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D315F214-CD26-4216-B492-2E752DCD3370}" xr6:coauthVersionLast="47" xr6:coauthVersionMax="47" xr10:uidLastSave="{00000000-0000-0000-0000-000000000000}"/>
  <bookViews>
    <workbookView xWindow="-110" yWindow="-110" windowWidth="19420" windowHeight="104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85" i="2" l="1" a="1"/>
  <c r="CS185" i="2" s="1"/>
  <c r="CS161" i="2" a="1"/>
  <c r="CS161" i="2" s="1"/>
  <c r="CS77" i="2" a="1"/>
  <c r="CS77" i="2" s="1"/>
  <c r="CS52" i="2" a="1"/>
  <c r="CS52" i="2" s="1"/>
  <c r="CS134" i="2" a="1"/>
  <c r="CS134" i="2" s="1"/>
  <c r="CS24" i="2" a="1"/>
  <c r="CS24" i="2" s="1"/>
  <c r="CS114" i="2" a="1"/>
  <c r="CS114" i="2" s="1"/>
  <c r="CS120" i="2" a="1"/>
  <c r="CS120" i="2" s="1"/>
  <c r="CS72" i="2" a="1"/>
  <c r="CS72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Y24" i="2" l="1"/>
  <c r="CY46" i="2"/>
  <c r="CY89" i="2"/>
  <c r="CY68" i="2"/>
  <c r="CY27" i="2"/>
  <c r="CY70" i="2"/>
  <c r="CY49" i="2"/>
  <c r="CY64" i="2"/>
  <c r="CY71" i="2"/>
  <c r="CY99" i="2"/>
  <c r="CY102" i="2"/>
  <c r="CY131" i="2"/>
  <c r="CY35" i="2"/>
  <c r="CY170" i="2"/>
  <c r="CY195" i="2"/>
  <c r="CY127" i="2"/>
  <c r="CY162" i="2"/>
  <c r="CY104" i="2"/>
  <c r="CY6" i="2"/>
  <c r="CY14" i="2"/>
  <c r="CY148" i="2"/>
  <c r="CY13" i="2"/>
  <c r="CY4" i="2"/>
  <c r="CY101" i="2"/>
  <c r="CY171" i="2"/>
  <c r="CY165" i="2"/>
  <c r="CY15" i="2"/>
  <c r="CY149" i="2"/>
  <c r="CY36" i="2"/>
  <c r="CY132" i="2"/>
  <c r="CY184" i="2"/>
  <c r="CY74" i="2"/>
  <c r="CY155" i="2"/>
  <c r="CY134" i="2"/>
  <c r="CY72" i="2"/>
  <c r="CY158" i="2"/>
  <c r="CY110" i="2"/>
  <c r="CY53" i="2"/>
  <c r="CY103" i="2"/>
  <c r="CY177" i="2"/>
  <c r="CY147" i="2"/>
  <c r="CY30" i="2"/>
  <c r="CY41" i="2"/>
  <c r="CY88" i="2"/>
  <c r="CY73" i="2"/>
  <c r="CY185" i="2"/>
  <c r="CY78" i="2"/>
  <c r="CY85" i="2"/>
  <c r="CY51" i="2"/>
  <c r="CY175" i="2"/>
  <c r="CY119" i="2"/>
  <c r="CY120" i="2"/>
  <c r="CY115" i="2"/>
  <c r="CY164" i="2"/>
  <c r="CY67" i="2"/>
  <c r="CY168" i="2"/>
  <c r="CY69" i="2"/>
  <c r="CY8" i="2"/>
  <c r="CY154" i="2"/>
  <c r="CY50" i="2"/>
  <c r="CY169" i="2"/>
  <c r="CY23" i="2"/>
  <c r="CY94" i="2"/>
  <c r="CY28" i="2"/>
  <c r="CY63" i="2"/>
  <c r="CY200" i="2"/>
  <c r="CY29" i="2"/>
  <c r="CY18" i="2"/>
  <c r="CY92" i="2"/>
  <c r="CY143" i="2"/>
  <c r="CY75" i="2"/>
  <c r="CY34" i="2"/>
  <c r="CY59" i="2"/>
  <c r="CY113" i="2"/>
  <c r="CY95" i="2"/>
  <c r="CY97" i="2"/>
  <c r="CY180" i="2"/>
  <c r="CY7" i="2"/>
  <c r="CY161" i="2"/>
  <c r="CY191" i="2"/>
  <c r="CY163" i="2"/>
  <c r="CY201" i="2"/>
  <c r="CY11" i="2"/>
  <c r="CY21" i="2"/>
  <c r="CY156" i="2"/>
  <c r="CY150" i="2"/>
  <c r="CY199" i="2"/>
  <c r="CY22" i="2"/>
  <c r="CY142" i="2"/>
  <c r="CY186" i="2"/>
  <c r="CY178" i="2"/>
  <c r="CY26" i="2"/>
  <c r="CY151" i="2"/>
  <c r="CY109" i="2"/>
  <c r="CY33" i="2"/>
  <c r="CY48" i="2"/>
  <c r="CY112" i="2"/>
  <c r="CY198" i="2"/>
  <c r="CY167" i="2"/>
  <c r="CY45" i="2"/>
  <c r="CY57" i="2"/>
  <c r="CY157" i="2"/>
  <c r="CY5" i="2"/>
  <c r="CY3" i="2"/>
  <c r="C10" i="4" s="1"/>
  <c r="E10" i="4" s="1"/>
  <c r="F10" i="4" s="1"/>
  <c r="G10" i="4" s="1"/>
  <c r="L10" i="4" s="1"/>
  <c r="CY194" i="2"/>
  <c r="CY116" i="2"/>
  <c r="CY55" i="2"/>
  <c r="CY84" i="2"/>
  <c r="CY159" i="2"/>
  <c r="CY192" i="2"/>
  <c r="CY52" i="2"/>
  <c r="CY82" i="2"/>
  <c r="CY40" i="2"/>
  <c r="CY181" i="2"/>
  <c r="CY202" i="2"/>
  <c r="CY31" i="2"/>
  <c r="CY196" i="2"/>
  <c r="CY98" i="2"/>
  <c r="CY141" i="2"/>
  <c r="CY20" i="2"/>
  <c r="CY111" i="2"/>
  <c r="CY118" i="2"/>
  <c r="CY117" i="2"/>
  <c r="CY183" i="2"/>
  <c r="CY96" i="2"/>
  <c r="CY179" i="2"/>
  <c r="CY81" i="2"/>
  <c r="CY140" i="2"/>
  <c r="CY136" i="2"/>
  <c r="CY56" i="2"/>
  <c r="CY9" i="2"/>
  <c r="CY173" i="2"/>
  <c r="CY77" i="2"/>
  <c r="CY153" i="2"/>
  <c r="CY160" i="2"/>
  <c r="CY133" i="2"/>
  <c r="CY60" i="2"/>
  <c r="CY182" i="2"/>
  <c r="CY90" i="2"/>
  <c r="CY126" i="2"/>
  <c r="CY121" i="2"/>
  <c r="CY146" i="2"/>
  <c r="CY42" i="2"/>
  <c r="CY17" i="2"/>
  <c r="CY80" i="2"/>
  <c r="CY172" i="2"/>
  <c r="CY144" i="2"/>
  <c r="CY58" i="2"/>
  <c r="CY87" i="2"/>
  <c r="CY65" i="2"/>
  <c r="CY128" i="2"/>
  <c r="CY61" i="2"/>
  <c r="CY93" i="2"/>
  <c r="CY47" i="2"/>
  <c r="CY106" i="2"/>
  <c r="CY130" i="2"/>
  <c r="CY76" i="2"/>
  <c r="CY32" i="2"/>
  <c r="CY190" i="2"/>
  <c r="CY38" i="2"/>
  <c r="CY39" i="2"/>
  <c r="CY100" i="2"/>
  <c r="CY122" i="2"/>
  <c r="CY125" i="2"/>
  <c r="CY44" i="2"/>
  <c r="CY108" i="2"/>
  <c r="CY139" i="2"/>
  <c r="CY105" i="2"/>
  <c r="CY19" i="2"/>
  <c r="CY25" i="2"/>
  <c r="CY124" i="2"/>
  <c r="CY135" i="2"/>
  <c r="CY138" i="2"/>
  <c r="CY203" i="2"/>
  <c r="CY188" i="2"/>
  <c r="CY174" i="2"/>
  <c r="CY137" i="2"/>
  <c r="CY86" i="2"/>
  <c r="CY129" i="2"/>
  <c r="CY37" i="2"/>
  <c r="CY197" i="2"/>
  <c r="CY145" i="2"/>
  <c r="CY10" i="2"/>
  <c r="CY189" i="2"/>
  <c r="CY193" i="2"/>
  <c r="CY176" i="2"/>
  <c r="CY54" i="2"/>
  <c r="CY187" i="2"/>
  <c r="CY43" i="2"/>
  <c r="CY114" i="2"/>
  <c r="CY79" i="2"/>
  <c r="CY66" i="2"/>
  <c r="CY62" i="2"/>
  <c r="CY152" i="2"/>
  <c r="CY83" i="2"/>
  <c r="CY12" i="2"/>
  <c r="CY16" i="2"/>
  <c r="CY166" i="2"/>
  <c r="CY91" i="2"/>
  <c r="CY123" i="2"/>
  <c r="CY107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8" i="2" l="1"/>
  <c r="BI170" i="2"/>
  <c r="BI81" i="2"/>
  <c r="BI45" i="2"/>
  <c r="BI48" i="2"/>
  <c r="BI182" i="2"/>
  <c r="BI155" i="2"/>
  <c r="BI125" i="2"/>
  <c r="BI64" i="2"/>
  <c r="BI159" i="2"/>
  <c r="BI37" i="2"/>
  <c r="BI189" i="2"/>
  <c r="BI98" i="2"/>
  <c r="BI39" i="2"/>
  <c r="BI196" i="2"/>
  <c r="BI133" i="2"/>
  <c r="BI99" i="2"/>
  <c r="BI194" i="2"/>
  <c r="BI186" i="2"/>
  <c r="BI201" i="2"/>
  <c r="BI200" i="2"/>
  <c r="BI87" i="2"/>
  <c r="BI89" i="2"/>
  <c r="BI199" i="2"/>
  <c r="BI80" i="2"/>
  <c r="BI41" i="2"/>
  <c r="BI112" i="2"/>
  <c r="BI33" i="2"/>
  <c r="BI85" i="2"/>
  <c r="BI163" i="2"/>
  <c r="BI121" i="2"/>
  <c r="BI148" i="2"/>
  <c r="BI146" i="2"/>
  <c r="BI57" i="2"/>
  <c r="BI178" i="2"/>
  <c r="BI195" i="2"/>
  <c r="BI59" i="2"/>
  <c r="BI177" i="2"/>
  <c r="BI6" i="2"/>
  <c r="BI92" i="2"/>
  <c r="BI18" i="2"/>
  <c r="BI153" i="2"/>
  <c r="BI129" i="2"/>
  <c r="BI190" i="2"/>
  <c r="BI140" i="2"/>
  <c r="BI22" i="2"/>
  <c r="BI35" i="2"/>
  <c r="BI78" i="2"/>
  <c r="BI114" i="2"/>
  <c r="BI176" i="2"/>
  <c r="BI88" i="2"/>
  <c r="BI36" i="2"/>
  <c r="BI47" i="2"/>
  <c r="BI5" i="2"/>
  <c r="BI198" i="2"/>
  <c r="BI26" i="2"/>
  <c r="BI58" i="2"/>
  <c r="BI23" i="2"/>
  <c r="BI7" i="2"/>
  <c r="BI124" i="2"/>
  <c r="BI68" i="2"/>
  <c r="BI101" i="2"/>
  <c r="BI46" i="2"/>
  <c r="BI54" i="2"/>
  <c r="BI103" i="2"/>
  <c r="BI174" i="2"/>
  <c r="BI138" i="2"/>
  <c r="BI65" i="2"/>
  <c r="BI102" i="2"/>
  <c r="BI32" i="2"/>
  <c r="BI3" i="2"/>
  <c r="C8" i="4" s="1"/>
  <c r="E8" i="4" s="1"/>
  <c r="F8" i="4" s="1"/>
  <c r="G8" i="4" s="1"/>
  <c r="L8" i="4" s="1"/>
  <c r="BI63" i="2"/>
  <c r="BI167" i="2"/>
  <c r="BI113" i="2"/>
  <c r="BI150" i="2"/>
  <c r="BI154" i="2"/>
  <c r="BI20" i="2"/>
  <c r="BI165" i="2"/>
  <c r="BI95" i="2"/>
  <c r="BI131" i="2"/>
  <c r="BI76" i="2"/>
  <c r="BI84" i="2"/>
  <c r="BI120" i="2"/>
  <c r="BI94" i="2"/>
  <c r="BI91" i="2"/>
  <c r="BI117" i="2"/>
  <c r="BI130" i="2"/>
  <c r="BI21" i="2"/>
  <c r="BI134" i="2"/>
  <c r="BI122" i="2"/>
  <c r="BI197" i="2"/>
  <c r="BI193" i="2"/>
  <c r="BI180" i="2"/>
  <c r="BI110" i="2"/>
  <c r="BI179" i="2"/>
  <c r="BI30" i="2"/>
  <c r="BI97" i="2"/>
  <c r="BI12" i="2"/>
  <c r="BI168" i="2"/>
  <c r="BI203" i="2"/>
  <c r="BI74" i="2"/>
  <c r="BI187" i="2"/>
  <c r="BI100" i="2"/>
  <c r="BI50" i="2"/>
  <c r="BI16" i="2"/>
  <c r="BI119" i="2"/>
  <c r="BI10" i="2"/>
  <c r="BI127" i="2"/>
  <c r="BI160" i="2"/>
  <c r="BI139" i="2"/>
  <c r="BI149" i="2"/>
  <c r="BI71" i="2"/>
  <c r="BI61" i="2"/>
  <c r="BI14" i="2"/>
  <c r="BI107" i="2"/>
  <c r="BI93" i="2"/>
  <c r="BI28" i="2"/>
  <c r="BI108" i="2"/>
  <c r="BI13" i="2"/>
  <c r="BI162" i="2"/>
  <c r="BI51" i="2"/>
  <c r="BI70" i="2"/>
  <c r="BI109" i="2"/>
  <c r="BI90" i="2"/>
  <c r="BI137" i="2"/>
  <c r="BI106" i="2"/>
  <c r="BI83" i="2"/>
  <c r="BI104" i="2"/>
  <c r="BI145" i="2"/>
  <c r="BI181" i="2"/>
  <c r="BI25" i="2"/>
  <c r="BI135" i="2"/>
  <c r="BI82" i="2"/>
  <c r="BI86" i="2"/>
  <c r="BI56" i="2"/>
  <c r="BI173" i="2"/>
  <c r="BI38" i="2"/>
  <c r="BI17" i="2"/>
  <c r="BI77" i="2"/>
  <c r="BI53" i="2"/>
  <c r="BI164" i="2"/>
  <c r="BI172" i="2"/>
  <c r="BI123" i="2"/>
  <c r="BI111" i="2"/>
  <c r="BI42" i="2"/>
  <c r="BI169" i="2"/>
  <c r="BI152" i="2"/>
  <c r="BI141" i="2"/>
  <c r="BI185" i="2"/>
  <c r="BI52" i="2"/>
  <c r="BI143" i="2"/>
  <c r="BI62" i="2"/>
  <c r="BI158" i="2"/>
  <c r="BI11" i="2"/>
  <c r="BI116" i="2"/>
  <c r="BI184" i="2"/>
  <c r="BI136" i="2"/>
  <c r="BI29" i="2"/>
  <c r="BI49" i="2"/>
  <c r="BI171" i="2"/>
  <c r="BI72" i="2"/>
  <c r="BI66" i="2"/>
  <c r="BI34" i="2"/>
  <c r="BI166" i="2"/>
  <c r="BI202" i="2"/>
  <c r="BI73" i="2"/>
  <c r="BI60" i="2"/>
  <c r="BI126" i="2"/>
  <c r="BI192" i="2"/>
  <c r="BI9" i="2"/>
  <c r="BI188" i="2"/>
  <c r="BI55" i="2"/>
  <c r="BI96" i="2"/>
  <c r="BI118" i="2"/>
  <c r="BI191" i="2"/>
  <c r="BI27" i="2"/>
  <c r="BI75" i="2"/>
  <c r="BI175" i="2"/>
  <c r="BI44" i="2"/>
  <c r="BI105" i="2"/>
  <c r="BI15" i="2"/>
  <c r="BI147" i="2"/>
  <c r="BI115" i="2"/>
  <c r="BI144" i="2"/>
  <c r="BI69" i="2"/>
  <c r="BI132" i="2"/>
  <c r="BI128" i="2"/>
  <c r="BI31" i="2"/>
  <c r="BI67" i="2"/>
  <c r="BI183" i="2"/>
  <c r="BI142" i="2"/>
  <c r="BI156" i="2"/>
  <c r="BI151" i="2"/>
  <c r="BI24" i="2"/>
  <c r="BI19" i="2"/>
  <c r="BI40" i="2"/>
  <c r="BI4" i="2"/>
  <c r="BI161" i="2"/>
  <c r="BI79" i="2"/>
  <c r="BI43" i="2"/>
  <c r="BI15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<sst xmlns="http://schemas.openxmlformats.org/spreadsheetml/2006/main" count="1180" uniqueCount="328">
  <si>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</si>
  <si>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</si>
  <si>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</si>
  <si>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</si>
  <si>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</si>
  <si>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</si>
  <si>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</si>
  <si>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</si>
  <si>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</si>
  <si>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</si>
  <si>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</si>
  <si>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</si>
  <si>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</si>
  <si>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</si>
  <si>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</si>
  <si>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</si>
  <si>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</si>
  <si>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</si>
  <si>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</si>
  <si>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</si>
  <si>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</si>
  <si>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</si>
  <si>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</si>
  <si>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</si>
  <si>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</si>
  <si>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</si>
  <si>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</si>
  <si>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</si>
  <si>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</si>
  <si>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</si>
  <si>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</si>
  <si>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</si>
  <si>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</si>
  <si>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</si>
  <si>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</si>
  <si>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</si>
  <si>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</si>
  <si>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</si>
  <si>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</si>
  <si>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</si>
  <si>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</si>
  <si>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</si>
  <si>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</si>
  <si>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</si>
  <si>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</si>
  <si>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</si>
  <si>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</si>
  <si>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</si>
  <si>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</si>
  <si>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</si>
  <si>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</si>
  <si>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</si>
  <si>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</si>
  <si>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</si>
  <si>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</si>
  <si>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</si>
  <si>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</si>
  <si>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</si>
  <si>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</si>
  <si>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</si>
  <si>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</si>
  <si>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</si>
  <si>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</si>
  <si>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</si>
  <si>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</si>
  <si>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</si>
  <si>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</si>
  <si>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</si>
  <si>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</si>
  <si>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</si>
  <si>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</si>
  <si>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</si>
  <si>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</si>
  <si>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</si>
  <si>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</si>
  <si>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</si>
  <si>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</si>
  <si>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</si>
  <si>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</si>
  <si>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</si>
  <si>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</si>
  <si>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</si>
  <si>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</si>
  <si>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</si>
  <si>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</si>
  <si>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</si>
  <si>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</si>
  <si>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</si>
  <si>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</si>
  <si>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</si>
  <si>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</si>
  <si>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</si>
  <si>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</si>
  <si>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</si>
  <si>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</si>
  <si>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</si>
  <si>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</si>
  <si>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</si>
  <si>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</si>
  <si>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</si>
  <si>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</si>
  <si>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</si>
  <si>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</si>
  <si>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</si>
  <si>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</si>
  <si>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</si>
  <si>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</si>
  <si>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</si>
  <si>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</si>
  <si>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</si>
  <si>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</si>
  <si>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</si>
  <si>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</si>
  <si>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</si>
  <si>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</si>
  <si>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</si>
  <si>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</si>
  <si>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</si>
  <si>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</si>
  <si>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</si>
  <si>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</si>
  <si>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</si>
  <si>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</si>
  <si>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</si>
  <si>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</si>
  <si>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</si>
  <si>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</si>
  <si>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</si>
  <si>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</si>
  <si>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</si>
  <si>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</si>
  <si>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</si>
  <si>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</si>
  <si>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</si>
  <si>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</si>
  <si>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</si>
  <si>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</si>
  <si>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</si>
  <si>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</si>
  <si>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</si>
  <si>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</si>
  <si>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</si>
  <si>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</si>
  <si>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</si>
  <si>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</si>
  <si>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</si>
  <si>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</si>
  <si>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</si>
  <si>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</si>
  <si>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</si>
  <si>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</si>
  <si>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</si>
  <si>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</si>
  <si>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</si>
  <si>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</si>
  <si>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</si>
  <si>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</si>
  <si>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</si>
  <si>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</si>
  <si>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</si>
  <si>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</si>
  <si>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</si>
  <si>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</si>
  <si>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</si>
  <si>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</si>
  <si>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</si>
  <si>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</si>
  <si>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</si>
  <si>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</si>
  <si>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</si>
  <si>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</si>
  <si>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</si>
  <si>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</si>
  <si>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</si>
  <si>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</si>
  <si>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</si>
  <si>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</si>
  <si>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</si>
  <si>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</si>
  <si>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</si>
  <si>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</si>
  <si>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</si>
  <si>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</si>
  <si>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</si>
  <si>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</si>
  <si>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</si>
  <si>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</si>
  <si>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</si>
  <si>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</si>
  <si>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</si>
  <si>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</si>
  <si>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</si>
  <si>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</si>
  <si>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</si>
  <si>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</si>
  <si>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</si>
  <si>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</si>
  <si>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</si>
  <si>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</si>
  <si>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</si>
  <si>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</si>
  <si>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</si>
  <si>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</si>
  <si>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</si>
  <si>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</si>
  <si>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</si>
  <si>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</si>
  <si>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</si>
  <si>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</si>
  <si>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</si>
  <si>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</si>
  <si>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</si>
  <si>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</si>
  <si>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</si>
  <si>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</si>
  <si>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</si>
  <si>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</si>
  <si>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</si>
  <si>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</si>
  <si>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</si>
  <si>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</si>
  <si>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</si>
  <si>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</si>
  <si>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</si>
  <si>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</si>
  <si>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</si>
  <si>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</si>
  <si>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</si>
  <si>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</si>
  <si>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</si>
  <si>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</si>
  <si>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</si>
  <si>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</si>
  <si>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</si>
  <si>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</si>
  <si>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</si>
  <si>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</si>
  <si>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</si>
  <si>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</si>
  <si>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</si>
  <si>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</si>
  <si>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</si>
  <si>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</si>
  <si>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</si>
  <si>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</si>
  <si>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</si>
  <si>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</si>
  <si>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</si>
  <si>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</si>
  <si>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</si>
  <si>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</si>
  <si>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</si>
  <si>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</si>
  <si>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</si>
  <si>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</si>
  <si>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</si>
  <si>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</si>
  <si>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</si>
  <si>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</si>
  <si>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</si>
  <si>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</si>
  <si>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</si>
  <si>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</si>
  <si>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</si>
  <si>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</si>
  <si>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</si>
  <si>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</si>
  <si>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</si>
  <si>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</si>
  <si>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</si>
  <si>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</si>
  <si>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</si>
  <si>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</si>
  <si>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</si>
  <si>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</si>
  <si>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</si>
  <si>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</si>
  <si>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</si>
  <si>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</si>
  <si>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</si>
  <si>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</si>
  <si>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</si>
  <si>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</si>
  <si>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</si>
  <si>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</si>
  <si>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</si>
  <si>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</si>
  <si>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</si>
  <si>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</si>
  <si>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</si>
  <si>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</si>
  <si>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</si>
  <si>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</si>
  <si>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</si>
  <si>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</si>
  <si>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</si>
  <si>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</si>
  <si>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</si>
  <si>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</si>
  <si>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</si>
  <si>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</si>
  <si>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</si>
  <si>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</si>
  <si>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</si>
  <si>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</si>
  <si>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</si>
  <si>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</si>
  <si>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</si>
  <si>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</si>
  <si>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</si>
  <si>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</si>
  <si>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</si>
  <si>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</si>
  <si>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</si>
  <si>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</si>
  <si>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</si>
  <si>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</si>
  <si>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</si>
  <si>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</si>
  <si>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</si>
  <si>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</si>
  <si>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</si>
  <si>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</si>
  <si>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</si>
  <si>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</si>
  <si>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1/5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</si>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</sst>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2.628605971111587</c:v>
                </c:pt>
                <c:pt idx="2">
                  <c:v>4.4962861341460121</c:v>
                </c:pt>
                <c:pt idx="3">
                  <c:v>7.6977881832039037</c:v>
                </c:pt>
                <c:pt idx="4">
                  <c:v>13.190201754282391</c:v>
                </c:pt>
                <c:pt idx="5">
                  <c:v>22.62038171312248</c:v>
                </c:pt>
                <c:pt idx="6">
                  <c:v>38.824035488132765</c:v>
                </c:pt>
                <c:pt idx="7">
                  <c:v>66.687231384102262</c:v>
                </c:pt>
                <c:pt idx="8">
                  <c:v>114.6343572628591</c:v>
                </c:pt>
                <c:pt idx="9">
                  <c:v>197.19946337106242</c:v>
                </c:pt>
                <c:pt idx="10">
                  <c:v>267.44020689106782</c:v>
                </c:pt>
                <c:pt idx="11">
                  <c:v>337.26190853958735</c:v>
                </c:pt>
                <c:pt idx="12">
                  <c:v>406.764014604328</c:v>
                </c:pt>
                <c:pt idx="13">
                  <c:v>476.00889611215484</c:v>
                </c:pt>
                <c:pt idx="14">
                  <c:v>545.03921412799457</c:v>
                </c:pt>
                <c:pt idx="15">
                  <c:v>558.82240507939571</c:v>
                </c:pt>
                <c:pt idx="16">
                  <c:v>572.59848087247849</c:v>
                </c:pt>
                <c:pt idx="17">
                  <c:v>586.36763674165547</c:v>
                </c:pt>
                <c:pt idx="18">
                  <c:v>600.13005800845292</c:v>
                </c:pt>
                <c:pt idx="19">
                  <c:v>613.88592080534602</c:v>
                </c:pt>
                <c:pt idx="20">
                  <c:v>618.88645965610817</c:v>
                </c:pt>
                <c:pt idx="21">
                  <c:v>623.88616130163575</c:v>
                </c:pt>
                <c:pt idx="22">
                  <c:v>628.88503339956139</c:v>
                </c:pt>
                <c:pt idx="23">
                  <c:v>633.88308347581506</c:v>
                </c:pt>
                <c:pt idx="24">
                  <c:v>638.88031892793174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168.03730179733574</c:v>
                </c:pt>
                <c:pt idx="32">
                  <c:v>183.83118038232405</c:v>
                </c:pt>
                <c:pt idx="33">
                  <c:v>199.59334437910078</c:v>
                </c:pt>
                <c:pt idx="34">
                  <c:v>215.32665177384737</c:v>
                </c:pt>
                <c:pt idx="35">
                  <c:v>231.03350837797942</c:v>
                </c:pt>
                <c:pt idx="36">
                  <c:v>246.71596591872242</c:v>
                </c:pt>
                <c:pt idx="37">
                  <c:v>262.37579383456659</c:v>
                </c:pt>
                <c:pt idx="38">
                  <c:v>278.01453300605692</c:v>
                </c:pt>
                <c:pt idx="39">
                  <c:v>293.63353674874492</c:v>
                </c:pt>
                <c:pt idx="40">
                  <c:v>309.23400261887542</c:v>
                </c:pt>
                <c:pt idx="41">
                  <c:v>324.81699745991455</c:v>
                </c:pt>
                <c:pt idx="42">
                  <c:v>340.38347738827719</c:v>
                </c:pt>
                <c:pt idx="43">
                  <c:v>275.96082819556159</c:v>
                </c:pt>
                <c:pt idx="44">
                  <c:v>295.25904257516885</c:v>
                </c:pt>
                <c:pt idx="45">
                  <c:v>314.52912768369208</c:v>
                </c:pt>
                <c:pt idx="46">
                  <c:v>333.77304874821488</c:v>
                </c:pt>
                <c:pt idx="47">
                  <c:v>352.99252590905752</c:v>
                </c:pt>
                <c:pt idx="48">
                  <c:v>372.1890767431392</c:v>
                </c:pt>
                <c:pt idx="49">
                  <c:v>391.36404955187089</c:v>
                </c:pt>
                <c:pt idx="50">
                  <c:v>410.51864978264933</c:v>
                </c:pt>
                <c:pt idx="51">
                  <c:v>361.45014461667375</c:v>
                </c:pt>
                <c:pt idx="52">
                  <c:v>380.96715653184043</c:v>
                </c:pt>
                <c:pt idx="53">
                  <c:v>400.46242842840928</c:v>
                </c:pt>
                <c:pt idx="54">
                  <c:v>419.93716698819981</c:v>
                </c:pt>
                <c:pt idx="55">
                  <c:v>439.39245789344562</c:v>
                </c:pt>
                <c:pt idx="56">
                  <c:v>458.82928289019873</c:v>
                </c:pt>
                <c:pt idx="57">
                  <c:v>478.24853381001611</c:v>
                </c:pt>
                <c:pt idx="58">
                  <c:v>497.65102419606643</c:v>
                </c:pt>
                <c:pt idx="59">
                  <c:v>430.12020919230275</c:v>
                </c:pt>
                <c:pt idx="60">
                  <c:v>448.85740375593576</c:v>
                </c:pt>
                <c:pt idx="61">
                  <c:v>467.57786705730337</c:v>
                </c:pt>
                <c:pt idx="62">
                  <c:v>486.28236284852915</c:v>
                </c:pt>
                <c:pt idx="63">
                  <c:v>504.9715913698567</c:v>
                </c:pt>
                <c:pt idx="64">
                  <c:v>523.64619683432079</c:v>
                </c:pt>
                <c:pt idx="65">
                  <c:v>542.30677378956045</c:v>
                </c:pt>
                <c:pt idx="66">
                  <c:v>560.95387255882304</c:v>
                </c:pt>
                <c:pt idx="67">
                  <c:v>483.12287301095034</c:v>
                </c:pt>
                <c:pt idx="68">
                  <c:v>500.88040156064579</c:v>
                </c:pt>
                <c:pt idx="69">
                  <c:v>518.62460988083035</c:v>
                </c:pt>
                <c:pt idx="70">
                  <c:v>536.3560175939424</c:v>
                </c:pt>
                <c:pt idx="71">
                  <c:v>554.07510718571075</c:v>
                </c:pt>
                <c:pt idx="72">
                  <c:v>571.78232778630161</c:v>
                </c:pt>
                <c:pt idx="73">
                  <c:v>589.47809845895836</c:v>
                </c:pt>
                <c:pt idx="74">
                  <c:v>607.16281107343025</c:v>
                </c:pt>
                <c:pt idx="75">
                  <c:v>534.0652770890016</c:v>
                </c:pt>
                <c:pt idx="76">
                  <c:v>551.57651198639223</c:v>
                </c:pt>
                <c:pt idx="77">
                  <c:v>569.07609690520076</c:v>
                </c:pt>
                <c:pt idx="78">
                  <c:v>586.56444029427121</c:v>
                </c:pt>
                <c:pt idx="79">
                  <c:v>604.04192427781663</c:v>
                </c:pt>
                <c:pt idx="80">
                  <c:v>621.50890708020677</c:v>
                </c:pt>
                <c:pt idx="81">
                  <c:v>638.96572516416973</c:v>
                </c:pt>
                <c:pt idx="82">
                  <c:v>656.41269512333827</c:v>
                </c:pt>
                <c:pt idx="83">
                  <c:v>673.85011536326908</c:v>
                </c:pt>
                <c:pt idx="84">
                  <c:v>691.27826759955076</c:v>
                </c:pt>
                <c:pt idx="85">
                  <c:v>590.57338819665517</c:v>
                </c:pt>
                <c:pt idx="86">
                  <c:v>607.09028048942207</c:v>
                </c:pt>
                <c:pt idx="87">
                  <c:v>623.59784585855948</c:v>
                </c:pt>
                <c:pt idx="88">
                  <c:v>640.09636580371409</c:v>
                </c:pt>
                <c:pt idx="89">
                  <c:v>656.5861061405127</c:v>
                </c:pt>
                <c:pt idx="90">
                  <c:v>673.06731825443057</c:v>
                </c:pt>
                <c:pt idx="91">
                  <c:v>689.54024022555211</c:v>
                </c:pt>
                <c:pt idx="92">
                  <c:v>706.00509784034432</c:v>
                </c:pt>
                <c:pt idx="93">
                  <c:v>722.46210550421847</c:v>
                </c:pt>
                <c:pt idx="94">
                  <c:v>738.91146706668644</c:v>
                </c:pt>
                <c:pt idx="95">
                  <c:v>637.13716485658085</c:v>
                </c:pt>
                <c:pt idx="96">
                  <c:v>653.1348585090218</c:v>
                </c:pt>
                <c:pt idx="97">
                  <c:v>669.12447855411801</c:v>
                </c:pt>
                <c:pt idx="98">
                  <c:v>685.10624495595687</c:v>
                </c:pt>
                <c:pt idx="99">
                  <c:v>701.08036658735728</c:v>
                </c:pt>
                <c:pt idx="100">
                  <c:v>717.04704203428025</c:v>
                </c:pt>
                <c:pt idx="101">
                  <c:v>733.0064603249217</c:v>
                </c:pt>
                <c:pt idx="102">
                  <c:v>748.95880159206502</c:v>
                </c:pt>
                <c:pt idx="103">
                  <c:v>764.90423767611367</c:v>
                </c:pt>
                <c:pt idx="104">
                  <c:v>780.84293267527482</c:v>
                </c:pt>
                <c:pt idx="105">
                  <c:v>682.09216311170474</c:v>
                </c:pt>
                <c:pt idx="106">
                  <c:v>697.80696994124844</c:v>
                </c:pt>
                <c:pt idx="107">
                  <c:v>713.51453313820082</c:v>
                </c:pt>
                <c:pt idx="108">
                  <c:v>729.21503450467515</c:v>
                </c:pt>
                <c:pt idx="109">
                  <c:v>744.90864738226776</c:v>
                </c:pt>
                <c:pt idx="110">
                  <c:v>760.59553721938767</c:v>
                </c:pt>
                <c:pt idx="111">
                  <c:v>776.27586208939147</c:v>
                </c:pt>
                <c:pt idx="112">
                  <c:v>791.94977316471579</c:v>
                </c:pt>
                <c:pt idx="113">
                  <c:v>807.61741515155848</c:v>
                </c:pt>
                <c:pt idx="114">
                  <c:v>823.27892668911011</c:v>
                </c:pt>
                <c:pt idx="115">
                  <c:v>732.63189896797348</c:v>
                </c:pt>
                <c:pt idx="116">
                  <c:v>748.47987654126098</c:v>
                </c:pt>
                <c:pt idx="117">
                  <c:v>764.321034175568</c:v>
                </c:pt>
                <c:pt idx="118">
                  <c:v>780.15553300760382</c:v>
                </c:pt>
                <c:pt idx="119">
                  <c:v>795.98352710569088</c:v>
                </c:pt>
                <c:pt idx="120">
                  <c:v>811.80516391708795</c:v>
                </c:pt>
                <c:pt idx="121">
                  <c:v>827.62058467865961</c:v>
                </c:pt>
                <c:pt idx="122">
                  <c:v>843.42992479455927</c:v>
                </c:pt>
                <c:pt idx="123">
                  <c:v>859.23331418414864</c:v>
                </c:pt>
                <c:pt idx="124">
                  <c:v>875.03087760301878</c:v>
                </c:pt>
                <c:pt idx="125">
                  <c:v>791.52264552872691</c:v>
                </c:pt>
                <c:pt idx="126">
                  <c:v>807.64587889820859</c:v>
                </c:pt>
                <c:pt idx="127">
                  <c:v>823.76262040347035</c:v>
                </c:pt>
                <c:pt idx="128">
                  <c:v>839.87301482361215</c:v>
                </c:pt>
                <c:pt idx="129">
                  <c:v>855.97720093628323</c:v>
                </c:pt>
                <c:pt idx="130">
                  <c:v>872.07531187698567</c:v>
                </c:pt>
                <c:pt idx="131">
                  <c:v>888.16747547050124</c:v>
                </c:pt>
                <c:pt idx="132">
                  <c:v>904.25381453707325</c:v>
                </c:pt>
                <c:pt idx="133">
                  <c:v>920.33444717569864</c:v>
                </c:pt>
                <c:pt idx="134">
                  <c:v>936.40948702660933</c:v>
                </c:pt>
                <c:pt idx="135">
                  <c:v>848.55809489614876</c:v>
                </c:pt>
                <c:pt idx="136">
                  <c:v>864.78405734065075</c:v>
                </c:pt>
                <c:pt idx="137">
                  <c:v>881.00392150254174</c:v>
                </c:pt>
                <c:pt idx="138">
                  <c:v>897.21781535067532</c:v>
                </c:pt>
                <c:pt idx="139">
                  <c:v>913.4258618568432</c:v>
                </c:pt>
                <c:pt idx="140">
                  <c:v>929.62817927791514</c:v>
                </c:pt>
                <c:pt idx="141">
                  <c:v>945.82488141730835</c:v>
                </c:pt>
                <c:pt idx="142">
                  <c:v>962.01607786763998</c:v>
                </c:pt>
                <c:pt idx="143">
                  <c:v>978.20187423621553</c:v>
                </c:pt>
                <c:pt idx="144">
                  <c:v>994.38237235483382</c:v>
                </c:pt>
                <c:pt idx="145">
                  <c:v>905.00354968761405</c:v>
                </c:pt>
                <c:pt idx="146">
                  <c:v>921.57788263141322</c:v>
                </c:pt>
                <c:pt idx="147">
                  <c:v>938.14628296732155</c:v>
                </c:pt>
                <c:pt idx="148">
                  <c:v>954.70887010616536</c:v>
                </c:pt>
                <c:pt idx="149">
                  <c:v>971.26575898286592</c:v>
                </c:pt>
                <c:pt idx="150">
                  <c:v>987.81706029919644</c:v>
                </c:pt>
                <c:pt idx="151">
                  <c:v>1004.3628807494425</c:v>
                </c:pt>
                <c:pt idx="152">
                  <c:v>1020.9033232304419</c:v>
                </c:pt>
                <c:pt idx="153">
                  <c:v>1037.4384870373203</c:v>
                </c:pt>
                <c:pt idx="154">
                  <c:v>1053.9684680461196</c:v>
                </c:pt>
                <c:pt idx="155">
                  <c:v>966.62601140514414</c:v>
                </c:pt>
                <c:pt idx="156">
                  <c:v>983.44348696843338</c:v>
                </c:pt>
                <c:pt idx="157">
                  <c:v>1000.2552762703218</c:v>
                </c:pt>
                <c:pt idx="158">
                  <c:v>1017.0614882239994</c:v>
                </c:pt>
                <c:pt idx="159">
                  <c:v>1033.8622278544997</c:v>
                </c:pt>
                <c:pt idx="160">
                  <c:v>1050.6575964997107</c:v>
                </c:pt>
                <c:pt idx="161">
                  <c:v>1067.4476919978817</c:v>
                </c:pt>
                <c:pt idx="162">
                  <c:v>1084.2326088627349</c:v>
                </c:pt>
                <c:pt idx="163">
                  <c:v>1101.0124384471885</c:v>
                </c:pt>
                <c:pt idx="164">
                  <c:v>1117.7872690965926</c:v>
                </c:pt>
                <c:pt idx="165">
                  <c:v>1022.3009702525984</c:v>
                </c:pt>
                <c:pt idx="166">
                  <c:v>1039.2548467740485</c:v>
                </c:pt>
                <c:pt idx="167">
                  <c:v>1056.2032852046932</c:v>
                </c:pt>
                <c:pt idx="168">
                  <c:v>1073.1463849816832</c:v>
                </c:pt>
                <c:pt idx="169">
                  <c:v>1090.0842421506763</c:v>
                </c:pt>
                <c:pt idx="170">
                  <c:v>1107.0169495334719</c:v>
                </c:pt>
                <c:pt idx="171">
                  <c:v>1123.9445968848709</c:v>
                </c:pt>
                <c:pt idx="172">
                  <c:v>1140.8672710396083</c:v>
                </c:pt>
                <c:pt idx="173">
                  <c:v>1157.7850560501302</c:v>
                </c:pt>
                <c:pt idx="174">
                  <c:v>1174.6980333159111</c:v>
                </c:pt>
                <c:pt idx="175">
                  <c:v>764.28114044668121</c:v>
                </c:pt>
                <c:pt idx="176">
                  <c:v>759.96856868640737</c:v>
                </c:pt>
                <c:pt idx="177">
                  <c:v>755.65550007785362</c:v>
                </c:pt>
                <c:pt idx="178">
                  <c:v>534.6528133258779</c:v>
                </c:pt>
                <c:pt idx="179">
                  <c:v>533.25571791442655</c:v>
                </c:pt>
                <c:pt idx="180">
                  <c:v>531.85854549909379</c:v>
                </c:pt>
                <c:pt idx="181">
                  <c:v>381.0876374622872</c:v>
                </c:pt>
                <c:pt idx="182">
                  <c:v>379.56469744116322</c:v>
                </c:pt>
                <c:pt idx="183">
                  <c:v>378.04162441819039</c:v>
                </c:pt>
                <c:pt idx="184">
                  <c:v>45.359988241527674</c:v>
                </c:pt>
                <c:pt idx="185">
                  <c:v>45.359988241527674</c:v>
                </c:pt>
                <c:pt idx="186">
                  <c:v>45.359988241527674</c:v>
                </c:pt>
                <c:pt idx="187">
                  <c:v>45.359988241527674</c:v>
                </c:pt>
                <c:pt idx="188">
                  <c:v>45.359988241527674</c:v>
                </c:pt>
                <c:pt idx="189">
                  <c:v>45.359988241527674</c:v>
                </c:pt>
                <c:pt idx="190">
                  <c:v>45.359988241527674</c:v>
                </c:pt>
                <c:pt idx="191">
                  <c:v>45.359988241527674</c:v>
                </c:pt>
                <c:pt idx="192">
                  <c:v>45.359988241527674</c:v>
                </c:pt>
                <c:pt idx="193">
                  <c:v>45.359988241527674</c:v>
                </c:pt>
                <c:pt idx="194">
                  <c:v>45.359988241527674</c:v>
                </c:pt>
                <c:pt idx="195">
                  <c:v>45.359988241527674</c:v>
                </c:pt>
                <c:pt idx="196">
                  <c:v>45.359988241527674</c:v>
                </c:pt>
                <c:pt idx="197">
                  <c:v>45.359988241527674</c:v>
                </c:pt>
                <c:pt idx="198">
                  <c:v>45.359988241527674</c:v>
                </c:pt>
                <c:pt idx="199">
                  <c:v>45.359988241527674</c:v>
                </c:pt>
                <c:pt idx="200">
                  <c:v>45.359988241527674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7" zoomScale="70" zoomScaleNormal="70" workbookViewId="0">
      <selection activeCell="F96" sqref="F9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3.86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0.94531857235888506</v>
      </c>
      <c r="D9" s="33">
        <f t="shared" ref="D9:D18" si="0">C9*$C$5</f>
        <v>3.6489296893052963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5</v>
      </c>
      <c r="C10" s="264">
        <v>2.877969875848161E-2</v>
      </c>
      <c r="D10" s="33">
        <f t="shared" si="0"/>
        <v>0.11108963720773901</v>
      </c>
      <c r="E10" s="265">
        <v>90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10</v>
      </c>
      <c r="C11" s="264">
        <v>5.7559397516963222E-3</v>
      </c>
      <c r="D11" s="33">
        <f t="shared" si="0"/>
        <v>2.2217927441547804E-2</v>
      </c>
      <c r="E11" s="265">
        <v>183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327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 t="s">
        <v>51</v>
      </c>
      <c r="C12" s="264">
        <v>1.4389849379240805E-2</v>
      </c>
      <c r="D12" s="33">
        <f t="shared" si="0"/>
        <v>5.5544818603869506E-2</v>
      </c>
      <c r="E12" s="265">
        <v>24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14</v>
      </c>
      <c r="C13" s="32">
        <v>5.7559397516963222E-3</v>
      </c>
      <c r="D13" s="33">
        <f t="shared" si="0"/>
        <v>2.2217927441547804E-2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327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1.0000000000000002</v>
      </c>
      <c r="D19" s="38">
        <f>SUM(D9:D18)</f>
        <v>3.8600000000000003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Bouleau verruqueux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15</v>
      </c>
      <c r="B62" s="261">
        <v>42</v>
      </c>
      <c r="C62" s="261"/>
      <c r="D62" s="261">
        <v>0</v>
      </c>
      <c r="E62" s="260"/>
      <c r="F62" s="260"/>
      <c r="G62" s="260"/>
      <c r="H62" s="260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20</v>
      </c>
      <c r="B63" s="261">
        <v>69</v>
      </c>
      <c r="C63" s="261">
        <v>1</v>
      </c>
      <c r="D63" s="261">
        <v>15</v>
      </c>
      <c r="E63" s="260"/>
      <c r="F63" s="260"/>
      <c r="G63" s="260"/>
      <c r="H63" s="260">
        <v>1</v>
      </c>
      <c r="I63" s="49">
        <f>IF(A63&lt;&gt;0,(B63-(B62-D62))/(A63-A62),"")</f>
        <v>5.4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25</v>
      </c>
      <c r="B64" s="261">
        <v>83</v>
      </c>
      <c r="C64" s="261">
        <v>2</v>
      </c>
      <c r="D64" s="261">
        <v>10</v>
      </c>
      <c r="E64" s="260"/>
      <c r="F64" s="260"/>
      <c r="G64" s="260"/>
      <c r="H64" s="260">
        <v>1</v>
      </c>
      <c r="I64" s="49">
        <f>IF(A64&lt;&gt;0,(B64-(B63-D63))/(A64-A63),"")</f>
        <v>5.8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30</v>
      </c>
      <c r="B65" s="261">
        <v>103</v>
      </c>
      <c r="C65" s="261">
        <v>3</v>
      </c>
      <c r="D65" s="261">
        <v>11</v>
      </c>
      <c r="E65" s="260"/>
      <c r="F65" s="260"/>
      <c r="G65" s="260"/>
      <c r="H65" s="260">
        <v>1</v>
      </c>
      <c r="I65" s="49">
        <f>IF(A65&lt;&gt;0,(B65-(B64-D64))/(A65-A64),"")</f>
        <v>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35</v>
      </c>
      <c r="B66" s="261">
        <v>121</v>
      </c>
      <c r="C66" s="261">
        <v>4</v>
      </c>
      <c r="D66" s="261">
        <v>12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5.8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40</v>
      </c>
      <c r="B67" s="261">
        <v>139</v>
      </c>
      <c r="C67" s="261">
        <v>5</v>
      </c>
      <c r="D67" s="261">
        <v>13</v>
      </c>
      <c r="E67" s="260">
        <v>1</v>
      </c>
      <c r="F67" s="260"/>
      <c r="G67" s="260"/>
      <c r="H67" s="260"/>
      <c r="I67" s="49">
        <f t="shared" si="2"/>
        <v>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45</v>
      </c>
      <c r="B68" s="261">
        <v>156</v>
      </c>
      <c r="C68" s="261">
        <v>6</v>
      </c>
      <c r="D68" s="261">
        <v>14</v>
      </c>
      <c r="E68" s="260">
        <v>1</v>
      </c>
      <c r="F68" s="260"/>
      <c r="G68" s="260"/>
      <c r="H68" s="260"/>
      <c r="I68" s="49">
        <f t="shared" si="2"/>
        <v>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50</v>
      </c>
      <c r="B69" s="261">
        <v>171</v>
      </c>
      <c r="C69" s="261">
        <v>7</v>
      </c>
      <c r="D69" s="261">
        <v>14</v>
      </c>
      <c r="E69" s="260">
        <v>1</v>
      </c>
      <c r="F69" s="260"/>
      <c r="G69" s="260"/>
      <c r="H69" s="260"/>
      <c r="I69" s="49">
        <f t="shared" si="2"/>
        <v>5.8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55</v>
      </c>
      <c r="B70" s="261">
        <v>184</v>
      </c>
      <c r="C70" s="261">
        <v>8</v>
      </c>
      <c r="D70" s="261">
        <v>14</v>
      </c>
      <c r="E70" s="260">
        <v>1</v>
      </c>
      <c r="F70" s="260"/>
      <c r="G70" s="260"/>
      <c r="H70" s="260"/>
      <c r="I70" s="49">
        <f t="shared" si="2"/>
        <v>5.4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60</v>
      </c>
      <c r="B71" s="261">
        <v>197</v>
      </c>
      <c r="C71" s="261">
        <v>9</v>
      </c>
      <c r="D71" s="261">
        <v>14</v>
      </c>
      <c r="E71" s="260">
        <v>1</v>
      </c>
      <c r="F71" s="260"/>
      <c r="G71" s="260"/>
      <c r="H71" s="260"/>
      <c r="I71" s="49">
        <f t="shared" si="2"/>
        <v>5.4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65</v>
      </c>
      <c r="B72" s="261">
        <v>208</v>
      </c>
      <c r="C72" s="261">
        <v>10</v>
      </c>
      <c r="D72" s="261">
        <v>14</v>
      </c>
      <c r="E72" s="260">
        <v>1</v>
      </c>
      <c r="F72" s="260"/>
      <c r="G72" s="260"/>
      <c r="H72" s="260"/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70</v>
      </c>
      <c r="B73" s="261">
        <v>218</v>
      </c>
      <c r="C73" s="261">
        <v>11</v>
      </c>
      <c r="D73" s="261">
        <v>14</v>
      </c>
      <c r="E73" s="260">
        <v>1</v>
      </c>
      <c r="F73" s="260"/>
      <c r="G73" s="260"/>
      <c r="H73" s="260"/>
      <c r="I73" s="49">
        <f t="shared" si="2"/>
        <v>4.8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75</v>
      </c>
      <c r="B74" s="261">
        <v>227</v>
      </c>
      <c r="C74" s="261">
        <v>12</v>
      </c>
      <c r="D74" s="261">
        <v>14</v>
      </c>
      <c r="E74" s="260">
        <v>1</v>
      </c>
      <c r="F74" s="260"/>
      <c r="G74" s="260"/>
      <c r="H74" s="260"/>
      <c r="I74" s="49">
        <f t="shared" si="2"/>
        <v>4.5999999999999996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80</v>
      </c>
      <c r="B75" s="261">
        <v>234</v>
      </c>
      <c r="C75" s="261">
        <v>13</v>
      </c>
      <c r="D75" s="261">
        <v>13</v>
      </c>
      <c r="E75" s="260">
        <v>1</v>
      </c>
      <c r="F75" s="260"/>
      <c r="G75" s="260"/>
      <c r="H75" s="260"/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85</v>
      </c>
      <c r="B76" s="261">
        <v>241</v>
      </c>
      <c r="C76" s="261">
        <v>14</v>
      </c>
      <c r="D76" s="261">
        <v>13</v>
      </c>
      <c r="E76" s="260">
        <v>1</v>
      </c>
      <c r="F76" s="260"/>
      <c r="G76" s="260"/>
      <c r="H76" s="260"/>
      <c r="I76" s="49">
        <f t="shared" si="2"/>
        <v>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90</v>
      </c>
      <c r="B77" s="257">
        <v>246</v>
      </c>
      <c r="C77" s="256">
        <v>15</v>
      </c>
      <c r="D77" s="256">
        <v>12</v>
      </c>
      <c r="E77" s="255">
        <v>1</v>
      </c>
      <c r="F77" s="255"/>
      <c r="G77" s="255"/>
      <c r="H77" s="255"/>
      <c r="I77" s="49">
        <f t="shared" si="2"/>
        <v>3.6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Chêne-liège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30</v>
      </c>
      <c r="B88" s="261">
        <v>75.346153846153854</v>
      </c>
      <c r="C88" s="261"/>
      <c r="D88" s="261"/>
      <c r="E88" s="260"/>
      <c r="F88" s="260"/>
      <c r="G88" s="260"/>
      <c r="H88" s="260"/>
      <c r="I88" s="53">
        <f>IFERROR(B88/A88,"")</f>
        <v>2.5115384615384619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42</v>
      </c>
      <c r="B89" s="261">
        <v>171.96</v>
      </c>
      <c r="C89" s="261">
        <v>1</v>
      </c>
      <c r="D89" s="261">
        <v>43.21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8.0511538461538468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50</v>
      </c>
      <c r="B90" s="261">
        <v>208.33</v>
      </c>
      <c r="C90" s="261">
        <v>2</v>
      </c>
      <c r="D90" s="261">
        <v>35.58</v>
      </c>
      <c r="E90" s="260">
        <v>1</v>
      </c>
      <c r="F90" s="260"/>
      <c r="G90" s="260"/>
      <c r="H90" s="260"/>
      <c r="I90" s="53">
        <f t="shared" si="3"/>
        <v>9.9475000000000016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58</v>
      </c>
      <c r="B91" s="261">
        <v>253.7</v>
      </c>
      <c r="C91" s="261">
        <v>3</v>
      </c>
      <c r="D91" s="261">
        <v>44.93</v>
      </c>
      <c r="E91" s="260">
        <v>1</v>
      </c>
      <c r="F91" s="260"/>
      <c r="G91" s="260"/>
      <c r="H91" s="260"/>
      <c r="I91" s="53">
        <f t="shared" si="3"/>
        <v>10.118749999999999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66</v>
      </c>
      <c r="B92" s="261">
        <v>286.77</v>
      </c>
      <c r="C92" s="261">
        <v>4</v>
      </c>
      <c r="D92" s="261">
        <v>49.91</v>
      </c>
      <c r="E92" s="260">
        <v>1</v>
      </c>
      <c r="F92" s="260"/>
      <c r="G92" s="260"/>
      <c r="H92" s="260"/>
      <c r="I92" s="53">
        <f t="shared" si="3"/>
        <v>9.75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74</v>
      </c>
      <c r="B93" s="261">
        <v>310.95999999999998</v>
      </c>
      <c r="C93" s="261">
        <v>5</v>
      </c>
      <c r="D93" s="261">
        <v>47.4</v>
      </c>
      <c r="E93" s="260">
        <v>1</v>
      </c>
      <c r="F93" s="260"/>
      <c r="G93" s="260"/>
      <c r="H93" s="260"/>
      <c r="I93" s="53">
        <f t="shared" si="3"/>
        <v>9.2624999999999993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84</v>
      </c>
      <c r="B94" s="261">
        <v>355.09</v>
      </c>
      <c r="C94" s="261">
        <v>6</v>
      </c>
      <c r="D94" s="261">
        <v>61.47</v>
      </c>
      <c r="E94" s="260">
        <v>1</v>
      </c>
      <c r="F94" s="260"/>
      <c r="G94" s="260"/>
      <c r="H94" s="260"/>
      <c r="I94" s="53">
        <f t="shared" si="3"/>
        <v>9.1529999999999969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94</v>
      </c>
      <c r="B95" s="261">
        <v>380.13</v>
      </c>
      <c r="C95" s="261">
        <v>7</v>
      </c>
      <c r="D95" s="261">
        <v>61.85</v>
      </c>
      <c r="E95" s="260">
        <v>1</v>
      </c>
      <c r="F95" s="260"/>
      <c r="G95" s="260"/>
      <c r="H95" s="260"/>
      <c r="I95" s="53">
        <f t="shared" si="3"/>
        <v>8.6509999999999998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104</v>
      </c>
      <c r="B96" s="261">
        <v>402.2</v>
      </c>
      <c r="C96" s="261">
        <v>8</v>
      </c>
      <c r="D96" s="261">
        <v>60.19</v>
      </c>
      <c r="E96" s="260">
        <v>1</v>
      </c>
      <c r="F96" s="260"/>
      <c r="G96" s="260"/>
      <c r="H96" s="260"/>
      <c r="I96" s="53">
        <f t="shared" si="3"/>
        <v>8.3920000000000012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114</v>
      </c>
      <c r="B97" s="261">
        <v>424.56</v>
      </c>
      <c r="C97" s="261">
        <v>9</v>
      </c>
      <c r="D97" s="261">
        <v>56.07</v>
      </c>
      <c r="E97" s="260">
        <v>1</v>
      </c>
      <c r="F97" s="260"/>
      <c r="G97" s="260"/>
      <c r="H97" s="260"/>
      <c r="I97" s="53">
        <f t="shared" si="3"/>
        <v>8.2550000000000008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124</v>
      </c>
      <c r="B98" s="261">
        <v>451.86</v>
      </c>
      <c r="C98" s="261">
        <v>10</v>
      </c>
      <c r="D98" s="261">
        <v>52.53</v>
      </c>
      <c r="E98" s="260">
        <v>1</v>
      </c>
      <c r="F98" s="260"/>
      <c r="G98" s="260"/>
      <c r="H98" s="260"/>
      <c r="I98" s="53">
        <f t="shared" si="3"/>
        <v>8.3369999999999997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134</v>
      </c>
      <c r="B99" s="261">
        <v>484.28</v>
      </c>
      <c r="C99" s="261">
        <v>11</v>
      </c>
      <c r="D99" s="261">
        <v>54.95</v>
      </c>
      <c r="E99" s="260">
        <v>1</v>
      </c>
      <c r="F99" s="260"/>
      <c r="G99" s="260"/>
      <c r="H99" s="260"/>
      <c r="I99" s="53">
        <f t="shared" si="3"/>
        <v>8.4949999999999939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144</v>
      </c>
      <c r="B100" s="261">
        <v>514.94000000000005</v>
      </c>
      <c r="C100" s="261">
        <v>12</v>
      </c>
      <c r="D100" s="261">
        <v>56.01</v>
      </c>
      <c r="E100" s="260">
        <v>1</v>
      </c>
      <c r="F100" s="260"/>
      <c r="G100" s="260"/>
      <c r="H100" s="260"/>
      <c r="I100" s="53">
        <f t="shared" si="3"/>
        <v>8.561000000000007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154</v>
      </c>
      <c r="B101" s="261">
        <v>546.49</v>
      </c>
      <c r="C101" s="261">
        <v>13</v>
      </c>
      <c r="D101" s="261">
        <v>55.13</v>
      </c>
      <c r="E101" s="260">
        <v>1</v>
      </c>
      <c r="F101" s="260"/>
      <c r="G101" s="260"/>
      <c r="H101" s="260"/>
      <c r="I101" s="53">
        <f t="shared" si="3"/>
        <v>8.7559999999999949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>
        <v>164</v>
      </c>
      <c r="B102" s="261">
        <v>580.32000000000005</v>
      </c>
      <c r="C102" s="261">
        <v>14</v>
      </c>
      <c r="D102" s="261">
        <v>59.58</v>
      </c>
      <c r="E102" s="260">
        <v>1</v>
      </c>
      <c r="F102" s="260"/>
      <c r="G102" s="260"/>
      <c r="H102" s="260"/>
      <c r="I102" s="53">
        <f t="shared" si="3"/>
        <v>8.8960000000000043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>
        <v>174</v>
      </c>
      <c r="B103" s="257">
        <v>610.52</v>
      </c>
      <c r="C103" s="256">
        <v>15</v>
      </c>
      <c r="D103" s="256">
        <v>214.77</v>
      </c>
      <c r="E103" s="255">
        <v>1</v>
      </c>
      <c r="F103" s="255"/>
      <c r="G103" s="255"/>
      <c r="H103" s="255"/>
      <c r="I103" s="53">
        <f t="shared" si="3"/>
        <v>8.977999999999998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>
        <v>177</v>
      </c>
      <c r="B104" s="257">
        <v>388.94</v>
      </c>
      <c r="C104" s="256">
        <v>16</v>
      </c>
      <c r="D104" s="256">
        <v>115.19</v>
      </c>
      <c r="E104" s="255">
        <v>1</v>
      </c>
      <c r="F104" s="255"/>
      <c r="G104" s="255"/>
      <c r="H104" s="255"/>
      <c r="I104" s="53">
        <f t="shared" si="3"/>
        <v>-2.2700000000000009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>
        <v>180</v>
      </c>
      <c r="B105" s="257">
        <v>271.56</v>
      </c>
      <c r="C105" s="256">
        <v>17</v>
      </c>
      <c r="D105" s="256">
        <v>77.72</v>
      </c>
      <c r="E105" s="255">
        <v>1</v>
      </c>
      <c r="F105" s="255"/>
      <c r="G105" s="255"/>
      <c r="H105" s="255"/>
      <c r="I105" s="53">
        <f t="shared" si="3"/>
        <v>-0.72999999999999921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>
        <v>183</v>
      </c>
      <c r="B106" s="257">
        <v>191.47</v>
      </c>
      <c r="C106" s="256">
        <v>18</v>
      </c>
      <c r="D106" s="256">
        <v>169.76</v>
      </c>
      <c r="E106" s="255">
        <v>1</v>
      </c>
      <c r="F106" s="255"/>
      <c r="G106" s="255"/>
      <c r="H106" s="255"/>
      <c r="I106" s="53">
        <f t="shared" si="3"/>
        <v>-0.79000000000000148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Tremble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>
        <v>9</v>
      </c>
      <c r="B114" s="261">
        <v>150</v>
      </c>
      <c r="C114" s="261"/>
      <c r="D114" s="261"/>
      <c r="E114" s="260"/>
      <c r="F114" s="260"/>
      <c r="G114" s="260"/>
      <c r="H114" s="260"/>
      <c r="I114" s="53">
        <f>IFERROR(B114/A114,"")</f>
        <v>16.666666666666668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>
        <v>14</v>
      </c>
      <c r="B115" s="261">
        <v>425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55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>
        <v>19</v>
      </c>
      <c r="B116" s="261">
        <v>480</v>
      </c>
      <c r="C116" s="261"/>
      <c r="D116" s="261"/>
      <c r="E116" s="260"/>
      <c r="F116" s="260"/>
      <c r="G116" s="260"/>
      <c r="H116" s="260"/>
      <c r="I116" s="53">
        <f t="shared" si="4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>
        <v>24</v>
      </c>
      <c r="B117" s="261">
        <v>500</v>
      </c>
      <c r="C117" s="261" t="s">
        <v>324</v>
      </c>
      <c r="D117" s="261">
        <v>500</v>
      </c>
      <c r="E117" s="260">
        <v>0.77</v>
      </c>
      <c r="F117" s="260">
        <v>0.21</v>
      </c>
      <c r="G117" s="260">
        <v>0</v>
      </c>
      <c r="H117" s="260">
        <v>0</v>
      </c>
      <c r="I117" s="53">
        <f t="shared" si="4"/>
        <v>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sessile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75.346153846153854</v>
      </c>
      <c r="C140" s="50"/>
      <c r="D140" s="60"/>
      <c r="E140" s="51"/>
      <c r="F140" s="51"/>
      <c r="G140" s="51"/>
      <c r="H140" s="51"/>
      <c r="I140" s="57">
        <f>IFERROR(B140/A140,"")</f>
        <v>2.5115384615384619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42</v>
      </c>
      <c r="B141" s="60">
        <v>171.96</v>
      </c>
      <c r="C141" s="50">
        <v>1</v>
      </c>
      <c r="D141" s="60">
        <v>43.21</v>
      </c>
      <c r="E141" s="51">
        <v>1</v>
      </c>
      <c r="F141" s="51"/>
      <c r="G141" s="51"/>
      <c r="H141" s="51"/>
      <c r="I141" s="57">
        <f t="shared" ref="I141:I159" si="5">IF(A141&lt;&gt;0,(B141-(B140-D140))/(A141-A140),"")</f>
        <v>8.0511538461538468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50</v>
      </c>
      <c r="B142" s="60">
        <v>208.33</v>
      </c>
      <c r="C142" s="50">
        <v>2</v>
      </c>
      <c r="D142" s="60">
        <v>35.58</v>
      </c>
      <c r="E142" s="51">
        <v>1</v>
      </c>
      <c r="F142" s="51"/>
      <c r="G142" s="51"/>
      <c r="H142" s="51"/>
      <c r="I142" s="57">
        <f t="shared" si="5"/>
        <v>9.9475000000000016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58</v>
      </c>
      <c r="B143" s="60">
        <v>253.7</v>
      </c>
      <c r="C143" s="50">
        <v>3</v>
      </c>
      <c r="D143" s="60">
        <v>44.93</v>
      </c>
      <c r="E143" s="51">
        <v>1</v>
      </c>
      <c r="F143" s="51"/>
      <c r="G143" s="51"/>
      <c r="H143" s="51"/>
      <c r="I143" s="57">
        <f t="shared" si="5"/>
        <v>10.118749999999999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66</v>
      </c>
      <c r="B144" s="60">
        <v>286.77</v>
      </c>
      <c r="C144" s="50">
        <v>4</v>
      </c>
      <c r="D144" s="60">
        <v>49.91</v>
      </c>
      <c r="E144" s="51">
        <v>1</v>
      </c>
      <c r="F144" s="51"/>
      <c r="G144" s="51"/>
      <c r="H144" s="51"/>
      <c r="I144" s="57">
        <f t="shared" si="5"/>
        <v>9.75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74</v>
      </c>
      <c r="B145" s="60">
        <v>310.95999999999998</v>
      </c>
      <c r="C145" s="50">
        <v>5</v>
      </c>
      <c r="D145" s="60">
        <v>47.4</v>
      </c>
      <c r="E145" s="51">
        <v>1</v>
      </c>
      <c r="F145" s="51"/>
      <c r="G145" s="51"/>
      <c r="H145" s="51"/>
      <c r="I145" s="57">
        <f t="shared" si="5"/>
        <v>9.2624999999999993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355.09</v>
      </c>
      <c r="C146" s="50">
        <v>6</v>
      </c>
      <c r="D146" s="60">
        <v>61.47</v>
      </c>
      <c r="E146" s="51">
        <v>1</v>
      </c>
      <c r="F146" s="51"/>
      <c r="G146" s="51"/>
      <c r="H146" s="51"/>
      <c r="I146" s="57">
        <f t="shared" si="5"/>
        <v>9.1529999999999969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94</v>
      </c>
      <c r="B147" s="60">
        <v>380.13</v>
      </c>
      <c r="C147" s="50">
        <v>7</v>
      </c>
      <c r="D147" s="60">
        <v>61.85</v>
      </c>
      <c r="E147" s="51">
        <v>1</v>
      </c>
      <c r="F147" s="51"/>
      <c r="G147" s="51"/>
      <c r="H147" s="51"/>
      <c r="I147" s="57">
        <f>IF(A147&lt;&gt;0,(B147-(B146-D146))/(A147-A146),"")</f>
        <v>8.6509999999999998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104</v>
      </c>
      <c r="B148" s="60">
        <v>402.2</v>
      </c>
      <c r="C148" s="50">
        <v>8</v>
      </c>
      <c r="D148" s="60">
        <v>60.19</v>
      </c>
      <c r="E148" s="51">
        <v>1</v>
      </c>
      <c r="F148" s="51"/>
      <c r="G148" s="51"/>
      <c r="H148" s="51"/>
      <c r="I148" s="57">
        <f t="shared" si="5"/>
        <v>8.3920000000000012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114</v>
      </c>
      <c r="B149" s="60">
        <v>424.56</v>
      </c>
      <c r="C149" s="50">
        <v>9</v>
      </c>
      <c r="D149" s="60">
        <v>56.07</v>
      </c>
      <c r="E149" s="51">
        <v>1</v>
      </c>
      <c r="F149" s="51"/>
      <c r="G149" s="51"/>
      <c r="H149" s="51"/>
      <c r="I149" s="57">
        <f t="shared" si="5"/>
        <v>8.2550000000000008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124</v>
      </c>
      <c r="B150" s="60">
        <v>451.86</v>
      </c>
      <c r="C150" s="50">
        <v>10</v>
      </c>
      <c r="D150" s="60">
        <v>52.53</v>
      </c>
      <c r="E150" s="51">
        <v>1</v>
      </c>
      <c r="F150" s="51"/>
      <c r="G150" s="51"/>
      <c r="H150" s="51"/>
      <c r="I150" s="57">
        <f t="shared" si="5"/>
        <v>8.3369999999999997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134</v>
      </c>
      <c r="B151" s="60">
        <v>484.28</v>
      </c>
      <c r="C151" s="50">
        <v>11</v>
      </c>
      <c r="D151" s="60">
        <v>54.95</v>
      </c>
      <c r="E151" s="51">
        <v>1</v>
      </c>
      <c r="F151" s="51"/>
      <c r="G151" s="51"/>
      <c r="H151" s="51"/>
      <c r="I151" s="57">
        <f t="shared" si="5"/>
        <v>8.4949999999999939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144</v>
      </c>
      <c r="B152" s="60">
        <v>514.94000000000005</v>
      </c>
      <c r="C152" s="50">
        <v>12</v>
      </c>
      <c r="D152" s="60">
        <v>56.01</v>
      </c>
      <c r="E152" s="54">
        <v>1</v>
      </c>
      <c r="F152" s="54"/>
      <c r="G152" s="54"/>
      <c r="H152" s="54"/>
      <c r="I152" s="57">
        <f t="shared" si="5"/>
        <v>8.561000000000007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154</v>
      </c>
      <c r="B153" s="60">
        <v>546.49</v>
      </c>
      <c r="C153" s="50">
        <v>13</v>
      </c>
      <c r="D153" s="60">
        <v>55.13</v>
      </c>
      <c r="E153" s="54">
        <v>1</v>
      </c>
      <c r="F153" s="54"/>
      <c r="G153" s="54"/>
      <c r="H153" s="54"/>
      <c r="I153" s="57">
        <f t="shared" si="5"/>
        <v>8.7559999999999949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164</v>
      </c>
      <c r="B154" s="56">
        <v>580.32000000000005</v>
      </c>
      <c r="C154" s="50">
        <v>14</v>
      </c>
      <c r="D154" s="50">
        <v>59.58</v>
      </c>
      <c r="E154" s="54">
        <v>1</v>
      </c>
      <c r="F154" s="54"/>
      <c r="G154" s="54"/>
      <c r="H154" s="54"/>
      <c r="I154" s="57">
        <f t="shared" si="5"/>
        <v>8.8960000000000043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174</v>
      </c>
      <c r="B155" s="56">
        <v>610.52</v>
      </c>
      <c r="C155" s="50">
        <v>15</v>
      </c>
      <c r="D155" s="50">
        <v>214.77</v>
      </c>
      <c r="E155" s="54">
        <v>1</v>
      </c>
      <c r="F155" s="54"/>
      <c r="G155" s="54"/>
      <c r="H155" s="54"/>
      <c r="I155" s="57">
        <f t="shared" si="5"/>
        <v>8.977999999999998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177</v>
      </c>
      <c r="B156" s="56">
        <v>388.94</v>
      </c>
      <c r="C156" s="50">
        <v>16</v>
      </c>
      <c r="D156" s="50">
        <v>115.19</v>
      </c>
      <c r="E156" s="54">
        <v>1</v>
      </c>
      <c r="F156" s="54"/>
      <c r="G156" s="54"/>
      <c r="H156" s="54"/>
      <c r="I156" s="57">
        <f t="shared" si="5"/>
        <v>-2.2700000000000009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180</v>
      </c>
      <c r="B157" s="56">
        <v>271.56</v>
      </c>
      <c r="C157" s="50">
        <v>17</v>
      </c>
      <c r="D157" s="50">
        <v>77.72</v>
      </c>
      <c r="E157" s="54">
        <v>1</v>
      </c>
      <c r="F157" s="54"/>
      <c r="G157" s="54"/>
      <c r="H157" s="54"/>
      <c r="I157" s="57">
        <f t="shared" si="5"/>
        <v>-0.72999999999999921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183</v>
      </c>
      <c r="B158" s="56">
        <v>191.47</v>
      </c>
      <c r="C158" s="50">
        <v>18</v>
      </c>
      <c r="D158" s="50">
        <v>169.76</v>
      </c>
      <c r="E158" s="54">
        <v>1</v>
      </c>
      <c r="F158" s="54"/>
      <c r="G158" s="54"/>
      <c r="H158" s="54"/>
      <c r="I158" s="57">
        <f t="shared" si="5"/>
        <v>-0.79000000000000148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3" sqref="F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Bouleau verruqueux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Chêne-liège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Tremble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Chêne sessile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181.20458942529478</v>
      </c>
      <c r="AO3" s="59">
        <f>IF('Données projet'!E10&gt;30,$AM$33-$H$33,LOOKUP('Données projet'!$E$10,$A$3:$A$203,AM3:AM203)-LOOKUP('Données projet'!$E$10,$A$3:$A$203,$H$3:$H$203))</f>
        <v>144.05254691566421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584.62172669166989</v>
      </c>
      <c r="BJ3" s="59">
        <f>IF('Données projet'!E11&gt;30,$BH$33-$H$33,LOOKUP('Données projet'!$E$11,$A$3:$A$203,BH3:BH203)-LOOKUP('Données projet'!$E$11,$A$3:$A$203,$H$3:$H$203))</f>
        <v>141.28992520553197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326.09691594978824</v>
      </c>
      <c r="CE3" s="59">
        <f>IF('Données projet'!E12&gt;30,$CC$33-$H$33,LOOKUP('Données projet'!$E$12,$A$3:$A$203,CC3:CC203)-LOOKUP('Données projet'!$E$12,$A$3:$A$203,$H$3:$H$203))</f>
        <v>605.43570457920714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465.85201723917186</v>
      </c>
      <c r="CZ3" s="59">
        <f>IF('Données projet'!E13&gt;30,$CX$33-$H$33,LOOKUP('Données projet'!$E$13,$A$3:$A$203,CX3:CX203)-LOOKUP('Données projet'!$E$13,$A$3:$A$203,$H$3:$H$203))</f>
        <v>110.67325285686417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1.282970348825361</v>
      </c>
      <c r="AJ4" s="13">
        <f>AI4*VLOOKUP('Données projet'!$B$10,Paramètres!$A$1:$I$89,3,0)*VLOOKUP('Données projet'!$B$10,Paramètres!$A$1:$I$89,5,0)</f>
        <v>1.040745546967133</v>
      </c>
      <c r="AK4" s="13">
        <f>EXP(-1.0587+0.8836*LN(AJ4)+0.284)</f>
        <v>0.47739483859767334</v>
      </c>
      <c r="AL4" s="20">
        <f t="shared" ref="AL4:AL67" si="4">(AJ4+AK4)*0.475*44/12</f>
        <v>2.6440945048587046</v>
      </c>
      <c r="AM4" s="59">
        <f t="shared" ref="AM4:AM67" si="5">AL4+(AD4+AE4)*44/12</f>
        <v>295.977427838192</v>
      </c>
      <c r="AN4" s="59">
        <f ca="1">AVERAGE(OFFSET($AM$3,0,0,'Données projet'!$E$10+1,1))-AVERAGE(OFFSET($H$3,0,0,'Données projet'!$E$10+1,1))</f>
        <v>181.20458942529478</v>
      </c>
      <c r="AO4" s="59">
        <f>$AO$3</f>
        <v>144.05254691566421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2.5115384615384619</v>
      </c>
      <c r="BD4" s="12">
        <f>IF('Données projet'!$A$88&gt;35,BD3+BC4-BL3,IF(A4&lt;'Données projet'!$A$88,$BA$205^A4,IF(A4='Données projet'!$A$88,'Données projet'!$B$88,BD3+BC4-BL3)))</f>
        <v>1.1549646791274306</v>
      </c>
      <c r="BE4" s="13">
        <f>BD4*VLOOKUP('Données projet'!$B$11,Paramètres!$A$1:$I$89,3,0)*VLOOKUP('Données projet'!$B$11,Paramètres!$A$1:$I$89,5,0)</f>
        <v>1.2612214296071542</v>
      </c>
      <c r="BF4" s="13">
        <f>EXP(-1.0587+0.8836*LN(BE4)+0.284)</f>
        <v>0.56573271544788584</v>
      </c>
      <c r="BG4" s="20">
        <f t="shared" ref="BG4:BG67" si="7">(BE4+BF4)*0.475*44/12</f>
        <v>3.1819451359708619</v>
      </c>
      <c r="BH4" s="59">
        <f t="shared" ref="BH4:BH67" si="8">BG4+(AY4+AZ4)*44/12</f>
        <v>296.51527846930418</v>
      </c>
      <c r="BI4" s="59">
        <f ca="1">AVERAGE(OFFSET($BH$3,0,0,'Données projet'!$E$11+1,1))-AVERAGE(OFFSET($H$3,0,0,'Données projet'!$E$11+1,1))</f>
        <v>584.62172669166989</v>
      </c>
      <c r="BJ4" s="59">
        <f>$BJ$3</f>
        <v>141.28992520553197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16.666666666666668</v>
      </c>
      <c r="BY4" s="12">
        <f>IF('Données projet'!$A$114&gt;35,BY3+BX4-CG3,IF(A4&lt;'Données projet'!$A$114,$BV$205^A4,IF(A4='Données projet'!$A$114,'Données projet'!$B$114,BY3+BX4-CG3)))</f>
        <v>1.7449698104440143</v>
      </c>
      <c r="BZ4" s="13">
        <f>BY4*VLOOKUP('Données projet'!$B$12,Paramètres!$A$1:$I$89,3,0)*VLOOKUP('Données projet'!$B$12,Paramètres!$A$1:$I$89,5,0)</f>
        <v>1.0344181036312117</v>
      </c>
      <c r="CA4" s="13">
        <f>EXP(-1.0587+0.8836*LN(BZ4)+0.284)</f>
        <v>0.47482934389697212</v>
      </c>
      <c r="CB4" s="20">
        <f t="shared" ref="CB4:CB67" si="10">(BZ4+CA4)*0.475*44/12</f>
        <v>2.628605971111587</v>
      </c>
      <c r="CC4" s="59">
        <f t="shared" ref="CC4:CC67" si="11">CB4+(BT4+BU4)*44/12</f>
        <v>295.96193930444491</v>
      </c>
      <c r="CD4" s="59">
        <f ca="1">AVERAGE(OFFSET($CC$3,0,0,'Données projet'!$E$12+1,1))-AVERAGE(OFFSET($H$3,0,0,'Données projet'!$E$12+1,1))</f>
        <v>326.09691594978824</v>
      </c>
      <c r="CE4" s="59">
        <f>$CE$3</f>
        <v>605.43570457920714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2.5115384615384619</v>
      </c>
      <c r="CT4" s="12">
        <f>IF('Données projet'!$A$140&gt;35,CT3+CS4-DB3,IF(A4&lt;'Données projet'!$A$140,$CQ$205^A4,IF(A4='Données projet'!$A$140,'Données projet'!$B$140,CT3+CS4-DB3)))</f>
        <v>1.1549646791274306</v>
      </c>
      <c r="CU4" s="17">
        <f>CT4*VLOOKUP('Données projet'!$B$13,Paramètres!$A$1:$I$89,3,0)*VLOOKUP('Données projet'!$B$13,Paramètres!$A$1:$I$89,5,0)</f>
        <v>1.0450120416744992</v>
      </c>
      <c r="CV4" s="13">
        <f>EXP(-1.0587+0.8836*LN(CU4)+0.284)</f>
        <v>0.47912368577044179</v>
      </c>
      <c r="CW4" s="20">
        <f t="shared" ref="CW4:CW67" si="13">(CU4+CV4)*0.475*44/12</f>
        <v>2.6545363919666056</v>
      </c>
      <c r="CX4" s="59">
        <f t="shared" ref="CX4:CX67" si="14">CW4+(CO4+CP4)*44/12</f>
        <v>295.9878697252999</v>
      </c>
      <c r="CY4" s="59">
        <f ca="1">AVERAGE(OFFSET($CX$3,0,0,'Données projet'!$E$13+1,1))-AVERAGE(OFFSET($H$3,0,0,'Données projet'!$E$13+1,1))</f>
        <v>465.85201723917186</v>
      </c>
      <c r="CZ4" s="59">
        <f>$CZ$3</f>
        <v>110.67325285686417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1.6460129159650685</v>
      </c>
      <c r="AJ5" s="13">
        <f>AI5*VLOOKUP('Données projet'!$B$10,Paramètres!$A$1:$I$89,3,0)*VLOOKUP('Données projet'!$B$10,Paramètres!$A$1:$I$89,5,0)</f>
        <v>1.3352456774308636</v>
      </c>
      <c r="AK5" s="13">
        <f t="shared" ref="AK5:AK68" si="35">EXP(-1.0587+0.8836*LN(AJ5)+0.284)</f>
        <v>0.59497391287501122</v>
      </c>
      <c r="AL5" s="20">
        <f t="shared" si="4"/>
        <v>3.3617991197827322</v>
      </c>
      <c r="AM5" s="59">
        <f t="shared" si="5"/>
        <v>296.69513245311606</v>
      </c>
      <c r="AN5" s="59">
        <f ca="1">AVERAGE(OFFSET($AM$3,0,0,'Données projet'!$E$10+1,1))-AVERAGE(OFFSET($H$3,0,0,'Données projet'!$E$10+1,1))</f>
        <v>181.20458942529478</v>
      </c>
      <c r="AO5" s="59">
        <f t="shared" ref="AO5:AO68" si="36">$AO$3</f>
        <v>144.05254691566421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2.5115384615384619</v>
      </c>
      <c r="BD5" s="12">
        <f>IF('Données projet'!$A$88&gt;35,BD4+BC5-BL4,IF(A5&lt;'Données projet'!$A$88,$BA$205^A5,IF(A5='Données projet'!$A$88,'Données projet'!$B$88,BD4+BC5-BL4)))</f>
        <v>1.3339434100319287</v>
      </c>
      <c r="BE5" s="13">
        <f>BD5*VLOOKUP('Données projet'!$B$11,Paramètres!$A$1:$I$89,3,0)*VLOOKUP('Données projet'!$B$11,Paramètres!$A$1:$I$89,5,0)</f>
        <v>1.4566662037548661</v>
      </c>
      <c r="BF5" s="13">
        <f t="shared" ref="BF5:BF68" si="37">EXP(-1.0587+0.8836*LN(BE5)+0.284)</f>
        <v>0.64253531148217513</v>
      </c>
      <c r="BG5" s="20">
        <f t="shared" si="7"/>
        <v>3.6561093057045135</v>
      </c>
      <c r="BH5" s="59">
        <f t="shared" si="8"/>
        <v>296.9894426390378</v>
      </c>
      <c r="BI5" s="59">
        <f ca="1">AVERAGE(OFFSET($BH$3,0,0,'Données projet'!$E$11+1,1))-AVERAGE(OFFSET($H$3,0,0,'Données projet'!$E$11+1,1))</f>
        <v>584.62172669166989</v>
      </c>
      <c r="BJ5" s="59">
        <f t="shared" ref="BJ5:BJ68" si="38">$BJ$3</f>
        <v>141.28992520553197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16.666666666666668</v>
      </c>
      <c r="BY5" s="12">
        <f>IF('Données projet'!$A$114&gt;35,BY4+BX5-CG4,IF(A5&lt;'Données projet'!$A$114,$BV$205^A5,IF(A5='Données projet'!$A$114,'Données projet'!$B$114,BY4+BX5-CG4)))</f>
        <v>3.0449196393610194</v>
      </c>
      <c r="BZ5" s="13">
        <f>BY5*VLOOKUP('Données projet'!$B$12,Paramètres!$A$1:$I$89,3,0)*VLOOKUP('Données projet'!$B$12,Paramètres!$A$1:$I$89,5,0)</f>
        <v>1.8050283622132124</v>
      </c>
      <c r="CA5" s="13">
        <f t="shared" ref="CA5:CA68" si="39">EXP(-1.0587+0.8836*LN(BZ5)+0.284)</f>
        <v>0.77657133203330175</v>
      </c>
      <c r="CB5" s="20">
        <f t="shared" si="10"/>
        <v>4.4962861341460121</v>
      </c>
      <c r="CC5" s="59">
        <f t="shared" si="11"/>
        <v>297.82961946747935</v>
      </c>
      <c r="CD5" s="59">
        <f ca="1">AVERAGE(OFFSET($CC$3,0,0,'Données projet'!$E$12+1,1))-AVERAGE(OFFSET($H$3,0,0,'Données projet'!$E$12+1,1))</f>
        <v>326.09691594978824</v>
      </c>
      <c r="CE5" s="59">
        <f t="shared" ref="CE5:CE68" si="40">$CE$3</f>
        <v>605.43570457920714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2.5115384615384619</v>
      </c>
      <c r="CT5" s="12">
        <f>IF('Données projet'!$A$140&gt;35,CT4+CS5-DB4,IF(A5&lt;'Données projet'!$A$140,$CQ$205^A5,IF(A5='Données projet'!$A$140,'Données projet'!$B$140,CT4+CS5-DB4)))</f>
        <v>1.3339434100319287</v>
      </c>
      <c r="CU5" s="17">
        <f>CT5*VLOOKUP('Données projet'!$B$13,Paramètres!$A$1:$I$89,3,0)*VLOOKUP('Données projet'!$B$13,Paramètres!$A$1:$I$89,5,0)</f>
        <v>1.206951997396889</v>
      </c>
      <c r="CV5" s="13">
        <f t="shared" ref="CV5:CV68" si="41">EXP(-1.0587+0.8836*LN(CU5)+0.284)</f>
        <v>0.54416843549744709</v>
      </c>
      <c r="CW5" s="20">
        <f t="shared" si="13"/>
        <v>3.0498680872909687</v>
      </c>
      <c r="CX5" s="59">
        <f t="shared" si="14"/>
        <v>296.38320142062429</v>
      </c>
      <c r="CY5" s="59">
        <f ca="1">AVERAGE(OFFSET($CX$3,0,0,'Données projet'!$E$13+1,1))-AVERAGE(OFFSET($H$3,0,0,'Données projet'!$E$13+1,1))</f>
        <v>465.85201723917186</v>
      </c>
      <c r="CZ5" s="59">
        <f t="shared" ref="CZ5:CZ68" si="42">$CZ$3</f>
        <v>110.67325285686417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2.1117857649667533</v>
      </c>
      <c r="AJ6" s="13">
        <f>AI6*VLOOKUP('Données projet'!$B$10,Paramètres!$A$1:$I$89,3,0)*VLOOKUP('Données projet'!$B$10,Paramètres!$A$1:$I$89,5,0)</f>
        <v>1.7130806125410305</v>
      </c>
      <c r="AK6" s="13">
        <f t="shared" si="35"/>
        <v>0.74151190666753608</v>
      </c>
      <c r="AL6" s="20">
        <f t="shared" si="4"/>
        <v>4.2750819709549202</v>
      </c>
      <c r="AM6" s="59">
        <f t="shared" si="5"/>
        <v>297.60841530428826</v>
      </c>
      <c r="AN6" s="59">
        <f ca="1">AVERAGE(OFFSET($AM$3,0,0,'Données projet'!$E$10+1,1))-AVERAGE(OFFSET($H$3,0,0,'Données projet'!$E$10+1,1))</f>
        <v>181.20458942529478</v>
      </c>
      <c r="AO6" s="59">
        <f t="shared" si="36"/>
        <v>144.05254691566421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2.5115384615384619</v>
      </c>
      <c r="BD6" s="12">
        <f>IF('Données projet'!$A$88&gt;35,BD5+BC6-BL5,IF(A6&lt;'Données projet'!$A$88,$BA$205^A6,IF(A6='Données projet'!$A$88,'Données projet'!$B$88,BD5+BC6-BL5)))</f>
        <v>1.5406575225416772</v>
      </c>
      <c r="BE6" s="13">
        <f>BD6*VLOOKUP('Données projet'!$B$11,Paramètres!$A$1:$I$89,3,0)*VLOOKUP('Données projet'!$B$11,Paramètres!$A$1:$I$89,5,0)</f>
        <v>1.6823980146155115</v>
      </c>
      <c r="BF6" s="13">
        <f t="shared" si="37"/>
        <v>0.72976445453511496</v>
      </c>
      <c r="BG6" s="20">
        <f t="shared" si="7"/>
        <v>4.2011829671040068</v>
      </c>
      <c r="BH6" s="59">
        <f t="shared" si="8"/>
        <v>297.5345163004373</v>
      </c>
      <c r="BI6" s="59">
        <f ca="1">AVERAGE(OFFSET($BH$3,0,0,'Données projet'!$E$11+1,1))-AVERAGE(OFFSET($H$3,0,0,'Données projet'!$E$11+1,1))</f>
        <v>584.62172669166989</v>
      </c>
      <c r="BJ6" s="59">
        <f t="shared" si="38"/>
        <v>141.28992520553197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16.666666666666668</v>
      </c>
      <c r="BY6" s="12">
        <f>IF('Données projet'!$A$114&gt;35,BY5+BX6-CG5,IF(A6&lt;'Données projet'!$A$114,$BV$205^A6,IF(A6='Données projet'!$A$114,'Données projet'!$B$114,BY5+BX6-CG5)))</f>
        <v>5.3132928459130548</v>
      </c>
      <c r="BZ6" s="13">
        <f>BY6*VLOOKUP('Données projet'!$B$12,Paramètres!$A$1:$I$89,3,0)*VLOOKUP('Données projet'!$B$12,Paramètres!$A$1:$I$89,5,0)</f>
        <v>3.1497199990572593</v>
      </c>
      <c r="CA6" s="13">
        <f t="shared" si="39"/>
        <v>1.2700626898636422</v>
      </c>
      <c r="CB6" s="20">
        <f t="shared" si="10"/>
        <v>7.6977881832039037</v>
      </c>
      <c r="CC6" s="59">
        <f t="shared" si="11"/>
        <v>301.03112151653721</v>
      </c>
      <c r="CD6" s="59">
        <f ca="1">AVERAGE(OFFSET($CC$3,0,0,'Données projet'!$E$12+1,1))-AVERAGE(OFFSET($H$3,0,0,'Données projet'!$E$12+1,1))</f>
        <v>326.09691594978824</v>
      </c>
      <c r="CE6" s="59">
        <f t="shared" si="40"/>
        <v>605.43570457920714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2.5115384615384619</v>
      </c>
      <c r="CT6" s="12">
        <f>IF('Données projet'!$A$140&gt;35,CT5+CS6-DB5,IF(A6&lt;'Données projet'!$A$140,$CQ$205^A6,IF(A6='Données projet'!$A$140,'Données projet'!$B$140,CT5+CS6-DB5)))</f>
        <v>1.5406575225416772</v>
      </c>
      <c r="CU6" s="17">
        <f>CT6*VLOOKUP('Données projet'!$B$13,Paramètres!$A$1:$I$89,3,0)*VLOOKUP('Données projet'!$B$13,Paramètres!$A$1:$I$89,5,0)</f>
        <v>1.3939869263957094</v>
      </c>
      <c r="CV6" s="13">
        <f t="shared" si="41"/>
        <v>0.6180435135774448</v>
      </c>
      <c r="CW6" s="20">
        <f t="shared" si="13"/>
        <v>3.5042863496199099</v>
      </c>
      <c r="CX6" s="59">
        <f t="shared" si="14"/>
        <v>296.83761968295323</v>
      </c>
      <c r="CY6" s="59">
        <f ca="1">AVERAGE(OFFSET($CX$3,0,0,'Données projet'!$E$13+1,1))-AVERAGE(OFFSET($H$3,0,0,'Données projet'!$E$13+1,1))</f>
        <v>465.85201723917186</v>
      </c>
      <c r="CZ6" s="59">
        <f t="shared" si="42"/>
        <v>110.67325285686417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2.7093585195238274</v>
      </c>
      <c r="AJ7" s="13">
        <f>AI7*VLOOKUP('Données projet'!$B$10,Paramètres!$A$1:$I$89,3,0)*VLOOKUP('Données projet'!$B$10,Paramètres!$A$1:$I$89,5,0)</f>
        <v>2.197831631037729</v>
      </c>
      <c r="AK7" s="13">
        <f t="shared" si="35"/>
        <v>0.92414120322151361</v>
      </c>
      <c r="AL7" s="20">
        <f t="shared" si="4"/>
        <v>5.4374360196681799</v>
      </c>
      <c r="AM7" s="59">
        <f t="shared" si="5"/>
        <v>298.77076935300147</v>
      </c>
      <c r="AN7" s="59">
        <f ca="1">AVERAGE(OFFSET($AM$3,0,0,'Données projet'!$E$10+1,1))-AVERAGE(OFFSET($H$3,0,0,'Données projet'!$E$10+1,1))</f>
        <v>181.20458942529478</v>
      </c>
      <c r="AO7" s="59">
        <f t="shared" si="36"/>
        <v>144.05254691566421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2.5115384615384619</v>
      </c>
      <c r="BD7" s="12">
        <f>IF('Données projet'!$A$88&gt;35,BD6+BC7-BL6,IF(A7&lt;'Données projet'!$A$88,$BA$205^A7,IF(A7='Données projet'!$A$88,'Données projet'!$B$88,BD6+BC7-BL6)))</f>
        <v>1.7794050211676105</v>
      </c>
      <c r="BE7" s="13">
        <f>BD7*VLOOKUP('Données projet'!$B$11,Paramètres!$A$1:$I$89,3,0)*VLOOKUP('Données projet'!$B$11,Paramètres!$A$1:$I$89,5,0)</f>
        <v>1.9431102831150306</v>
      </c>
      <c r="BF7" s="13">
        <f t="shared" si="37"/>
        <v>0.82883562908699027</v>
      </c>
      <c r="BG7" s="20">
        <f t="shared" si="7"/>
        <v>4.8278057970851869</v>
      </c>
      <c r="BH7" s="59">
        <f t="shared" si="8"/>
        <v>298.16113913041852</v>
      </c>
      <c r="BI7" s="59">
        <f ca="1">AVERAGE(OFFSET($BH$3,0,0,'Données projet'!$E$11+1,1))-AVERAGE(OFFSET($H$3,0,0,'Données projet'!$E$11+1,1))</f>
        <v>584.62172669166989</v>
      </c>
      <c r="BJ7" s="59">
        <f t="shared" si="38"/>
        <v>141.28992520553197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16.666666666666668</v>
      </c>
      <c r="BY7" s="12">
        <f>IF('Données projet'!$A$114&gt;35,BY6+BX7-CG6,IF(A7&lt;'Données projet'!$A$114,$BV$205^A7,IF(A7='Données projet'!$A$114,'Données projet'!$B$114,BY6+BX7-CG6)))</f>
        <v>9.2715356101664401</v>
      </c>
      <c r="BZ7" s="13">
        <f>BY7*VLOOKUP('Données projet'!$B$12,Paramètres!$A$1:$I$89,3,0)*VLOOKUP('Données projet'!$B$12,Paramètres!$A$1:$I$89,5,0)</f>
        <v>5.4961663097066662</v>
      </c>
      <c r="CA7" s="13">
        <f t="shared" si="39"/>
        <v>2.0771552716994925</v>
      </c>
      <c r="CB7" s="20">
        <f t="shared" si="10"/>
        <v>13.190201754282391</v>
      </c>
      <c r="CC7" s="59">
        <f t="shared" si="11"/>
        <v>306.5235350876157</v>
      </c>
      <c r="CD7" s="59">
        <f ca="1">AVERAGE(OFFSET($CC$3,0,0,'Données projet'!$E$12+1,1))-AVERAGE(OFFSET($H$3,0,0,'Données projet'!$E$12+1,1))</f>
        <v>326.09691594978824</v>
      </c>
      <c r="CE7" s="59">
        <f t="shared" si="40"/>
        <v>605.43570457920714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2.5115384615384619</v>
      </c>
      <c r="CT7" s="12">
        <f>IF('Données projet'!$A$140&gt;35,CT6+CS7-DB6,IF(A7&lt;'Données projet'!$A$140,$CQ$205^A7,IF(A7='Données projet'!$A$140,'Données projet'!$B$140,CT6+CS7-DB6)))</f>
        <v>1.7794050211676105</v>
      </c>
      <c r="CU7" s="17">
        <f>CT7*VLOOKUP('Données projet'!$B$13,Paramètres!$A$1:$I$89,3,0)*VLOOKUP('Données projet'!$B$13,Paramètres!$A$1:$I$89,5,0)</f>
        <v>1.610005663152454</v>
      </c>
      <c r="CV7" s="13">
        <f t="shared" si="41"/>
        <v>0.70194770544890439</v>
      </c>
      <c r="CW7" s="20">
        <f t="shared" si="13"/>
        <v>4.0266521169806992</v>
      </c>
      <c r="CX7" s="59">
        <f t="shared" si="14"/>
        <v>297.35998545031401</v>
      </c>
      <c r="CY7" s="59">
        <f ca="1">AVERAGE(OFFSET($CX$3,0,0,'Données projet'!$E$13+1,1))-AVERAGE(OFFSET($H$3,0,0,'Données projet'!$E$13+1,1))</f>
        <v>465.85201723917186</v>
      </c>
      <c r="CZ7" s="59">
        <f t="shared" si="42"/>
        <v>110.67325285686417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3.4760266448864483</v>
      </c>
      <c r="AJ8" s="13">
        <f>AI8*VLOOKUP('Données projet'!$B$10,Paramètres!$A$1:$I$89,3,0)*VLOOKUP('Données projet'!$B$10,Paramètres!$A$1:$I$89,5,0)</f>
        <v>2.8197528143318871</v>
      </c>
      <c r="AK8" s="13">
        <f t="shared" si="35"/>
        <v>1.1517508428554772</v>
      </c>
      <c r="AL8" s="20">
        <f t="shared" si="4"/>
        <v>6.9170355362679921</v>
      </c>
      <c r="AM8" s="59">
        <f t="shared" si="5"/>
        <v>300.25036886960129</v>
      </c>
      <c r="AN8" s="59">
        <f ca="1">AVERAGE(OFFSET($AM$3,0,0,'Données projet'!$E$10+1,1))-AVERAGE(OFFSET($H$3,0,0,'Données projet'!$E$10+1,1))</f>
        <v>181.20458942529478</v>
      </c>
      <c r="AO8" s="59">
        <f t="shared" si="36"/>
        <v>144.05254691566421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2.5115384615384619</v>
      </c>
      <c r="BD8" s="12">
        <f>IF('Données projet'!$A$88&gt;35,BD7+BC8-BL7,IF(A8&lt;'Données projet'!$A$88,$BA$205^A8,IF(A8='Données projet'!$A$88,'Données projet'!$B$88,BD7+BC8-BL7)))</f>
        <v>2.055149949310588</v>
      </c>
      <c r="BE8" s="13">
        <f>BD8*VLOOKUP('Données projet'!$B$11,Paramètres!$A$1:$I$89,3,0)*VLOOKUP('Données projet'!$B$11,Paramètres!$A$1:$I$89,5,0)</f>
        <v>2.244223744647162</v>
      </c>
      <c r="BF8" s="13">
        <f t="shared" si="37"/>
        <v>0.94135648259498927</v>
      </c>
      <c r="BG8" s="20">
        <f t="shared" si="7"/>
        <v>5.5482188957800789</v>
      </c>
      <c r="BH8" s="59">
        <f t="shared" si="8"/>
        <v>298.88155222911337</v>
      </c>
      <c r="BI8" s="59">
        <f ca="1">AVERAGE(OFFSET($BH$3,0,0,'Données projet'!$E$11+1,1))-AVERAGE(OFFSET($H$3,0,0,'Données projet'!$E$11+1,1))</f>
        <v>584.62172669166989</v>
      </c>
      <c r="BJ8" s="59">
        <f t="shared" si="38"/>
        <v>141.28992520553197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16.666666666666668</v>
      </c>
      <c r="BY8" s="12">
        <f>IF('Données projet'!$A$114&gt;35,BY7+BX8-CG7,IF(A8&lt;'Données projet'!$A$114,$BV$205^A8,IF(A8='Données projet'!$A$114,'Données projet'!$B$114,BY7+BX8-CG7)))</f>
        <v>16.178549736197063</v>
      </c>
      <c r="BZ8" s="13">
        <f>BY8*VLOOKUP('Données projet'!$B$12,Paramètres!$A$1:$I$89,3,0)*VLOOKUP('Données projet'!$B$12,Paramètres!$A$1:$I$89,5,0)</f>
        <v>9.5906442836176193</v>
      </c>
      <c r="CA8" s="13">
        <f t="shared" si="39"/>
        <v>3.397134690423997</v>
      </c>
      <c r="CB8" s="20">
        <f t="shared" si="10"/>
        <v>22.62038171312248</v>
      </c>
      <c r="CC8" s="59">
        <f t="shared" si="11"/>
        <v>315.95371504645578</v>
      </c>
      <c r="CD8" s="59">
        <f ca="1">AVERAGE(OFFSET($CC$3,0,0,'Données projet'!$E$12+1,1))-AVERAGE(OFFSET($H$3,0,0,'Données projet'!$E$12+1,1))</f>
        <v>326.09691594978824</v>
      </c>
      <c r="CE8" s="59">
        <f t="shared" si="40"/>
        <v>605.43570457920714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2.5115384615384619</v>
      </c>
      <c r="CT8" s="12">
        <f>IF('Données projet'!$A$140&gt;35,CT7+CS8-DB7,IF(A8&lt;'Données projet'!$A$140,$CQ$205^A8,IF(A8='Données projet'!$A$140,'Données projet'!$B$140,CT7+CS8-DB7)))</f>
        <v>2.055149949310588</v>
      </c>
      <c r="CU8" s="17">
        <f>CT8*VLOOKUP('Données projet'!$B$13,Paramètres!$A$1:$I$89,3,0)*VLOOKUP('Données projet'!$B$13,Paramètres!$A$1:$I$89,5,0)</f>
        <v>1.85949967413622</v>
      </c>
      <c r="CV8" s="13">
        <f t="shared" si="41"/>
        <v>0.79724254095458524</v>
      </c>
      <c r="CW8" s="20">
        <f t="shared" si="13"/>
        <v>4.6271593579498189</v>
      </c>
      <c r="CX8" s="59">
        <f t="shared" si="14"/>
        <v>297.96049269128315</v>
      </c>
      <c r="CY8" s="59">
        <f ca="1">AVERAGE(OFFSET($CX$3,0,0,'Données projet'!$E$13+1,1))-AVERAGE(OFFSET($H$3,0,0,'Données projet'!$E$13+1,1))</f>
        <v>465.85201723917186</v>
      </c>
      <c r="CZ8" s="59">
        <f t="shared" si="42"/>
        <v>110.67325285686417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4.4596391171162164</v>
      </c>
      <c r="AJ9" s="13">
        <f>AI9*VLOOKUP('Données projet'!$B$10,Paramètres!$A$1:$I$89,3,0)*VLOOKUP('Données projet'!$B$10,Paramètres!$A$1:$I$89,5,0)</f>
        <v>3.6176592518046751</v>
      </c>
      <c r="AK9" s="13">
        <f t="shared" si="35"/>
        <v>1.4354191755481527</v>
      </c>
      <c r="AL9" s="20">
        <f t="shared" si="4"/>
        <v>8.8007782609728427</v>
      </c>
      <c r="AM9" s="59">
        <f t="shared" si="5"/>
        <v>302.13411159430615</v>
      </c>
      <c r="AN9" s="59">
        <f ca="1">AVERAGE(OFFSET($AM$3,0,0,'Données projet'!$E$10+1,1))-AVERAGE(OFFSET($H$3,0,0,'Données projet'!$E$10+1,1))</f>
        <v>181.20458942529478</v>
      </c>
      <c r="AO9" s="59">
        <f t="shared" si="36"/>
        <v>144.05254691566421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2.5115384615384619</v>
      </c>
      <c r="BD9" s="12">
        <f>IF('Données projet'!$A$88&gt;35,BD8+BC9-BL8,IF(A9&lt;'Données projet'!$A$88,$BA$205^A9,IF(A9='Données projet'!$A$88,'Données projet'!$B$88,BD8+BC9-BL8)))</f>
        <v>2.3736256017642585</v>
      </c>
      <c r="BE9" s="13">
        <f>BD9*VLOOKUP('Données projet'!$B$11,Paramètres!$A$1:$I$89,3,0)*VLOOKUP('Données projet'!$B$11,Paramètres!$A$1:$I$89,5,0)</f>
        <v>2.5919991571265699</v>
      </c>
      <c r="BF9" s="13">
        <f t="shared" si="37"/>
        <v>1.0691529131050475</v>
      </c>
      <c r="BG9" s="20">
        <f t="shared" si="7"/>
        <v>6.3765065223200672</v>
      </c>
      <c r="BH9" s="59">
        <f t="shared" si="8"/>
        <v>299.7098398556534</v>
      </c>
      <c r="BI9" s="59">
        <f ca="1">AVERAGE(OFFSET($BH$3,0,0,'Données projet'!$E$11+1,1))-AVERAGE(OFFSET($H$3,0,0,'Données projet'!$E$11+1,1))</f>
        <v>584.62172669166989</v>
      </c>
      <c r="BJ9" s="59">
        <f t="shared" si="38"/>
        <v>141.28992520553197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16.666666666666668</v>
      </c>
      <c r="BY9" s="12">
        <f>IF('Données projet'!$A$114&gt;35,BY8+BX9-CG8,IF(A9&lt;'Données projet'!$A$114,$BV$205^A9,IF(A9='Données projet'!$A$114,'Données projet'!$B$114,BY8+BX9-CG8)))</f>
        <v>28.231080866430847</v>
      </c>
      <c r="BZ9" s="13">
        <f>BY9*VLOOKUP('Données projet'!$B$12,Paramètres!$A$1:$I$89,3,0)*VLOOKUP('Données projet'!$B$12,Paramètres!$A$1:$I$89,5,0)</f>
        <v>16.735384737620208</v>
      </c>
      <c r="CA9" s="13">
        <f t="shared" si="39"/>
        <v>5.5559275043698992</v>
      </c>
      <c r="CB9" s="20">
        <f t="shared" si="10"/>
        <v>38.824035488132765</v>
      </c>
      <c r="CC9" s="59">
        <f t="shared" si="11"/>
        <v>332.15736882146609</v>
      </c>
      <c r="CD9" s="59">
        <f ca="1">AVERAGE(OFFSET($CC$3,0,0,'Données projet'!$E$12+1,1))-AVERAGE(OFFSET($H$3,0,0,'Données projet'!$E$12+1,1))</f>
        <v>326.09691594978824</v>
      </c>
      <c r="CE9" s="59">
        <f t="shared" si="40"/>
        <v>605.43570457920714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2.5115384615384619</v>
      </c>
      <c r="CT9" s="12">
        <f>IF('Données projet'!$A$140&gt;35,CT8+CS9-DB8,IF(A9&lt;'Données projet'!$A$140,$CQ$205^A9,IF(A9='Données projet'!$A$140,'Données projet'!$B$140,CT8+CS9-DB8)))</f>
        <v>2.3736256017642585</v>
      </c>
      <c r="CU9" s="17">
        <f>CT9*VLOOKUP('Données projet'!$B$13,Paramètres!$A$1:$I$89,3,0)*VLOOKUP('Données projet'!$B$13,Paramètres!$A$1:$I$89,5,0)</f>
        <v>2.1476564444763011</v>
      </c>
      <c r="CV9" s="13">
        <f t="shared" si="41"/>
        <v>0.90547438815438841</v>
      </c>
      <c r="CW9" s="20">
        <f t="shared" si="13"/>
        <v>5.3175362001651179</v>
      </c>
      <c r="CX9" s="59">
        <f t="shared" si="14"/>
        <v>298.65086953349845</v>
      </c>
      <c r="CY9" s="59">
        <f ca="1">AVERAGE(OFFSET($CX$3,0,0,'Données projet'!$E$13+1,1))-AVERAGE(OFFSET($H$3,0,0,'Données projet'!$E$13+1,1))</f>
        <v>465.85201723917186</v>
      </c>
      <c r="CZ9" s="59">
        <f t="shared" si="42"/>
        <v>110.67325285686417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5.7215847537218165</v>
      </c>
      <c r="AJ10" s="13">
        <f>AI10*VLOOKUP('Données projet'!$B$10,Paramètres!$A$1:$I$89,3,0)*VLOOKUP('Données projet'!$B$10,Paramètres!$A$1:$I$89,5,0)</f>
        <v>4.6413495522191379</v>
      </c>
      <c r="AK10" s="13">
        <f t="shared" si="35"/>
        <v>1.7889530728912018</v>
      </c>
      <c r="AL10" s="20">
        <f t="shared" si="4"/>
        <v>11.199443738733841</v>
      </c>
      <c r="AM10" s="59">
        <f t="shared" si="5"/>
        <v>304.53277707206718</v>
      </c>
      <c r="AN10" s="59">
        <f ca="1">AVERAGE(OFFSET($AM$3,0,0,'Données projet'!$E$10+1,1))-AVERAGE(OFFSET($H$3,0,0,'Données projet'!$E$10+1,1))</f>
        <v>181.20458942529478</v>
      </c>
      <c r="AO10" s="59">
        <f t="shared" si="36"/>
        <v>144.05254691566421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2.5115384615384619</v>
      </c>
      <c r="BD10" s="12">
        <f>IF('Données projet'!$A$88&gt;35,BD9+BC10-BL9,IF(A10&lt;'Données projet'!$A$88,$BA$205^A10,IF(A10='Données projet'!$A$88,'Données projet'!$B$88,BD9+BC10-BL9)))</f>
        <v>2.7414537315103114</v>
      </c>
      <c r="BE10" s="13">
        <f>BD10*VLOOKUP('Données projet'!$B$11,Paramètres!$A$1:$I$89,3,0)*VLOOKUP('Données projet'!$B$11,Paramètres!$A$1:$I$89,5,0)</f>
        <v>2.9936674748092598</v>
      </c>
      <c r="BF10" s="13">
        <f t="shared" si="37"/>
        <v>1.2142986984589701</v>
      </c>
      <c r="BG10" s="20">
        <f t="shared" si="7"/>
        <v>7.3288744184421661</v>
      </c>
      <c r="BH10" s="59">
        <f t="shared" si="8"/>
        <v>300.6622077517755</v>
      </c>
      <c r="BI10" s="59">
        <f ca="1">AVERAGE(OFFSET($BH$3,0,0,'Données projet'!$E$11+1,1))-AVERAGE(OFFSET($H$3,0,0,'Données projet'!$E$11+1,1))</f>
        <v>584.62172669166989</v>
      </c>
      <c r="BJ10" s="59">
        <f t="shared" si="38"/>
        <v>141.28992520553197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16.666666666666668</v>
      </c>
      <c r="BY10" s="12">
        <f>IF('Données projet'!$A$114&gt;35,BY9+BX10-CG9,IF(A10&lt;'Données projet'!$A$114,$BV$205^A10,IF(A10='Données projet'!$A$114,'Données projet'!$B$114,BY9+BX10-CG9)))</f>
        <v>49.262383828125479</v>
      </c>
      <c r="BZ10" s="13">
        <f>BY10*VLOOKUP('Données projet'!$B$12,Paramètres!$A$1:$I$89,3,0)*VLOOKUP('Données projet'!$B$12,Paramètres!$A$1:$I$89,5,0)</f>
        <v>29.202741133312784</v>
      </c>
      <c r="CA10" s="13">
        <f t="shared" si="39"/>
        <v>9.0865783216741587</v>
      </c>
      <c r="CB10" s="20">
        <f t="shared" si="10"/>
        <v>66.687231384102262</v>
      </c>
      <c r="CC10" s="59">
        <f t="shared" si="11"/>
        <v>360.0205647174356</v>
      </c>
      <c r="CD10" s="59">
        <f ca="1">AVERAGE(OFFSET($CC$3,0,0,'Données projet'!$E$12+1,1))-AVERAGE(OFFSET($H$3,0,0,'Données projet'!$E$12+1,1))</f>
        <v>326.09691594978824</v>
      </c>
      <c r="CE10" s="59">
        <f t="shared" si="40"/>
        <v>605.43570457920714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2.5115384615384619</v>
      </c>
      <c r="CT10" s="12">
        <f>IF('Données projet'!$A$140&gt;35,CT9+CS10-DB9,IF(A10&lt;'Données projet'!$A$140,$CQ$205^A10,IF(A10='Données projet'!$A$140,'Données projet'!$B$140,CT9+CS10-DB9)))</f>
        <v>2.7414537315103114</v>
      </c>
      <c r="CU10" s="17">
        <f>CT10*VLOOKUP('Données projet'!$B$13,Paramètres!$A$1:$I$89,3,0)*VLOOKUP('Données projet'!$B$13,Paramètres!$A$1:$I$89,5,0)</f>
        <v>2.4804673362705296</v>
      </c>
      <c r="CV10" s="13">
        <f t="shared" si="41"/>
        <v>1.0283995465443541</v>
      </c>
      <c r="CW10" s="20">
        <f t="shared" si="13"/>
        <v>6.1112764875692553</v>
      </c>
      <c r="CX10" s="59">
        <f t="shared" si="14"/>
        <v>299.44460982090254</v>
      </c>
      <c r="CY10" s="59">
        <f ca="1">AVERAGE(OFFSET($CX$3,0,0,'Données projet'!$E$13+1,1))-AVERAGE(OFFSET($H$3,0,0,'Données projet'!$E$13+1,1))</f>
        <v>465.85201723917186</v>
      </c>
      <c r="CZ10" s="59">
        <f t="shared" si="42"/>
        <v>110.67325285686417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7.3406235873163457</v>
      </c>
      <c r="AJ11" s="13">
        <f>AI11*VLOOKUP('Données projet'!$B$10,Paramètres!$A$1:$I$89,3,0)*VLOOKUP('Données projet'!$B$10,Paramètres!$A$1:$I$89,5,0)</f>
        <v>5.95471385403102</v>
      </c>
      <c r="AK11" s="13">
        <f t="shared" si="35"/>
        <v>2.2295599442474598</v>
      </c>
      <c r="AL11" s="20">
        <f t="shared" si="4"/>
        <v>14.254276865335017</v>
      </c>
      <c r="AM11" s="59">
        <f t="shared" si="5"/>
        <v>307.58761019866836</v>
      </c>
      <c r="AN11" s="59">
        <f ca="1">AVERAGE(OFFSET($AM$3,0,0,'Données projet'!$E$10+1,1))-AVERAGE(OFFSET($H$3,0,0,'Données projet'!$E$10+1,1))</f>
        <v>181.20458942529478</v>
      </c>
      <c r="AO11" s="59">
        <f t="shared" si="36"/>
        <v>144.05254691566421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2.5115384615384619</v>
      </c>
      <c r="BD11" s="12">
        <f>IF('Données projet'!$A$88&gt;35,BD10+BC11-BL10,IF(A11&lt;'Données projet'!$A$88,$BA$205^A11,IF(A11='Données projet'!$A$88,'Données projet'!$B$88,BD10+BC11-BL10)))</f>
        <v>3.1662822293565043</v>
      </c>
      <c r="BE11" s="13">
        <f>BD11*VLOOKUP('Données projet'!$B$11,Paramètres!$A$1:$I$89,3,0)*VLOOKUP('Données projet'!$B$11,Paramètres!$A$1:$I$89,5,0)</f>
        <v>3.4575801944573024</v>
      </c>
      <c r="BF11" s="13">
        <f t="shared" si="37"/>
        <v>1.3791491478958093</v>
      </c>
      <c r="BG11" s="20">
        <f t="shared" si="7"/>
        <v>8.4239702712650004</v>
      </c>
      <c r="BH11" s="59">
        <f t="shared" si="8"/>
        <v>301.75730360459829</v>
      </c>
      <c r="BI11" s="59">
        <f ca="1">AVERAGE(OFFSET($BH$3,0,0,'Données projet'!$E$11+1,1))-AVERAGE(OFFSET($H$3,0,0,'Données projet'!$E$11+1,1))</f>
        <v>584.62172669166989</v>
      </c>
      <c r="BJ11" s="59">
        <f t="shared" si="38"/>
        <v>141.28992520553197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16.666666666666668</v>
      </c>
      <c r="BY11" s="12">
        <f>IF('Données projet'!$A$114&gt;35,BY10+BX11-CG10,IF(A11&lt;'Données projet'!$A$114,$BV$205^A11,IF(A11='Données projet'!$A$114,'Données projet'!$B$114,BY10+BX11-CG10)))</f>
        <v>85.961372570584388</v>
      </c>
      <c r="BZ11" s="13">
        <f>BY11*VLOOKUP('Données projet'!$B$12,Paramètres!$A$1:$I$89,3,0)*VLOOKUP('Données projet'!$B$12,Paramètres!$A$1:$I$89,5,0)</f>
        <v>50.957901659842427</v>
      </c>
      <c r="CA11" s="13">
        <f t="shared" si="39"/>
        <v>14.86086806045944</v>
      </c>
      <c r="CB11" s="20">
        <f t="shared" si="10"/>
        <v>114.6343572628591</v>
      </c>
      <c r="CC11" s="59">
        <f t="shared" si="11"/>
        <v>407.96769059619243</v>
      </c>
      <c r="CD11" s="59">
        <f ca="1">AVERAGE(OFFSET($CC$3,0,0,'Données projet'!$E$12+1,1))-AVERAGE(OFFSET($H$3,0,0,'Données projet'!$E$12+1,1))</f>
        <v>326.09691594978824</v>
      </c>
      <c r="CE11" s="59">
        <f t="shared" si="40"/>
        <v>605.43570457920714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2.5115384615384619</v>
      </c>
      <c r="CT11" s="12">
        <f>IF('Données projet'!$A$140&gt;35,CT10+CS11-DB10,IF(A11&lt;'Données projet'!$A$140,$CQ$205^A11,IF(A11='Données projet'!$A$140,'Données projet'!$B$140,CT10+CS11-DB10)))</f>
        <v>3.1662822293565043</v>
      </c>
      <c r="CU11" s="17">
        <f>CT11*VLOOKUP('Données projet'!$B$13,Paramètres!$A$1:$I$89,3,0)*VLOOKUP('Données projet'!$B$13,Paramètres!$A$1:$I$89,5,0)</f>
        <v>2.8648521611217652</v>
      </c>
      <c r="CV11" s="13">
        <f t="shared" si="41"/>
        <v>1.1680127468744104</v>
      </c>
      <c r="CW11" s="20">
        <f t="shared" si="13"/>
        <v>7.0239063814266727</v>
      </c>
      <c r="CX11" s="59">
        <f t="shared" si="14"/>
        <v>300.35723971476</v>
      </c>
      <c r="CY11" s="59">
        <f ca="1">AVERAGE(OFFSET($CX$3,0,0,'Données projet'!$E$13+1,1))-AVERAGE(OFFSET($H$3,0,0,'Données projet'!$E$13+1,1))</f>
        <v>465.85201723917186</v>
      </c>
      <c r="CZ11" s="59">
        <f t="shared" si="42"/>
        <v>110.67325285686417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9.4178024044149247</v>
      </c>
      <c r="AJ12" s="13">
        <f>AI12*VLOOKUP('Données projet'!$B$10,Paramètres!$A$1:$I$89,3,0)*VLOOKUP('Données projet'!$B$10,Paramètres!$A$1:$I$89,5,0)</f>
        <v>7.639721310461387</v>
      </c>
      <c r="AK12" s="13">
        <f t="shared" si="35"/>
        <v>2.7786852658795538</v>
      </c>
      <c r="AL12" s="20">
        <f t="shared" si="4"/>
        <v>18.145391453793806</v>
      </c>
      <c r="AM12" s="59">
        <f t="shared" si="5"/>
        <v>311.47872478712713</v>
      </c>
      <c r="AN12" s="59">
        <f ca="1">AVERAGE(OFFSET($AM$3,0,0,'Données projet'!$E$10+1,1))-AVERAGE(OFFSET($H$3,0,0,'Données projet'!$E$10+1,1))</f>
        <v>181.20458942529478</v>
      </c>
      <c r="AO12" s="59">
        <f t="shared" si="36"/>
        <v>144.05254691566421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2.5115384615384619</v>
      </c>
      <c r="BD12" s="12">
        <f>IF('Données projet'!$A$88&gt;35,BD11+BC12-BL11,IF(A12&lt;'Données projet'!$A$88,$BA$205^A12,IF(A12='Données projet'!$A$88,'Données projet'!$B$88,BD11+BC12-BL11)))</f>
        <v>3.6569441390556205</v>
      </c>
      <c r="BE12" s="13">
        <f>BD12*VLOOKUP('Données projet'!$B$11,Paramètres!$A$1:$I$89,3,0)*VLOOKUP('Données projet'!$B$11,Paramètres!$A$1:$I$89,5,0)</f>
        <v>3.9933829998487376</v>
      </c>
      <c r="BF12" s="13">
        <f t="shared" si="37"/>
        <v>1.5663793221186637</v>
      </c>
      <c r="BG12" s="20">
        <f t="shared" si="7"/>
        <v>9.6832527107598896</v>
      </c>
      <c r="BH12" s="59">
        <f t="shared" si="8"/>
        <v>303.01658604409323</v>
      </c>
      <c r="BI12" s="59">
        <f ca="1">AVERAGE(OFFSET($BH$3,0,0,'Données projet'!$E$11+1,1))-AVERAGE(OFFSET($H$3,0,0,'Données projet'!$E$11+1,1))</f>
        <v>584.62172669166989</v>
      </c>
      <c r="BJ12" s="59">
        <f t="shared" si="38"/>
        <v>141.28992520553197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>
        <f>VLOOKUP(A12,'Données projet'!$A$113:$I$133,2,0)</f>
        <v>150</v>
      </c>
      <c r="BW12" s="12">
        <f>VLOOKUP(A12,'Données projet'!$A$113:$I$133,9,0)</f>
        <v>16.666666666666668</v>
      </c>
      <c r="BX12" s="12">
        <f t="array" ref="BX12">INDEX(BW:BW,MIN(IF(ISNUMBER(BW12:BW208),ROW(BW12:BW208),"")))</f>
        <v>16.666666666666668</v>
      </c>
      <c r="BY12" s="12">
        <f>IF('Données projet'!$A$114&gt;35,BY11+BX12-CG11,IF(A12&lt;'Données projet'!$A$114,$BV$205^A12,IF(A12='Données projet'!$A$114,'Données projet'!$B$114,BY11+BX12-CG11)))</f>
        <v>150</v>
      </c>
      <c r="BZ12" s="13">
        <f>BY12*VLOOKUP('Données projet'!$B$12,Paramètres!$A$1:$I$89,3,0)*VLOOKUP('Données projet'!$B$12,Paramètres!$A$1:$I$89,5,0)</f>
        <v>88.92</v>
      </c>
      <c r="CA12" s="13">
        <f t="shared" si="39"/>
        <v>24.30457227046648</v>
      </c>
      <c r="CB12" s="20">
        <f t="shared" si="10"/>
        <v>197.19946337106242</v>
      </c>
      <c r="CC12" s="59">
        <f t="shared" si="11"/>
        <v>490.53279670439576</v>
      </c>
      <c r="CD12" s="59">
        <f ca="1">AVERAGE(OFFSET($CC$3,0,0,'Données projet'!$E$12+1,1))-AVERAGE(OFFSET($H$3,0,0,'Données projet'!$E$12+1,1))</f>
        <v>326.09691594978824</v>
      </c>
      <c r="CE12" s="59">
        <f t="shared" si="40"/>
        <v>605.43570457920714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2.5115384615384619</v>
      </c>
      <c r="CT12" s="12">
        <f>IF('Données projet'!$A$140&gt;35,CT11+CS12-DB11,IF(A12&lt;'Données projet'!$A$140,$CQ$205^A12,IF(A12='Données projet'!$A$140,'Données projet'!$B$140,CT11+CS12-DB11)))</f>
        <v>3.6569441390556205</v>
      </c>
      <c r="CU12" s="17">
        <f>CT12*VLOOKUP('Données projet'!$B$13,Paramètres!$A$1:$I$89,3,0)*VLOOKUP('Données projet'!$B$13,Paramètres!$A$1:$I$89,5,0)</f>
        <v>3.3088030570175251</v>
      </c>
      <c r="CV12" s="13">
        <f t="shared" si="41"/>
        <v>1.3265795200370261</v>
      </c>
      <c r="CW12" s="20">
        <f t="shared" si="13"/>
        <v>8.0732913217033442</v>
      </c>
      <c r="CX12" s="59">
        <f t="shared" si="14"/>
        <v>301.40662465503664</v>
      </c>
      <c r="CY12" s="59">
        <f ca="1">AVERAGE(OFFSET($CX$3,0,0,'Données projet'!$E$13+1,1))-AVERAGE(OFFSET($H$3,0,0,'Données projet'!$E$13+1,1))</f>
        <v>465.85201723917186</v>
      </c>
      <c r="CZ12" s="59">
        <f t="shared" si="42"/>
        <v>110.67325285686417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12.08276123596054</v>
      </c>
      <c r="AJ13" s="13">
        <f>AI13*VLOOKUP('Données projet'!$B$10,Paramètres!$A$1:$I$89,3,0)*VLOOKUP('Données projet'!$B$10,Paramètres!$A$1:$I$89,5,0)</f>
        <v>9.8015359146111898</v>
      </c>
      <c r="AK13" s="13">
        <f t="shared" si="35"/>
        <v>3.4630563877582672</v>
      </c>
      <c r="AL13" s="20">
        <f t="shared" si="4"/>
        <v>23.102498259960139</v>
      </c>
      <c r="AM13" s="59">
        <f t="shared" si="5"/>
        <v>316.43583159329347</v>
      </c>
      <c r="AN13" s="59">
        <f ca="1">AVERAGE(OFFSET($AM$3,0,0,'Données projet'!$E$10+1,1))-AVERAGE(OFFSET($H$3,0,0,'Données projet'!$E$10+1,1))</f>
        <v>181.20458942529478</v>
      </c>
      <c r="AO13" s="59">
        <f t="shared" si="36"/>
        <v>144.05254691566421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2.5115384615384619</v>
      </c>
      <c r="BD13" s="12">
        <f>IF('Données projet'!$A$88&gt;35,BD12+BC13-BL12,IF(A13&lt;'Données projet'!$A$88,$BA$205^A13,IF(A13='Données projet'!$A$88,'Données projet'!$B$88,BD12+BC13-BL12)))</f>
        <v>4.2236413141513127</v>
      </c>
      <c r="BE13" s="13">
        <f>BD13*VLOOKUP('Données projet'!$B$11,Paramètres!$A$1:$I$89,3,0)*VLOOKUP('Données projet'!$B$11,Paramètres!$A$1:$I$89,5,0)</f>
        <v>4.6122163150532334</v>
      </c>
      <c r="BF13" s="13">
        <f t="shared" si="37"/>
        <v>1.7790274420314416</v>
      </c>
      <c r="BG13" s="20">
        <f t="shared" si="7"/>
        <v>11.131416210255809</v>
      </c>
      <c r="BH13" s="59">
        <f t="shared" si="8"/>
        <v>304.46474954358911</v>
      </c>
      <c r="BI13" s="59">
        <f ca="1">AVERAGE(OFFSET($BH$3,0,0,'Données projet'!$E$11+1,1))-AVERAGE(OFFSET($H$3,0,0,'Données projet'!$E$11+1,1))</f>
        <v>584.62172669166989</v>
      </c>
      <c r="BJ13" s="59">
        <f t="shared" si="38"/>
        <v>141.28992520553197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55</v>
      </c>
      <c r="BY13" s="12">
        <f>IF('Données projet'!$A$114&gt;35,BY12+BX13-CG12,IF(A13&lt;'Données projet'!$A$114,$BV$205^A13,IF(A13='Données projet'!$A$114,'Données projet'!$B$114,BY12+BX13-CG12)))</f>
        <v>205</v>
      </c>
      <c r="BZ13" s="13">
        <f>BY13*VLOOKUP('Données projet'!$B$12,Paramètres!$A$1:$I$89,3,0)*VLOOKUP('Données projet'!$B$12,Paramètres!$A$1:$I$89,5,0)</f>
        <v>121.52400000000002</v>
      </c>
      <c r="CA13" s="13">
        <f t="shared" si="39"/>
        <v>32.030185774775809</v>
      </c>
      <c r="CB13" s="20">
        <f t="shared" si="10"/>
        <v>267.44020689106782</v>
      </c>
      <c r="CC13" s="59">
        <f t="shared" si="11"/>
        <v>560.77354022440113</v>
      </c>
      <c r="CD13" s="59">
        <f ca="1">AVERAGE(OFFSET($CC$3,0,0,'Données projet'!$E$12+1,1))-AVERAGE(OFFSET($H$3,0,0,'Données projet'!$E$12+1,1))</f>
        <v>326.09691594978824</v>
      </c>
      <c r="CE13" s="59">
        <f t="shared" si="40"/>
        <v>605.43570457920714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2.5115384615384619</v>
      </c>
      <c r="CT13" s="12">
        <f>IF('Données projet'!$A$140&gt;35,CT12+CS13-DB12,IF(A13&lt;'Données projet'!$A$140,$CQ$205^A13,IF(A13='Données projet'!$A$140,'Données projet'!$B$140,CT12+CS13-DB12)))</f>
        <v>4.2236413141513127</v>
      </c>
      <c r="CU13" s="17">
        <f>CT13*VLOOKUP('Données projet'!$B$13,Paramètres!$A$1:$I$89,3,0)*VLOOKUP('Données projet'!$B$13,Paramètres!$A$1:$I$89,5,0)</f>
        <v>3.8215506610441077</v>
      </c>
      <c r="CV13" s="13">
        <f t="shared" si="41"/>
        <v>1.5066729602831042</v>
      </c>
      <c r="CW13" s="20">
        <f t="shared" si="13"/>
        <v>9.2799894738115594</v>
      </c>
      <c r="CX13" s="59">
        <f t="shared" si="14"/>
        <v>302.61332280714487</v>
      </c>
      <c r="CY13" s="59">
        <f ca="1">AVERAGE(OFFSET($CX$3,0,0,'Données projet'!$E$13+1,1))-AVERAGE(OFFSET($H$3,0,0,'Données projet'!$E$13+1,1))</f>
        <v>465.85201723917186</v>
      </c>
      <c r="CZ13" s="59">
        <f t="shared" si="42"/>
        <v>110.67325285686417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15.501824397673841</v>
      </c>
      <c r="AJ14" s="13">
        <f>AI14*VLOOKUP('Données projet'!$B$10,Paramètres!$A$1:$I$89,3,0)*VLOOKUP('Données projet'!$B$10,Paramètres!$A$1:$I$89,5,0)</f>
        <v>12.575079951393022</v>
      </c>
      <c r="AK14" s="13">
        <f t="shared" si="35"/>
        <v>4.3159834228282739</v>
      </c>
      <c r="AL14" s="20">
        <f t="shared" si="4"/>
        <v>29.418602043435424</v>
      </c>
      <c r="AM14" s="59">
        <f t="shared" si="5"/>
        <v>322.75193537676876</v>
      </c>
      <c r="AN14" s="59">
        <f ca="1">AVERAGE(OFFSET($AM$3,0,0,'Données projet'!$E$10+1,1))-AVERAGE(OFFSET($H$3,0,0,'Données projet'!$E$10+1,1))</f>
        <v>181.20458942529478</v>
      </c>
      <c r="AO14" s="59">
        <f t="shared" si="36"/>
        <v>144.05254691566421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2.5115384615384619</v>
      </c>
      <c r="BD14" s="12">
        <f>IF('Données projet'!$A$88&gt;35,BD13+BC14-BL13,IF(A14&lt;'Données projet'!$A$88,$BA$205^A14,IF(A14='Données projet'!$A$88,'Données projet'!$B$88,BD13+BC14-BL13)))</f>
        <v>4.8781565351481309</v>
      </c>
      <c r="BE14" s="13">
        <f>BD14*VLOOKUP('Données projet'!$B$11,Paramètres!$A$1:$I$89,3,0)*VLOOKUP('Données projet'!$B$11,Paramètres!$A$1:$I$89,5,0)</f>
        <v>5.3269469363817592</v>
      </c>
      <c r="BF14" s="13">
        <f t="shared" si="37"/>
        <v>2.0205441905477155</v>
      </c>
      <c r="BG14" s="20">
        <f t="shared" si="7"/>
        <v>12.796880379402168</v>
      </c>
      <c r="BH14" s="59">
        <f t="shared" si="8"/>
        <v>306.1302137127355</v>
      </c>
      <c r="BI14" s="59">
        <f ca="1">AVERAGE(OFFSET($BH$3,0,0,'Données projet'!$E$11+1,1))-AVERAGE(OFFSET($H$3,0,0,'Données projet'!$E$11+1,1))</f>
        <v>584.62172669166989</v>
      </c>
      <c r="BJ14" s="59">
        <f t="shared" si="38"/>
        <v>141.28992520553197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55</v>
      </c>
      <c r="BY14" s="12">
        <f>IF('Données projet'!$A$114&gt;35,BY13+BX14-CG13,IF(A14&lt;'Données projet'!$A$114,$BV$205^A14,IF(A14='Données projet'!$A$114,'Données projet'!$B$114,BY13+BX14-CG13)))</f>
        <v>260</v>
      </c>
      <c r="BZ14" s="13">
        <f>BY14*VLOOKUP('Données projet'!$B$12,Paramètres!$A$1:$I$89,3,0)*VLOOKUP('Données projet'!$B$12,Paramètres!$A$1:$I$89,5,0)</f>
        <v>154.12800000000001</v>
      </c>
      <c r="CA14" s="13">
        <f t="shared" si="39"/>
        <v>39.515201075361155</v>
      </c>
      <c r="CB14" s="20">
        <f t="shared" si="10"/>
        <v>337.26190853958735</v>
      </c>
      <c r="CC14" s="59">
        <f t="shared" si="11"/>
        <v>630.59524187292072</v>
      </c>
      <c r="CD14" s="59">
        <f ca="1">AVERAGE(OFFSET($CC$3,0,0,'Données projet'!$E$12+1,1))-AVERAGE(OFFSET($H$3,0,0,'Données projet'!$E$12+1,1))</f>
        <v>326.09691594978824</v>
      </c>
      <c r="CE14" s="59">
        <f t="shared" si="40"/>
        <v>605.43570457920714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2.5115384615384619</v>
      </c>
      <c r="CT14" s="12">
        <f>IF('Données projet'!$A$140&gt;35,CT13+CS14-DB13,IF(A14&lt;'Données projet'!$A$140,$CQ$205^A14,IF(A14='Données projet'!$A$140,'Données projet'!$B$140,CT13+CS14-DB13)))</f>
        <v>4.8781565351481309</v>
      </c>
      <c r="CU14" s="17">
        <f>CT14*VLOOKUP('Données projet'!$B$13,Paramètres!$A$1:$I$89,3,0)*VLOOKUP('Données projet'!$B$13,Paramètres!$A$1:$I$89,5,0)</f>
        <v>4.413756033002028</v>
      </c>
      <c r="CV14" s="13">
        <f t="shared" si="41"/>
        <v>1.7112154793290431</v>
      </c>
      <c r="CW14" s="20">
        <f t="shared" si="13"/>
        <v>10.66765871730995</v>
      </c>
      <c r="CX14" s="59">
        <f t="shared" si="14"/>
        <v>304.00099205064328</v>
      </c>
      <c r="CY14" s="59">
        <f ca="1">AVERAGE(OFFSET($CX$3,0,0,'Données projet'!$E$13+1,1))-AVERAGE(OFFSET($H$3,0,0,'Données projet'!$E$13+1,1))</f>
        <v>465.85201723917186</v>
      </c>
      <c r="CZ14" s="59">
        <f t="shared" si="42"/>
        <v>110.67325285686417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19.888381054913101</v>
      </c>
      <c r="AJ15" s="13">
        <f>AI15*VLOOKUP('Données projet'!$B$10,Paramètres!$A$1:$I$89,3,0)*VLOOKUP('Données projet'!$B$10,Paramètres!$A$1:$I$89,5,0)</f>
        <v>16.133454711745507</v>
      </c>
      <c r="AK15" s="13">
        <f t="shared" si="35"/>
        <v>5.3789805363772061</v>
      </c>
      <c r="AL15" s="20">
        <f t="shared" si="4"/>
        <v>37.46749139048039</v>
      </c>
      <c r="AM15" s="59">
        <f t="shared" si="5"/>
        <v>330.80082472381372</v>
      </c>
      <c r="AN15" s="59">
        <f ca="1">AVERAGE(OFFSET($AM$3,0,0,'Données projet'!$E$10+1,1))-AVERAGE(OFFSET($H$3,0,0,'Données projet'!$E$10+1,1))</f>
        <v>181.20458942529478</v>
      </c>
      <c r="AO15" s="59">
        <f t="shared" si="36"/>
        <v>144.05254691566421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2.5115384615384619</v>
      </c>
      <c r="BD15" s="12">
        <f>IF('Données projet'!$A$88&gt;35,BD14+BC15-BL14,IF(A15&lt;'Données projet'!$A$88,$BA$205^A15,IF(A15='Données projet'!$A$88,'Données projet'!$B$88,BD14+BC15-BL14)))</f>
        <v>5.6340984973507391</v>
      </c>
      <c r="BE15" s="13">
        <f>BD15*VLOOKUP('Données projet'!$B$11,Paramètres!$A$1:$I$89,3,0)*VLOOKUP('Données projet'!$B$11,Paramètres!$A$1:$I$89,5,0)</f>
        <v>6.1524355591070066</v>
      </c>
      <c r="BF15" s="13">
        <f t="shared" si="37"/>
        <v>2.2948487075018202</v>
      </c>
      <c r="BG15" s="20">
        <f t="shared" si="7"/>
        <v>14.712353431010376</v>
      </c>
      <c r="BH15" s="59">
        <f t="shared" si="8"/>
        <v>308.04568676434371</v>
      </c>
      <c r="BI15" s="59">
        <f ca="1">AVERAGE(OFFSET($BH$3,0,0,'Données projet'!$E$11+1,1))-AVERAGE(OFFSET($H$3,0,0,'Données projet'!$E$11+1,1))</f>
        <v>584.62172669166989</v>
      </c>
      <c r="BJ15" s="59">
        <f t="shared" si="38"/>
        <v>141.28992520553197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55</v>
      </c>
      <c r="BY15" s="12">
        <f>IF('Données projet'!$A$114&gt;35,BY14+BX15-CG14,IF(A15&lt;'Données projet'!$A$114,$BV$205^A15,IF(A15='Données projet'!$A$114,'Données projet'!$B$114,BY14+BX15-CG14)))</f>
        <v>315</v>
      </c>
      <c r="BZ15" s="13">
        <f>BY15*VLOOKUP('Données projet'!$B$12,Paramètres!$A$1:$I$89,3,0)*VLOOKUP('Données projet'!$B$12,Paramètres!$A$1:$I$89,5,0)</f>
        <v>186.732</v>
      </c>
      <c r="CA15" s="13">
        <f t="shared" si="39"/>
        <v>46.81671651923142</v>
      </c>
      <c r="CB15" s="20">
        <f t="shared" si="10"/>
        <v>406.764014604328</v>
      </c>
      <c r="CC15" s="59">
        <f t="shared" si="11"/>
        <v>700.09734793766131</v>
      </c>
      <c r="CD15" s="59">
        <f ca="1">AVERAGE(OFFSET($CC$3,0,0,'Données projet'!$E$12+1,1))-AVERAGE(OFFSET($H$3,0,0,'Données projet'!$E$12+1,1))</f>
        <v>326.09691594978824</v>
      </c>
      <c r="CE15" s="59">
        <f t="shared" si="40"/>
        <v>605.43570457920714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2.5115384615384619</v>
      </c>
      <c r="CT15" s="12">
        <f>IF('Données projet'!$A$140&gt;35,CT14+CS15-DB14,IF(A15&lt;'Données projet'!$A$140,$CQ$205^A15,IF(A15='Données projet'!$A$140,'Données projet'!$B$140,CT14+CS15-DB14)))</f>
        <v>5.6340984973507391</v>
      </c>
      <c r="CU15" s="17">
        <f>CT15*VLOOKUP('Données projet'!$B$13,Paramètres!$A$1:$I$89,3,0)*VLOOKUP('Données projet'!$B$13,Paramètres!$A$1:$I$89,5,0)</f>
        <v>5.0977323204029483</v>
      </c>
      <c r="CV15" s="13">
        <f t="shared" si="41"/>
        <v>1.9435262289071051</v>
      </c>
      <c r="CW15" s="20">
        <f t="shared" si="13"/>
        <v>12.26352530671501</v>
      </c>
      <c r="CX15" s="59">
        <f t="shared" si="14"/>
        <v>305.59685864004831</v>
      </c>
      <c r="CY15" s="59">
        <f ca="1">AVERAGE(OFFSET($CX$3,0,0,'Données projet'!$E$13+1,1))-AVERAGE(OFFSET($H$3,0,0,'Données projet'!$E$13+1,1))</f>
        <v>465.85201723917186</v>
      </c>
      <c r="CZ15" s="59">
        <f t="shared" si="42"/>
        <v>110.67325285686417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25.51620317959356</v>
      </c>
      <c r="AJ16" s="13">
        <f>AI16*VLOOKUP('Données projet'!$B$10,Paramètres!$A$1:$I$89,3,0)*VLOOKUP('Données projet'!$B$10,Paramètres!$A$1:$I$89,5,0)</f>
        <v>20.698744019286298</v>
      </c>
      <c r="AK16" s="13">
        <f t="shared" si="35"/>
        <v>6.7037865478557999</v>
      </c>
      <c r="AL16" s="20">
        <f t="shared" si="4"/>
        <v>47.72607407110582</v>
      </c>
      <c r="AM16" s="59">
        <f t="shared" si="5"/>
        <v>341.05940740443913</v>
      </c>
      <c r="AN16" s="59">
        <f ca="1">AVERAGE(OFFSET($AM$3,0,0,'Données projet'!$E$10+1,1))-AVERAGE(OFFSET($H$3,0,0,'Données projet'!$E$10+1,1))</f>
        <v>181.20458942529478</v>
      </c>
      <c r="AO16" s="59">
        <f t="shared" si="36"/>
        <v>144.05254691566421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2.5115384615384619</v>
      </c>
      <c r="BD16" s="12">
        <f>IF('Données projet'!$A$88&gt;35,BD15+BC16-BL15,IF(A16&lt;'Données projet'!$A$88,$BA$205^A16,IF(A16='Données projet'!$A$88,'Données projet'!$B$88,BD15+BC16-BL15)))</f>
        <v>6.5071847631650357</v>
      </c>
      <c r="BE16" s="13">
        <f>BD16*VLOOKUP('Données projet'!$B$11,Paramètres!$A$1:$I$89,3,0)*VLOOKUP('Données projet'!$B$11,Paramètres!$A$1:$I$89,5,0)</f>
        <v>7.1058457613762194</v>
      </c>
      <c r="BF16" s="13">
        <f t="shared" si="37"/>
        <v>2.606392186302648</v>
      </c>
      <c r="BG16" s="20">
        <f t="shared" si="7"/>
        <v>16.915481092207362</v>
      </c>
      <c r="BH16" s="59">
        <f t="shared" si="8"/>
        <v>310.24881442554067</v>
      </c>
      <c r="BI16" s="59">
        <f ca="1">AVERAGE(OFFSET($BH$3,0,0,'Données projet'!$E$11+1,1))-AVERAGE(OFFSET($H$3,0,0,'Données projet'!$E$11+1,1))</f>
        <v>584.62172669166989</v>
      </c>
      <c r="BJ16" s="59">
        <f t="shared" si="38"/>
        <v>141.28992520553197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55</v>
      </c>
      <c r="BY16" s="12">
        <f>IF('Données projet'!$A$114&gt;35,BY15+BX16-CG15,IF(A16&lt;'Données projet'!$A$114,$BV$205^A16,IF(A16='Données projet'!$A$114,'Données projet'!$B$114,BY15+BX16-CG15)))</f>
        <v>370</v>
      </c>
      <c r="BZ16" s="13">
        <f>BY16*VLOOKUP('Données projet'!$B$12,Paramètres!$A$1:$I$89,3,0)*VLOOKUP('Données projet'!$B$12,Paramètres!$A$1:$I$89,5,0)</f>
        <v>219.33600000000001</v>
      </c>
      <c r="CA16" s="13">
        <f t="shared" si="39"/>
        <v>53.970543222289891</v>
      </c>
      <c r="CB16" s="20">
        <f t="shared" si="10"/>
        <v>476.00889611215484</v>
      </c>
      <c r="CC16" s="59">
        <f t="shared" si="11"/>
        <v>769.3422294454881</v>
      </c>
      <c r="CD16" s="59">
        <f ca="1">AVERAGE(OFFSET($CC$3,0,0,'Données projet'!$E$12+1,1))-AVERAGE(OFFSET($H$3,0,0,'Données projet'!$E$12+1,1))</f>
        <v>326.09691594978824</v>
      </c>
      <c r="CE16" s="59">
        <f t="shared" si="40"/>
        <v>605.43570457920714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2.5115384615384619</v>
      </c>
      <c r="CT16" s="12">
        <f>IF('Données projet'!$A$140&gt;35,CT15+CS16-DB15,IF(A16&lt;'Données projet'!$A$140,$CQ$205^A16,IF(A16='Données projet'!$A$140,'Données projet'!$B$140,CT15+CS16-DB15)))</f>
        <v>6.5071847631650357</v>
      </c>
      <c r="CU16" s="17">
        <f>CT16*VLOOKUP('Données projet'!$B$13,Paramètres!$A$1:$I$89,3,0)*VLOOKUP('Données projet'!$B$13,Paramètres!$A$1:$I$89,5,0)</f>
        <v>5.8877007737117237</v>
      </c>
      <c r="CV16" s="13">
        <f t="shared" si="41"/>
        <v>2.2073749612941369</v>
      </c>
      <c r="CW16" s="20">
        <f t="shared" si="13"/>
        <v>14.098923571801871</v>
      </c>
      <c r="CX16" s="59">
        <f t="shared" si="14"/>
        <v>307.4322569051352</v>
      </c>
      <c r="CY16" s="59">
        <f ca="1">AVERAGE(OFFSET($CX$3,0,0,'Données projet'!$E$13+1,1))-AVERAGE(OFFSET($H$3,0,0,'Données projet'!$E$13+1,1))</f>
        <v>465.85201723917186</v>
      </c>
      <c r="CZ16" s="59">
        <f t="shared" si="42"/>
        <v>110.67325285686417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32.736532094021939</v>
      </c>
      <c r="AJ17" s="13">
        <f>AI17*VLOOKUP('Données projet'!$B$10,Paramètres!$A$1:$I$89,3,0)*VLOOKUP('Données projet'!$B$10,Paramètres!$A$1:$I$89,5,0)</f>
        <v>26.5558748346706</v>
      </c>
      <c r="AK17" s="13">
        <f t="shared" si="35"/>
        <v>8.3548831930669891</v>
      </c>
      <c r="AL17" s="20">
        <f t="shared" si="4"/>
        <v>60.802903564976283</v>
      </c>
      <c r="AM17" s="59">
        <f t="shared" si="5"/>
        <v>354.13623689830962</v>
      </c>
      <c r="AN17" s="59">
        <f ca="1">AVERAGE(OFFSET($AM$3,0,0,'Données projet'!$E$10+1,1))-AVERAGE(OFFSET($H$3,0,0,'Données projet'!$E$10+1,1))</f>
        <v>181.20458942529478</v>
      </c>
      <c r="AO17" s="59">
        <f t="shared" si="36"/>
        <v>144.05254691566421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2.5115384615384619</v>
      </c>
      <c r="BD17" s="12">
        <f>IF('Données projet'!$A$88&gt;35,BD16+BC17-BL16,IF(A17&lt;'Données projet'!$A$88,$BA$205^A17,IF(A17='Données projet'!$A$88,'Données projet'!$B$88,BD16+BC17-BL16)))</f>
        <v>7.5155685620118104</v>
      </c>
      <c r="BE17" s="13">
        <f>BD17*VLOOKUP('Données projet'!$B$11,Paramètres!$A$1:$I$89,3,0)*VLOOKUP('Données projet'!$B$11,Paramètres!$A$1:$I$89,5,0)</f>
        <v>8.2070008697168966</v>
      </c>
      <c r="BF17" s="13">
        <f t="shared" si="37"/>
        <v>2.960230104325563</v>
      </c>
      <c r="BG17" s="20">
        <f t="shared" si="7"/>
        <v>19.449593946457281</v>
      </c>
      <c r="BH17" s="59">
        <f t="shared" si="8"/>
        <v>312.78292727979061</v>
      </c>
      <c r="BI17" s="59">
        <f ca="1">AVERAGE(OFFSET($BH$3,0,0,'Données projet'!$E$11+1,1))-AVERAGE(OFFSET($H$3,0,0,'Données projet'!$E$11+1,1))</f>
        <v>584.62172669166989</v>
      </c>
      <c r="BJ17" s="59">
        <f t="shared" si="38"/>
        <v>141.28992520553197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>
        <f>VLOOKUP(A17,'Données projet'!$A$113:$I$133,2,0)</f>
        <v>425</v>
      </c>
      <c r="BW17" s="12">
        <f>VLOOKUP(A17,'Données projet'!$A$113:$I$133,9,0)</f>
        <v>55</v>
      </c>
      <c r="BX17" s="12">
        <f t="array" ref="BX17">INDEX(BW:BW,MIN(IF(ISNUMBER(BW17:BW213),ROW(BW17:BW213),"")))</f>
        <v>55</v>
      </c>
      <c r="BY17" s="12">
        <f>IF('Données projet'!$A$114&gt;35,BY16+BX17-CG16,IF(A17&lt;'Données projet'!$A$114,$BV$205^A17,IF(A17='Données projet'!$A$114,'Données projet'!$B$114,BY16+BX17-CG16)))</f>
        <v>425</v>
      </c>
      <c r="BZ17" s="13">
        <f>BY17*VLOOKUP('Données projet'!$B$12,Paramètres!$A$1:$I$89,3,0)*VLOOKUP('Données projet'!$B$12,Paramètres!$A$1:$I$89,5,0)</f>
        <v>251.94</v>
      </c>
      <c r="CA17" s="13">
        <f t="shared" si="39"/>
        <v>61.001175575882066</v>
      </c>
      <c r="CB17" s="20">
        <f t="shared" si="10"/>
        <v>545.03921412799457</v>
      </c>
      <c r="CC17" s="59">
        <f t="shared" si="11"/>
        <v>838.37254746132794</v>
      </c>
      <c r="CD17" s="59">
        <f ca="1">AVERAGE(OFFSET($CC$3,0,0,'Données projet'!$E$12+1,1))-AVERAGE(OFFSET($H$3,0,0,'Données projet'!$E$12+1,1))</f>
        <v>326.09691594978824</v>
      </c>
      <c r="CE17" s="59">
        <f t="shared" si="40"/>
        <v>605.43570457920714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2.5115384615384619</v>
      </c>
      <c r="CT17" s="12">
        <f>IF('Données projet'!$A$140&gt;35,CT16+CS17-DB16,IF(A17&lt;'Données projet'!$A$140,$CQ$205^A17,IF(A17='Données projet'!$A$140,'Données projet'!$B$140,CT16+CS17-DB16)))</f>
        <v>7.5155685620118104</v>
      </c>
      <c r="CU17" s="17">
        <f>CT17*VLOOKUP('Données projet'!$B$13,Paramètres!$A$1:$I$89,3,0)*VLOOKUP('Données projet'!$B$13,Paramètres!$A$1:$I$89,5,0)</f>
        <v>6.8000864349082857</v>
      </c>
      <c r="CV17" s="13">
        <f t="shared" si="41"/>
        <v>2.5070432018240512</v>
      </c>
      <c r="CW17" s="20">
        <f t="shared" si="13"/>
        <v>16.209917450642156</v>
      </c>
      <c r="CX17" s="59">
        <f t="shared" si="14"/>
        <v>309.54325078397545</v>
      </c>
      <c r="CY17" s="59">
        <f ca="1">AVERAGE(OFFSET($CX$3,0,0,'Données projet'!$E$13+1,1))-AVERAGE(OFFSET($H$3,0,0,'Données projet'!$E$13+1,1))</f>
        <v>465.85201723917186</v>
      </c>
      <c r="CZ17" s="59">
        <f t="shared" si="42"/>
        <v>110.67325285686417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42</v>
      </c>
      <c r="AG18" s="12">
        <f>VLOOKUP(A18,'Données projet'!$A$61:$I$81,9,0)</f>
        <v>2.8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42</v>
      </c>
      <c r="AJ18" s="13">
        <f>AI18*VLOOKUP('Données projet'!$B$10,Paramètres!$A$1:$I$89,3,0)*VLOOKUP('Données projet'!$B$10,Paramètres!$A$1:$I$89,5,0)</f>
        <v>34.070399999999999</v>
      </c>
      <c r="AK18" s="13">
        <f t="shared" si="35"/>
        <v>10.412633617059315</v>
      </c>
      <c r="AL18" s="20">
        <f t="shared" si="4"/>
        <v>77.474616883044959</v>
      </c>
      <c r="AM18" s="59">
        <f t="shared" si="5"/>
        <v>370.80795021637829</v>
      </c>
      <c r="AN18" s="59">
        <f ca="1">AVERAGE(OFFSET($AM$3,0,0,'Données projet'!$E$10+1,1))-AVERAGE(OFFSET($H$3,0,0,'Données projet'!$E$10+1,1))</f>
        <v>181.20458942529478</v>
      </c>
      <c r="AO18" s="59">
        <f t="shared" si="36"/>
        <v>144.05254691566421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2.5115384615384619</v>
      </c>
      <c r="BD18" s="12">
        <f>IF('Données projet'!$A$88&gt;35,BD17+BC18-BL17,IF(A18&lt;'Données projet'!$A$88,$BA$205^A18,IF(A18='Données projet'!$A$88,'Données projet'!$B$88,BD17+BC18-BL17)))</f>
        <v>8.6802162326841756</v>
      </c>
      <c r="BE18" s="13">
        <f>BD18*VLOOKUP('Données projet'!$B$11,Paramètres!$A$1:$I$89,3,0)*VLOOKUP('Données projet'!$B$11,Paramètres!$A$1:$I$89,5,0)</f>
        <v>9.4787961260911207</v>
      </c>
      <c r="BF18" s="13">
        <f t="shared" si="37"/>
        <v>3.3621042591392269</v>
      </c>
      <c r="BG18" s="20">
        <f t="shared" si="7"/>
        <v>22.364568170942857</v>
      </c>
      <c r="BH18" s="59">
        <f t="shared" si="8"/>
        <v>315.69790150427616</v>
      </c>
      <c r="BI18" s="59">
        <f ca="1">AVERAGE(OFFSET($BH$3,0,0,'Données projet'!$E$11+1,1))-AVERAGE(OFFSET($H$3,0,0,'Données projet'!$E$11+1,1))</f>
        <v>584.62172669166989</v>
      </c>
      <c r="BJ18" s="59">
        <f t="shared" si="38"/>
        <v>141.28992520553197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11</v>
      </c>
      <c r="BY18" s="12">
        <f>IF('Données projet'!$A$114&gt;35,BY17+BX18-CG17,IF(A18&lt;'Données projet'!$A$114,$BV$205^A18,IF(A18='Données projet'!$A$114,'Données projet'!$B$114,BY17+BX18-CG17)))</f>
        <v>436</v>
      </c>
      <c r="BZ18" s="13">
        <f>BY18*VLOOKUP('Données projet'!$B$12,Paramètres!$A$1:$I$89,3,0)*VLOOKUP('Données projet'!$B$12,Paramètres!$A$1:$I$89,5,0)</f>
        <v>258.46080000000001</v>
      </c>
      <c r="CA18" s="13">
        <f t="shared" si="39"/>
        <v>62.394169423576514</v>
      </c>
      <c r="CB18" s="20">
        <f t="shared" si="10"/>
        <v>558.82240507939571</v>
      </c>
      <c r="CC18" s="59">
        <f t="shared" si="11"/>
        <v>852.15573841272908</v>
      </c>
      <c r="CD18" s="59">
        <f ca="1">AVERAGE(OFFSET($CC$3,0,0,'Données projet'!$E$12+1,1))-AVERAGE(OFFSET($H$3,0,0,'Données projet'!$E$12+1,1))</f>
        <v>326.09691594978824</v>
      </c>
      <c r="CE18" s="59">
        <f t="shared" si="40"/>
        <v>605.43570457920714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2.5115384615384619</v>
      </c>
      <c r="CT18" s="12">
        <f>IF('Données projet'!$A$140&gt;35,CT17+CS18-DB17,IF(A18&lt;'Données projet'!$A$140,$CQ$205^A18,IF(A18='Données projet'!$A$140,'Données projet'!$B$140,CT17+CS18-DB17)))</f>
        <v>8.6802162326841756</v>
      </c>
      <c r="CU18" s="17">
        <f>CT18*VLOOKUP('Données projet'!$B$13,Paramètres!$A$1:$I$89,3,0)*VLOOKUP('Données projet'!$B$13,Paramètres!$A$1:$I$89,5,0)</f>
        <v>7.8538596473326416</v>
      </c>
      <c r="CV18" s="13">
        <f t="shared" si="41"/>
        <v>2.8473937260424811</v>
      </c>
      <c r="CW18" s="20">
        <f t="shared" si="13"/>
        <v>18.638016291961673</v>
      </c>
      <c r="CX18" s="59">
        <f t="shared" si="14"/>
        <v>311.97134962529498</v>
      </c>
      <c r="CY18" s="59">
        <f ca="1">AVERAGE(OFFSET($CX$3,0,0,'Données projet'!$E$13+1,1))-AVERAGE(OFFSET($H$3,0,0,'Données projet'!$E$13+1,1))</f>
        <v>465.85201723917186</v>
      </c>
      <c r="CZ18" s="59">
        <f t="shared" si="42"/>
        <v>110.67325285686417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5.4</v>
      </c>
      <c r="AI19" s="13">
        <f>IF('Données projet'!$A$62&gt;35,AI18+AH19-AQ18,IF(A19&lt;'Données projet'!$A$62,$AF$205^A19,IF(A19='Données projet'!$A$62,'Données projet'!$B$62,AI18+AH19-AQ18)))</f>
        <v>47.4</v>
      </c>
      <c r="AJ19" s="13">
        <f>AI19*VLOOKUP('Données projet'!$B$10,Paramètres!$A$1:$I$89,3,0)*VLOOKUP('Données projet'!$B$10,Paramètres!$A$1:$I$89,5,0)</f>
        <v>38.450879999999998</v>
      </c>
      <c r="AK19" s="13">
        <f t="shared" si="35"/>
        <v>11.587113394776683</v>
      </c>
      <c r="AL19" s="20">
        <f t="shared" si="4"/>
        <v>87.149505162569383</v>
      </c>
      <c r="AM19" s="59">
        <f t="shared" si="5"/>
        <v>380.48283849590268</v>
      </c>
      <c r="AN19" s="59">
        <f ca="1">AVERAGE(OFFSET($AM$3,0,0,'Données projet'!$E$10+1,1))-AVERAGE(OFFSET($H$3,0,0,'Données projet'!$E$10+1,1))</f>
        <v>181.20458942529478</v>
      </c>
      <c r="AO19" s="59">
        <f t="shared" si="36"/>
        <v>144.05254691566421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2.5115384615384619</v>
      </c>
      <c r="BD19" s="12">
        <f>IF('Données projet'!$A$88&gt;35,BD18+BC19-BL18,IF(A19&lt;'Données projet'!$A$88,$BA$205^A19,IF(A19='Données projet'!$A$88,'Données projet'!$B$88,BD18+BC19-BL18)))</f>
        <v>10.025343155938796</v>
      </c>
      <c r="BE19" s="13">
        <f>BD19*VLOOKUP('Données projet'!$B$11,Paramètres!$A$1:$I$89,3,0)*VLOOKUP('Données projet'!$B$11,Paramètres!$A$1:$I$89,5,0)</f>
        <v>10.947674726285165</v>
      </c>
      <c r="BF19" s="13">
        <f t="shared" si="37"/>
        <v>3.8185359417853415</v>
      </c>
      <c r="BG19" s="20">
        <f t="shared" si="7"/>
        <v>25.717816913556131</v>
      </c>
      <c r="BH19" s="59">
        <f t="shared" si="8"/>
        <v>319.05115024688945</v>
      </c>
      <c r="BI19" s="59">
        <f ca="1">AVERAGE(OFFSET($BH$3,0,0,'Données projet'!$E$11+1,1))-AVERAGE(OFFSET($H$3,0,0,'Données projet'!$E$11+1,1))</f>
        <v>584.62172669166989</v>
      </c>
      <c r="BJ19" s="59">
        <f t="shared" si="38"/>
        <v>141.28992520553197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</v>
      </c>
      <c r="BY19" s="12">
        <f>IF('Données projet'!$A$114&gt;35,BY18+BX19-CG18,IF(A19&lt;'Données projet'!$A$114,$BV$205^A19,IF(A19='Données projet'!$A$114,'Données projet'!$B$114,BY18+BX19-CG18)))</f>
        <v>447</v>
      </c>
      <c r="BZ19" s="13">
        <f>BY19*VLOOKUP('Données projet'!$B$12,Paramètres!$A$1:$I$89,3,0)*VLOOKUP('Données projet'!$B$12,Paramètres!$A$1:$I$89,5,0)</f>
        <v>264.98160000000001</v>
      </c>
      <c r="CA19" s="13">
        <f t="shared" si="39"/>
        <v>63.783078012906309</v>
      </c>
      <c r="CB19" s="20">
        <f t="shared" si="10"/>
        <v>572.59848087247849</v>
      </c>
      <c r="CC19" s="59">
        <f t="shared" si="11"/>
        <v>865.93181420581186</v>
      </c>
      <c r="CD19" s="59">
        <f ca="1">AVERAGE(OFFSET($CC$3,0,0,'Données projet'!$E$12+1,1))-AVERAGE(OFFSET($H$3,0,0,'Données projet'!$E$12+1,1))</f>
        <v>326.09691594978824</v>
      </c>
      <c r="CE19" s="59">
        <f t="shared" si="40"/>
        <v>605.43570457920714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2.5115384615384619</v>
      </c>
      <c r="CT19" s="12">
        <f>IF('Données projet'!$A$140&gt;35,CT18+CS19-DB18,IF(A19&lt;'Données projet'!$A$140,$CQ$205^A19,IF(A19='Données projet'!$A$140,'Données projet'!$B$140,CT18+CS19-DB18)))</f>
        <v>10.025343155938796</v>
      </c>
      <c r="CU19" s="17">
        <f>CT19*VLOOKUP('Données projet'!$B$13,Paramètres!$A$1:$I$89,3,0)*VLOOKUP('Données projet'!$B$13,Paramètres!$A$1:$I$89,5,0)</f>
        <v>9.0709304874934222</v>
      </c>
      <c r="CV19" s="13">
        <f t="shared" si="41"/>
        <v>3.2339494689230706</v>
      </c>
      <c r="CW19" s="20">
        <f t="shared" si="13"/>
        <v>21.430999257425388</v>
      </c>
      <c r="CX19" s="59">
        <f t="shared" si="14"/>
        <v>314.76433259075873</v>
      </c>
      <c r="CY19" s="59">
        <f ca="1">AVERAGE(OFFSET($CX$3,0,0,'Données projet'!$E$13+1,1))-AVERAGE(OFFSET($H$3,0,0,'Données projet'!$E$13+1,1))</f>
        <v>465.85201723917186</v>
      </c>
      <c r="CZ19" s="59">
        <f t="shared" si="42"/>
        <v>110.67325285686417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5.4</v>
      </c>
      <c r="AI20" s="13">
        <f>IF('Données projet'!$A$62&gt;35,AI19+AH20-AQ19,IF(A20&lt;'Données projet'!$A$62,$AF$205^A20,IF(A20='Données projet'!$A$62,'Données projet'!$B$62,AI19+AH20-AQ19)))</f>
        <v>52.8</v>
      </c>
      <c r="AJ20" s="13">
        <f>AI20*VLOOKUP('Données projet'!$B$10,Paramètres!$A$1:$I$89,3,0)*VLOOKUP('Données projet'!$B$10,Paramètres!$A$1:$I$89,5,0)</f>
        <v>42.831360000000004</v>
      </c>
      <c r="AK20" s="13">
        <f t="shared" si="35"/>
        <v>12.746086115928794</v>
      </c>
      <c r="AL20" s="20">
        <f t="shared" si="4"/>
        <v>96.797385318575991</v>
      </c>
      <c r="AM20" s="59">
        <f t="shared" si="5"/>
        <v>390.13071865190932</v>
      </c>
      <c r="AN20" s="59">
        <f ca="1">AVERAGE(OFFSET($AM$3,0,0,'Données projet'!$E$10+1,1))-AVERAGE(OFFSET($H$3,0,0,'Données projet'!$E$10+1,1))</f>
        <v>181.20458942529478</v>
      </c>
      <c r="AO20" s="59">
        <f t="shared" si="36"/>
        <v>144.05254691566421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2.5115384615384619</v>
      </c>
      <c r="BD20" s="12">
        <f>IF('Données projet'!$A$88&gt;35,BD19+BC20-BL19,IF(A20&lt;'Données projet'!$A$88,$BA$205^A20,IF(A20='Données projet'!$A$88,'Données projet'!$B$88,BD19+BC20-BL19)))</f>
        <v>11.578917241241234</v>
      </c>
      <c r="BE20" s="13">
        <f>BD20*VLOOKUP('Données projet'!$B$11,Paramètres!$A$1:$I$89,3,0)*VLOOKUP('Données projet'!$B$11,Paramètres!$A$1:$I$89,5,0)</f>
        <v>12.644177627435427</v>
      </c>
      <c r="BF20" s="13">
        <f t="shared" si="37"/>
        <v>4.336931759052459</v>
      </c>
      <c r="BG20" s="20">
        <f t="shared" si="7"/>
        <v>29.5754321814664</v>
      </c>
      <c r="BH20" s="59">
        <f t="shared" si="8"/>
        <v>322.90876551479971</v>
      </c>
      <c r="BI20" s="59">
        <f ca="1">AVERAGE(OFFSET($BH$3,0,0,'Données projet'!$E$11+1,1))-AVERAGE(OFFSET($H$3,0,0,'Données projet'!$E$11+1,1))</f>
        <v>584.62172669166989</v>
      </c>
      <c r="BJ20" s="59">
        <f t="shared" si="38"/>
        <v>141.28992520553197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</v>
      </c>
      <c r="BY20" s="12">
        <f>IF('Données projet'!$A$114&gt;35,BY19+BX20-CG19,IF(A20&lt;'Données projet'!$A$114,$BV$205^A20,IF(A20='Données projet'!$A$114,'Données projet'!$B$114,BY19+BX20-CG19)))</f>
        <v>458</v>
      </c>
      <c r="BZ20" s="13">
        <f>BY20*VLOOKUP('Données projet'!$B$12,Paramètres!$A$1:$I$89,3,0)*VLOOKUP('Données projet'!$B$12,Paramètres!$A$1:$I$89,5,0)</f>
        <v>271.50240000000002</v>
      </c>
      <c r="CA20" s="13">
        <f t="shared" si="39"/>
        <v>65.168013440185035</v>
      </c>
      <c r="CB20" s="20">
        <f t="shared" si="10"/>
        <v>586.36763674165547</v>
      </c>
      <c r="CC20" s="59">
        <f t="shared" si="11"/>
        <v>879.70097007498885</v>
      </c>
      <c r="CD20" s="59">
        <f ca="1">AVERAGE(OFFSET($CC$3,0,0,'Données projet'!$E$12+1,1))-AVERAGE(OFFSET($H$3,0,0,'Données projet'!$E$12+1,1))</f>
        <v>326.09691594978824</v>
      </c>
      <c r="CE20" s="59">
        <f t="shared" si="40"/>
        <v>605.43570457920714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2.5115384615384619</v>
      </c>
      <c r="CT20" s="12">
        <f>IF('Données projet'!$A$140&gt;35,CT19+CS20-DB19,IF(A20&lt;'Données projet'!$A$140,$CQ$205^A20,IF(A20='Données projet'!$A$140,'Données projet'!$B$140,CT19+CS20-DB19)))</f>
        <v>11.578917241241234</v>
      </c>
      <c r="CU20" s="17">
        <f>CT20*VLOOKUP('Données projet'!$B$13,Paramètres!$A$1:$I$89,3,0)*VLOOKUP('Données projet'!$B$13,Paramètres!$A$1:$I$89,5,0)</f>
        <v>10.476604319875069</v>
      </c>
      <c r="CV20" s="13">
        <f t="shared" si="41"/>
        <v>3.6729831466207905</v>
      </c>
      <c r="CW20" s="20">
        <f t="shared" si="13"/>
        <v>24.643864837480283</v>
      </c>
      <c r="CX20" s="59">
        <f t="shared" si="14"/>
        <v>317.97719817081361</v>
      </c>
      <c r="CY20" s="59">
        <f ca="1">AVERAGE(OFFSET($CX$3,0,0,'Données projet'!$E$13+1,1))-AVERAGE(OFFSET($H$3,0,0,'Données projet'!$E$13+1,1))</f>
        <v>465.85201723917186</v>
      </c>
      <c r="CZ20" s="59">
        <f t="shared" si="42"/>
        <v>110.67325285686417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5.4</v>
      </c>
      <c r="AI21" s="13">
        <f>IF('Données projet'!$A$62&gt;35,AI20+AH21-AQ20,IF(A21&lt;'Données projet'!$A$62,$AF$205^A21,IF(A21='Données projet'!$A$62,'Données projet'!$B$62,AI20+AH21-AQ20)))</f>
        <v>58.199999999999996</v>
      </c>
      <c r="AJ21" s="13">
        <f>AI21*VLOOKUP('Données projet'!$B$10,Paramètres!$A$1:$I$89,3,0)*VLOOKUP('Données projet'!$B$10,Paramètres!$A$1:$I$89,5,0)</f>
        <v>47.211840000000002</v>
      </c>
      <c r="AK21" s="13">
        <f t="shared" si="35"/>
        <v>13.891318331147987</v>
      </c>
      <c r="AL21" s="20">
        <f t="shared" si="4"/>
        <v>106.42133409341606</v>
      </c>
      <c r="AM21" s="59">
        <f t="shared" si="5"/>
        <v>399.75466742674939</v>
      </c>
      <c r="AN21" s="59">
        <f ca="1">AVERAGE(OFFSET($AM$3,0,0,'Données projet'!$E$10+1,1))-AVERAGE(OFFSET($H$3,0,0,'Données projet'!$E$10+1,1))</f>
        <v>181.20458942529478</v>
      </c>
      <c r="AO21" s="59">
        <f t="shared" si="36"/>
        <v>144.05254691566421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2.5115384615384619</v>
      </c>
      <c r="BD21" s="12">
        <f>IF('Données projet'!$A$88&gt;35,BD20+BC21-BL20,IF(A21&lt;'Données projet'!$A$88,$BA$205^A21,IF(A21='Données projet'!$A$88,'Données projet'!$B$88,BD20+BC21-BL20)))</f>
        <v>13.373240436173255</v>
      </c>
      <c r="BE21" s="13">
        <f>BD21*VLOOKUP('Données projet'!$B$11,Paramètres!$A$1:$I$89,3,0)*VLOOKUP('Données projet'!$B$11,Paramètres!$A$1:$I$89,5,0)</f>
        <v>14.603578556301194</v>
      </c>
      <c r="BF21" s="13">
        <f t="shared" si="37"/>
        <v>4.9257038219427649</v>
      </c>
      <c r="BG21" s="20">
        <f t="shared" si="7"/>
        <v>34.013500142108228</v>
      </c>
      <c r="BH21" s="59">
        <f t="shared" si="8"/>
        <v>327.34683347544154</v>
      </c>
      <c r="BI21" s="59">
        <f ca="1">AVERAGE(OFFSET($BH$3,0,0,'Données projet'!$E$11+1,1))-AVERAGE(OFFSET($H$3,0,0,'Données projet'!$E$11+1,1))</f>
        <v>584.62172669166989</v>
      </c>
      <c r="BJ21" s="59">
        <f t="shared" si="38"/>
        <v>141.28992520553197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</v>
      </c>
      <c r="BY21" s="12">
        <f>IF('Données projet'!$A$114&gt;35,BY20+BX21-CG20,IF(A21&lt;'Données projet'!$A$114,$BV$205^A21,IF(A21='Données projet'!$A$114,'Données projet'!$B$114,BY20+BX21-CG20)))</f>
        <v>469</v>
      </c>
      <c r="BZ21" s="13">
        <f>BY21*VLOOKUP('Données projet'!$B$12,Paramètres!$A$1:$I$89,3,0)*VLOOKUP('Données projet'!$B$12,Paramètres!$A$1:$I$89,5,0)</f>
        <v>278.02320000000003</v>
      </c>
      <c r="CA21" s="13">
        <f t="shared" si="39"/>
        <v>66.549082110116515</v>
      </c>
      <c r="CB21" s="20">
        <f t="shared" si="10"/>
        <v>600.13005800845292</v>
      </c>
      <c r="CC21" s="59">
        <f t="shared" si="11"/>
        <v>893.46339134178629</v>
      </c>
      <c r="CD21" s="59">
        <f ca="1">AVERAGE(OFFSET($CC$3,0,0,'Données projet'!$E$12+1,1))-AVERAGE(OFFSET($H$3,0,0,'Données projet'!$E$12+1,1))</f>
        <v>326.09691594978824</v>
      </c>
      <c r="CE21" s="59">
        <f t="shared" si="40"/>
        <v>605.43570457920714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2.5115384615384619</v>
      </c>
      <c r="CT21" s="12">
        <f>IF('Données projet'!$A$140&gt;35,CT20+CS21-DB20,IF(A21&lt;'Données projet'!$A$140,$CQ$205^A21,IF(A21='Données projet'!$A$140,'Données projet'!$B$140,CT20+CS21-DB20)))</f>
        <v>13.373240436173255</v>
      </c>
      <c r="CU21" s="17">
        <f>CT21*VLOOKUP('Données projet'!$B$13,Paramètres!$A$1:$I$89,3,0)*VLOOKUP('Données projet'!$B$13,Paramètres!$A$1:$I$89,5,0)</f>
        <v>12.10010794664956</v>
      </c>
      <c r="CV21" s="13">
        <f t="shared" si="41"/>
        <v>4.1716190450721236</v>
      </c>
      <c r="CW21" s="20">
        <f t="shared" si="13"/>
        <v>28.339924510581934</v>
      </c>
      <c r="CX21" s="59">
        <f t="shared" si="14"/>
        <v>321.67325784391522</v>
      </c>
      <c r="CY21" s="59">
        <f ca="1">AVERAGE(OFFSET($CX$3,0,0,'Données projet'!$E$13+1,1))-AVERAGE(OFFSET($H$3,0,0,'Données projet'!$E$13+1,1))</f>
        <v>465.85201723917186</v>
      </c>
      <c r="CZ21" s="59">
        <f t="shared" si="42"/>
        <v>110.67325285686417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5.4</v>
      </c>
      <c r="AI22" s="13">
        <f>IF('Données projet'!$A$62&gt;35,AI21+AH22-AQ21,IF(A22&lt;'Données projet'!$A$62,$AF$205^A22,IF(A22='Données projet'!$A$62,'Données projet'!$B$62,AI21+AH22-AQ21)))</f>
        <v>63.599999999999994</v>
      </c>
      <c r="AJ22" s="13">
        <f>AI22*VLOOKUP('Données projet'!$B$10,Paramètres!$A$1:$I$89,3,0)*VLOOKUP('Données projet'!$B$10,Paramètres!$A$1:$I$89,5,0)</f>
        <v>51.592319999999994</v>
      </c>
      <c r="AK22" s="13">
        <f t="shared" si="35"/>
        <v>15.024229944049157</v>
      </c>
      <c r="AL22" s="20">
        <f t="shared" si="4"/>
        <v>116.0238244858856</v>
      </c>
      <c r="AM22" s="59">
        <f t="shared" si="5"/>
        <v>409.35715781921891</v>
      </c>
      <c r="AN22" s="59">
        <f ca="1">AVERAGE(OFFSET($AM$3,0,0,'Données projet'!$E$10+1,1))-AVERAGE(OFFSET($H$3,0,0,'Données projet'!$E$10+1,1))</f>
        <v>181.20458942529478</v>
      </c>
      <c r="AO22" s="59">
        <f t="shared" si="36"/>
        <v>144.05254691566421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2.5115384615384619</v>
      </c>
      <c r="BD22" s="12">
        <f>IF('Données projet'!$A$88&gt;35,BD21+BC22-BL21,IF(A22&lt;'Données projet'!$A$88,$BA$205^A22,IF(A22='Données projet'!$A$88,'Données projet'!$B$88,BD21+BC22-BL21)))</f>
        <v>15.445620349258824</v>
      </c>
      <c r="BE22" s="13">
        <f>BD22*VLOOKUP('Données projet'!$B$11,Paramètres!$A$1:$I$89,3,0)*VLOOKUP('Données projet'!$B$11,Paramètres!$A$1:$I$89,5,0)</f>
        <v>16.866617421390636</v>
      </c>
      <c r="BF22" s="13">
        <f t="shared" si="37"/>
        <v>5.5944062506536856</v>
      </c>
      <c r="BG22" s="20">
        <f t="shared" si="7"/>
        <v>39.119616228810521</v>
      </c>
      <c r="BH22" s="59">
        <f t="shared" si="8"/>
        <v>332.45294956214383</v>
      </c>
      <c r="BI22" s="59">
        <f ca="1">AVERAGE(OFFSET($BH$3,0,0,'Données projet'!$E$11+1,1))-AVERAGE(OFFSET($H$3,0,0,'Données projet'!$E$11+1,1))</f>
        <v>584.62172669166989</v>
      </c>
      <c r="BJ22" s="59">
        <f t="shared" si="38"/>
        <v>141.28992520553197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>
        <f>VLOOKUP(A22,'Données projet'!$A$113:$I$133,2,0)</f>
        <v>480</v>
      </c>
      <c r="BW22" s="12">
        <f>VLOOKUP(A22,'Données projet'!$A$113:$I$133,9,0)</f>
        <v>11</v>
      </c>
      <c r="BX22" s="12">
        <f t="array" ref="BX22">INDEX(BW:BW,MIN(IF(ISNUMBER(BW22:BW218),ROW(BW22:BW218),"")))</f>
        <v>11</v>
      </c>
      <c r="BY22" s="12">
        <f>IF('Données projet'!$A$114&gt;35,BY21+BX22-CG21,IF(A22&lt;'Données projet'!$A$114,$BV$205^A22,IF(A22='Données projet'!$A$114,'Données projet'!$B$114,BY21+BX22-CG21)))</f>
        <v>480</v>
      </c>
      <c r="BZ22" s="13">
        <f>BY22*VLOOKUP('Données projet'!$B$12,Paramètres!$A$1:$I$89,3,0)*VLOOKUP('Données projet'!$B$12,Paramètres!$A$1:$I$89,5,0)</f>
        <v>284.54400000000004</v>
      </c>
      <c r="CA22" s="13">
        <f t="shared" si="39"/>
        <v>67.926385151394797</v>
      </c>
      <c r="CB22" s="20">
        <f t="shared" si="10"/>
        <v>613.88592080534602</v>
      </c>
      <c r="CC22" s="59">
        <f t="shared" si="11"/>
        <v>907.21925413867939</v>
      </c>
      <c r="CD22" s="59">
        <f ca="1">AVERAGE(OFFSET($CC$3,0,0,'Données projet'!$E$12+1,1))-AVERAGE(OFFSET($H$3,0,0,'Données projet'!$E$12+1,1))</f>
        <v>326.09691594978824</v>
      </c>
      <c r="CE22" s="59">
        <f t="shared" si="40"/>
        <v>605.43570457920714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2.5115384615384619</v>
      </c>
      <c r="CT22" s="12">
        <f>IF('Données projet'!$A$140&gt;35,CT21+CS22-DB21,IF(A22&lt;'Données projet'!$A$140,$CQ$205^A22,IF(A22='Données projet'!$A$140,'Données projet'!$B$140,CT21+CS22-DB21)))</f>
        <v>15.445620349258824</v>
      </c>
      <c r="CU22" s="17">
        <f>CT22*VLOOKUP('Données projet'!$B$13,Paramètres!$A$1:$I$89,3,0)*VLOOKUP('Données projet'!$B$13,Paramètres!$A$1:$I$89,5,0)</f>
        <v>13.975197292009385</v>
      </c>
      <c r="CV22" s="13">
        <f t="shared" si="41"/>
        <v>4.7379486271857729</v>
      </c>
      <c r="CW22" s="20">
        <f t="shared" si="13"/>
        <v>32.592062475931563</v>
      </c>
      <c r="CX22" s="59">
        <f t="shared" si="14"/>
        <v>325.9253958092649</v>
      </c>
      <c r="CY22" s="59">
        <f ca="1">AVERAGE(OFFSET($CX$3,0,0,'Données projet'!$E$13+1,1))-AVERAGE(OFFSET($H$3,0,0,'Données projet'!$E$13+1,1))</f>
        <v>465.85201723917186</v>
      </c>
      <c r="CZ22" s="59">
        <f t="shared" si="42"/>
        <v>110.67325285686417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69</v>
      </c>
      <c r="AG23" s="12">
        <f>VLOOKUP(A23,'Données projet'!$A$61:$I$81,9,0)</f>
        <v>5.4</v>
      </c>
      <c r="AH23" s="12">
        <f t="array" ref="AH23">INDEX(AG:AG,MIN(IF(ISNUMBER(AG23:AG219),ROW(AG23:AG219),"")))</f>
        <v>5.4</v>
      </c>
      <c r="AI23" s="13">
        <f>IF('Données projet'!$A$62&gt;35,AI22+AH23-AQ22,IF(A23&lt;'Données projet'!$A$62,$AF$205^A23,IF(A23='Données projet'!$A$62,'Données projet'!$B$62,AI22+AH23-AQ22)))</f>
        <v>69</v>
      </c>
      <c r="AJ23" s="13">
        <f>AI23*VLOOKUP('Données projet'!$B$10,Paramètres!$A$1:$I$89,3,0)*VLOOKUP('Données projet'!$B$10,Paramètres!$A$1:$I$89,5,0)</f>
        <v>55.972800000000007</v>
      </c>
      <c r="AK23" s="13">
        <f t="shared" si="35"/>
        <v>16.145985978099571</v>
      </c>
      <c r="AL23" s="20">
        <f t="shared" si="4"/>
        <v>125.60688557852342</v>
      </c>
      <c r="AM23" s="59">
        <f t="shared" si="5"/>
        <v>418.94021891185673</v>
      </c>
      <c r="AN23" s="59">
        <f ca="1">AVERAGE(OFFSET($AM$3,0,0,'Données projet'!$E$10+1,1))-AVERAGE(OFFSET($H$3,0,0,'Données projet'!$E$10+1,1))</f>
        <v>181.20458942529478</v>
      </c>
      <c r="AO23" s="59">
        <f t="shared" si="36"/>
        <v>144.05254691566421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2.5115384615384619</v>
      </c>
      <c r="BD23" s="12">
        <f>IF('Données projet'!$A$88&gt;35,BD22+BC23-BL22,IF(A23&lt;'Données projet'!$A$88,$BA$205^A23,IF(A23='Données projet'!$A$88,'Données projet'!$B$88,BD22+BC23-BL22)))</f>
        <v>17.839145950605833</v>
      </c>
      <c r="BE23" s="13">
        <f>BD23*VLOOKUP('Données projet'!$B$11,Paramètres!$A$1:$I$89,3,0)*VLOOKUP('Données projet'!$B$11,Paramètres!$A$1:$I$89,5,0)</f>
        <v>19.48034737806157</v>
      </c>
      <c r="BF23" s="13">
        <f t="shared" si="37"/>
        <v>6.3538902111676103</v>
      </c>
      <c r="BG23" s="20">
        <f t="shared" si="7"/>
        <v>44.994630467907484</v>
      </c>
      <c r="BH23" s="59">
        <f t="shared" si="8"/>
        <v>338.3279638012408</v>
      </c>
      <c r="BI23" s="59">
        <f ca="1">AVERAGE(OFFSET($BH$3,0,0,'Données projet'!$E$11+1,1))-AVERAGE(OFFSET($H$3,0,0,'Données projet'!$E$11+1,1))</f>
        <v>584.62172669166989</v>
      </c>
      <c r="BJ23" s="59">
        <f t="shared" si="38"/>
        <v>141.28992520553197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</v>
      </c>
      <c r="BY23" s="12">
        <f>IF('Données projet'!$A$114&gt;35,BY22+BX23-CG22,IF(A23&lt;'Données projet'!$A$114,$BV$205^A23,IF(A23='Données projet'!$A$114,'Données projet'!$B$114,BY22+BX23-CG22)))</f>
        <v>484</v>
      </c>
      <c r="BZ23" s="13">
        <f>BY23*VLOOKUP('Données projet'!$B$12,Paramètres!$A$1:$I$89,3,0)*VLOOKUP('Données projet'!$B$12,Paramètres!$A$1:$I$89,5,0)</f>
        <v>286.91520000000003</v>
      </c>
      <c r="CA23" s="13">
        <f t="shared" si="39"/>
        <v>68.426307936521454</v>
      </c>
      <c r="CB23" s="20">
        <f t="shared" si="10"/>
        <v>618.88645965610817</v>
      </c>
      <c r="CC23" s="59">
        <f t="shared" si="11"/>
        <v>912.21979298944143</v>
      </c>
      <c r="CD23" s="59">
        <f ca="1">AVERAGE(OFFSET($CC$3,0,0,'Données projet'!$E$12+1,1))-AVERAGE(OFFSET($H$3,0,0,'Données projet'!$E$12+1,1))</f>
        <v>326.09691594978824</v>
      </c>
      <c r="CE23" s="59">
        <f t="shared" si="40"/>
        <v>605.43570457920714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2.5115384615384619</v>
      </c>
      <c r="CT23" s="12">
        <f>IF('Données projet'!$A$140&gt;35,CT22+CS23-DB22,IF(A23&lt;'Données projet'!$A$140,$CQ$205^A23,IF(A23='Données projet'!$A$140,'Données projet'!$B$140,CT22+CS23-DB22)))</f>
        <v>17.839145950605833</v>
      </c>
      <c r="CU23" s="17">
        <f>CT23*VLOOKUP('Données projet'!$B$13,Paramètres!$A$1:$I$89,3,0)*VLOOKUP('Données projet'!$B$13,Paramètres!$A$1:$I$89,5,0)</f>
        <v>16.140859256108158</v>
      </c>
      <c r="CV23" s="13">
        <f t="shared" si="41"/>
        <v>5.3811618346045424</v>
      </c>
      <c r="CW23" s="20">
        <f t="shared" si="13"/>
        <v>37.484186732991283</v>
      </c>
      <c r="CX23" s="59">
        <f t="shared" si="14"/>
        <v>330.81752006632462</v>
      </c>
      <c r="CY23" s="59">
        <f ca="1">AVERAGE(OFFSET($CX$3,0,0,'Données projet'!$E$13+1,1))-AVERAGE(OFFSET($H$3,0,0,'Données projet'!$E$13+1,1))</f>
        <v>465.85201723917186</v>
      </c>
      <c r="CZ23" s="59">
        <f t="shared" si="42"/>
        <v>110.67325285686417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</v>
      </c>
      <c r="AI24" s="13">
        <f>IF('Données projet'!$A$62&gt;35,AI23+AH24-AQ23,IF(A24&lt;'Données projet'!$A$62,$AF$205^A24,IF(A24='Données projet'!$A$62,'Données projet'!$B$62,AI23+AH24-AQ23)))</f>
        <v>59.8</v>
      </c>
      <c r="AJ24" s="13">
        <f>AI24*VLOOKUP('Données projet'!$B$10,Paramètres!$A$1:$I$89,3,0)*VLOOKUP('Données projet'!$B$10,Paramètres!$A$1:$I$89,5,0)</f>
        <v>48.50976</v>
      </c>
      <c r="AK24" s="13">
        <f t="shared" si="35"/>
        <v>14.228223566336322</v>
      </c>
      <c r="AL24" s="20">
        <f t="shared" si="4"/>
        <v>109.26865471136909</v>
      </c>
      <c r="AM24" s="59">
        <f t="shared" si="5"/>
        <v>402.60198804470241</v>
      </c>
      <c r="AN24" s="59">
        <f ca="1">AVERAGE(OFFSET($AM$3,0,0,'Données projet'!$E$10+1,1))-AVERAGE(OFFSET($H$3,0,0,'Données projet'!$E$10+1,1))</f>
        <v>181.20458942529478</v>
      </c>
      <c r="AO24" s="59">
        <f t="shared" si="36"/>
        <v>144.05254691566421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2.5115384615384619</v>
      </c>
      <c r="BD24" s="12">
        <f>IF('Données projet'!$A$88&gt;35,BD23+BC24-BL23,IF(A24&lt;'Données projet'!$A$88,$BA$205^A24,IF(A24='Données projet'!$A$88,'Données projet'!$B$88,BD23+BC24-BL23)))</f>
        <v>20.603583478748867</v>
      </c>
      <c r="BE24" s="13">
        <f>BD24*VLOOKUP('Données projet'!$B$11,Paramètres!$A$1:$I$89,3,0)*VLOOKUP('Données projet'!$B$11,Paramètres!$A$1:$I$89,5,0)</f>
        <v>22.499113158793762</v>
      </c>
      <c r="BF24" s="13">
        <f t="shared" si="37"/>
        <v>7.2164799992589499</v>
      </c>
      <c r="BG24" s="20">
        <f t="shared" si="7"/>
        <v>51.754658083608469</v>
      </c>
      <c r="BH24" s="59">
        <f t="shared" si="8"/>
        <v>345.0879914169418</v>
      </c>
      <c r="BI24" s="59">
        <f ca="1">AVERAGE(OFFSET($BH$3,0,0,'Données projet'!$E$11+1,1))-AVERAGE(OFFSET($H$3,0,0,'Données projet'!$E$11+1,1))</f>
        <v>584.62172669166989</v>
      </c>
      <c r="BJ24" s="59">
        <f t="shared" si="38"/>
        <v>141.28992520553197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</v>
      </c>
      <c r="BY24" s="12">
        <f>IF('Données projet'!$A$114&gt;35,BY23+BX24-CG23,IF(A24&lt;'Données projet'!$A$114,$BV$205^A24,IF(A24='Données projet'!$A$114,'Données projet'!$B$114,BY23+BX24-CG23)))</f>
        <v>488</v>
      </c>
      <c r="BZ24" s="13">
        <f>BY24*VLOOKUP('Données projet'!$B$12,Paramètres!$A$1:$I$89,3,0)*VLOOKUP('Données projet'!$B$12,Paramètres!$A$1:$I$89,5,0)</f>
        <v>289.28640000000001</v>
      </c>
      <c r="CA24" s="13">
        <f t="shared" si="39"/>
        <v>68.925750029647361</v>
      </c>
      <c r="CB24" s="20">
        <f t="shared" si="10"/>
        <v>623.88616130163575</v>
      </c>
      <c r="CC24" s="59">
        <f t="shared" si="11"/>
        <v>917.21949463496912</v>
      </c>
      <c r="CD24" s="59">
        <f ca="1">AVERAGE(OFFSET($CC$3,0,0,'Données projet'!$E$12+1,1))-AVERAGE(OFFSET($H$3,0,0,'Données projet'!$E$12+1,1))</f>
        <v>326.09691594978824</v>
      </c>
      <c r="CE24" s="59">
        <f t="shared" si="40"/>
        <v>605.43570457920714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2.5115384615384619</v>
      </c>
      <c r="CT24" s="12">
        <f>IF('Données projet'!$A$140&gt;35,CT23+CS24-DB23,IF(A24&lt;'Données projet'!$A$140,$CQ$205^A24,IF(A24='Données projet'!$A$140,'Données projet'!$B$140,CT23+CS24-DB23)))</f>
        <v>20.603583478748867</v>
      </c>
      <c r="CU24" s="17">
        <f>CT24*VLOOKUP('Données projet'!$B$13,Paramètres!$A$1:$I$89,3,0)*VLOOKUP('Données projet'!$B$13,Paramètres!$A$1:$I$89,5,0)</f>
        <v>18.642122331571976</v>
      </c>
      <c r="CV24" s="13">
        <f t="shared" si="41"/>
        <v>6.1116962146979272</v>
      </c>
      <c r="CW24" s="20">
        <f t="shared" si="13"/>
        <v>43.112900634753409</v>
      </c>
      <c r="CX24" s="59">
        <f t="shared" si="14"/>
        <v>336.44623396808674</v>
      </c>
      <c r="CY24" s="59">
        <f ca="1">AVERAGE(OFFSET($CX$3,0,0,'Données projet'!$E$13+1,1))-AVERAGE(OFFSET($H$3,0,0,'Données projet'!$E$13+1,1))</f>
        <v>465.85201723917186</v>
      </c>
      <c r="CZ24" s="59">
        <f t="shared" si="42"/>
        <v>110.67325285686417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5.8</v>
      </c>
      <c r="AI25" s="13">
        <f>IF('Données projet'!$A$62&gt;35,AI24+AH25-AQ24,IF(A25&lt;'Données projet'!$A$62,$AF$205^A25,IF(A25='Données projet'!$A$62,'Données projet'!$B$62,AI24+AH25-AQ24)))</f>
        <v>65.599999999999994</v>
      </c>
      <c r="AJ25" s="13">
        <f>AI25*VLOOKUP('Données projet'!$B$10,Paramètres!$A$1:$I$89,3,0)*VLOOKUP('Données projet'!$B$10,Paramètres!$A$1:$I$89,5,0)</f>
        <v>53.214719999999993</v>
      </c>
      <c r="AK25" s="13">
        <f t="shared" si="35"/>
        <v>15.440940408182183</v>
      </c>
      <c r="AL25" s="20">
        <f t="shared" si="4"/>
        <v>119.57527521091727</v>
      </c>
      <c r="AM25" s="59">
        <f t="shared" si="5"/>
        <v>412.90860854425057</v>
      </c>
      <c r="AN25" s="59">
        <f ca="1">AVERAGE(OFFSET($AM$3,0,0,'Données projet'!$E$10+1,1))-AVERAGE(OFFSET($H$3,0,0,'Données projet'!$E$10+1,1))</f>
        <v>181.20458942529478</v>
      </c>
      <c r="AO25" s="59">
        <f t="shared" si="36"/>
        <v>144.05254691566421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2.5115384615384619</v>
      </c>
      <c r="BD25" s="12">
        <f>IF('Données projet'!$A$88&gt;35,BD24+BC25-BL24,IF(A25&lt;'Données projet'!$A$88,$BA$205^A25,IF(A25='Données projet'!$A$88,'Données projet'!$B$88,BD24+BC25-BL24)))</f>
        <v>23.796411181408413</v>
      </c>
      <c r="BE25" s="13">
        <f>BD25*VLOOKUP('Données projet'!$B$11,Paramètres!$A$1:$I$89,3,0)*VLOOKUP('Données projet'!$B$11,Paramètres!$A$1:$I$89,5,0)</f>
        <v>25.985681010097988</v>
      </c>
      <c r="BF25" s="13">
        <f t="shared" si="37"/>
        <v>8.196173029268401</v>
      </c>
      <c r="BG25" s="20">
        <f t="shared" si="7"/>
        <v>59.533395785229779</v>
      </c>
      <c r="BH25" s="59">
        <f t="shared" si="8"/>
        <v>352.86672911856311</v>
      </c>
      <c r="BI25" s="59">
        <f ca="1">AVERAGE(OFFSET($BH$3,0,0,'Données projet'!$E$11+1,1))-AVERAGE(OFFSET($H$3,0,0,'Données projet'!$E$11+1,1))</f>
        <v>584.62172669166989</v>
      </c>
      <c r="BJ25" s="59">
        <f t="shared" si="38"/>
        <v>141.28992520553197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</v>
      </c>
      <c r="BY25" s="12">
        <f>IF('Données projet'!$A$114&gt;35,BY24+BX25-CG24,IF(A25&lt;'Données projet'!$A$114,$BV$205^A25,IF(A25='Données projet'!$A$114,'Données projet'!$B$114,BY24+BX25-CG24)))</f>
        <v>492</v>
      </c>
      <c r="BZ25" s="13">
        <f>BY25*VLOOKUP('Données projet'!$B$12,Paramètres!$A$1:$I$89,3,0)*VLOOKUP('Données projet'!$B$12,Paramètres!$A$1:$I$89,5,0)</f>
        <v>291.6576</v>
      </c>
      <c r="CA25" s="13">
        <f t="shared" si="39"/>
        <v>69.424715827499426</v>
      </c>
      <c r="CB25" s="20">
        <f t="shared" si="10"/>
        <v>628.88503339956139</v>
      </c>
      <c r="CC25" s="59">
        <f t="shared" si="11"/>
        <v>922.21836673289476</v>
      </c>
      <c r="CD25" s="59">
        <f ca="1">AVERAGE(OFFSET($CC$3,0,0,'Données projet'!$E$12+1,1))-AVERAGE(OFFSET($H$3,0,0,'Données projet'!$E$12+1,1))</f>
        <v>326.09691594978824</v>
      </c>
      <c r="CE25" s="59">
        <f t="shared" si="40"/>
        <v>605.43570457920714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2.5115384615384619</v>
      </c>
      <c r="CT25" s="12">
        <f>IF('Données projet'!$A$140&gt;35,CT24+CS25-DB24,IF(A25&lt;'Données projet'!$A$140,$CQ$205^A25,IF(A25='Données projet'!$A$140,'Données projet'!$B$140,CT24+CS25-DB24)))</f>
        <v>23.796411181408413</v>
      </c>
      <c r="CU25" s="17">
        <f>CT25*VLOOKUP('Données projet'!$B$13,Paramètres!$A$1:$I$89,3,0)*VLOOKUP('Données projet'!$B$13,Paramètres!$A$1:$I$89,5,0)</f>
        <v>21.530992836938331</v>
      </c>
      <c r="CV25" s="13">
        <f t="shared" si="41"/>
        <v>6.9414062926984936</v>
      </c>
      <c r="CW25" s="20">
        <f t="shared" si="13"/>
        <v>49.58942848411747</v>
      </c>
      <c r="CX25" s="59">
        <f t="shared" si="14"/>
        <v>342.92276181745081</v>
      </c>
      <c r="CY25" s="59">
        <f ca="1">AVERAGE(OFFSET($CX$3,0,0,'Données projet'!$E$13+1,1))-AVERAGE(OFFSET($H$3,0,0,'Données projet'!$E$13+1,1))</f>
        <v>465.85201723917186</v>
      </c>
      <c r="CZ25" s="59">
        <f t="shared" si="42"/>
        <v>110.67325285686417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5.8</v>
      </c>
      <c r="AI26" s="13">
        <f>IF('Données projet'!$A$62&gt;35,AI25+AH26-AQ25,IF(A26&lt;'Données projet'!$A$62,$AF$205^A26,IF(A26='Données projet'!$A$62,'Données projet'!$B$62,AI25+AH26-AQ25)))</f>
        <v>71.399999999999991</v>
      </c>
      <c r="AJ26" s="13">
        <f>AI26*VLOOKUP('Données projet'!$B$10,Paramètres!$A$1:$I$89,3,0)*VLOOKUP('Données projet'!$B$10,Paramètres!$A$1:$I$89,5,0)</f>
        <v>57.91968</v>
      </c>
      <c r="AK26" s="13">
        <f t="shared" si="35"/>
        <v>16.641223534705848</v>
      </c>
      <c r="AL26" s="20">
        <f t="shared" si="4"/>
        <v>129.860240322946</v>
      </c>
      <c r="AM26" s="59">
        <f t="shared" si="5"/>
        <v>423.19357365627934</v>
      </c>
      <c r="AN26" s="59">
        <f ca="1">AVERAGE(OFFSET($AM$3,0,0,'Données projet'!$E$10+1,1))-AVERAGE(OFFSET($H$3,0,0,'Données projet'!$E$10+1,1))</f>
        <v>181.20458942529478</v>
      </c>
      <c r="AO26" s="59">
        <f t="shared" si="36"/>
        <v>144.05254691566421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2.5115384615384619</v>
      </c>
      <c r="BD26" s="12">
        <f>IF('Données projet'!$A$88&gt;35,BD25+BC26-BL25,IF(A26&lt;'Données projet'!$A$88,$BA$205^A26,IF(A26='Données projet'!$A$88,'Données projet'!$B$88,BD25+BC26-BL25)))</f>
        <v>27.484014404519773</v>
      </c>
      <c r="BE26" s="13">
        <f>BD26*VLOOKUP('Données projet'!$B$11,Paramètres!$A$1:$I$89,3,0)*VLOOKUP('Données projet'!$B$11,Paramètres!$A$1:$I$89,5,0)</f>
        <v>30.012543729735594</v>
      </c>
      <c r="BF26" s="13">
        <f t="shared" si="37"/>
        <v>9.3088669729016171</v>
      </c>
      <c r="BG26" s="20">
        <f t="shared" si="7"/>
        <v>68.484790307093135</v>
      </c>
      <c r="BH26" s="59">
        <f t="shared" si="8"/>
        <v>361.81812364042645</v>
      </c>
      <c r="BI26" s="59">
        <f ca="1">AVERAGE(OFFSET($BH$3,0,0,'Données projet'!$E$11+1,1))-AVERAGE(OFFSET($H$3,0,0,'Données projet'!$E$11+1,1))</f>
        <v>584.62172669166989</v>
      </c>
      <c r="BJ26" s="59">
        <f t="shared" si="38"/>
        <v>141.28992520553197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</v>
      </c>
      <c r="BY26" s="12">
        <f>IF('Données projet'!$A$114&gt;35,BY25+BX26-CG25,IF(A26&lt;'Données projet'!$A$114,$BV$205^A26,IF(A26='Données projet'!$A$114,'Données projet'!$B$114,BY25+BX26-CG25)))</f>
        <v>496</v>
      </c>
      <c r="BZ26" s="13">
        <f>BY26*VLOOKUP('Données projet'!$B$12,Paramètres!$A$1:$I$89,3,0)*VLOOKUP('Données projet'!$B$12,Paramètres!$A$1:$I$89,5,0)</f>
        <v>294.02879999999999</v>
      </c>
      <c r="CA26" s="13">
        <f t="shared" si="39"/>
        <v>69.923209651185729</v>
      </c>
      <c r="CB26" s="20">
        <f t="shared" si="10"/>
        <v>633.88308347581506</v>
      </c>
      <c r="CC26" s="59">
        <f t="shared" si="11"/>
        <v>927.21641680914831</v>
      </c>
      <c r="CD26" s="59">
        <f ca="1">AVERAGE(OFFSET($CC$3,0,0,'Données projet'!$E$12+1,1))-AVERAGE(OFFSET($H$3,0,0,'Données projet'!$E$12+1,1))</f>
        <v>326.09691594978824</v>
      </c>
      <c r="CE26" s="59">
        <f t="shared" si="40"/>
        <v>605.43570457920714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2.5115384615384619</v>
      </c>
      <c r="CT26" s="12">
        <f>IF('Données projet'!$A$140&gt;35,CT25+CS26-DB25,IF(A26&lt;'Données projet'!$A$140,$CQ$205^A26,IF(A26='Données projet'!$A$140,'Données projet'!$B$140,CT25+CS26-DB25)))</f>
        <v>27.484014404519773</v>
      </c>
      <c r="CU26" s="17">
        <f>CT26*VLOOKUP('Données projet'!$B$13,Paramètres!$A$1:$I$89,3,0)*VLOOKUP('Données projet'!$B$13,Paramètres!$A$1:$I$89,5,0)</f>
        <v>24.867536233209488</v>
      </c>
      <c r="CV26" s="13">
        <f t="shared" si="41"/>
        <v>7.8837559374170789</v>
      </c>
      <c r="CW26" s="20">
        <f t="shared" si="13"/>
        <v>57.041833863841269</v>
      </c>
      <c r="CX26" s="59">
        <f t="shared" si="14"/>
        <v>350.37516719717456</v>
      </c>
      <c r="CY26" s="59">
        <f ca="1">AVERAGE(OFFSET($CX$3,0,0,'Données projet'!$E$13+1,1))-AVERAGE(OFFSET($H$3,0,0,'Données projet'!$E$13+1,1))</f>
        <v>465.85201723917186</v>
      </c>
      <c r="CZ26" s="59">
        <f t="shared" si="42"/>
        <v>110.67325285686417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5.8</v>
      </c>
      <c r="AI27" s="13">
        <f>IF('Données projet'!$A$62&gt;35,AI26+AH27-AQ26,IF(A27&lt;'Données projet'!$A$62,$AF$205^A27,IF(A27='Données projet'!$A$62,'Données projet'!$B$62,AI26+AH27-AQ26)))</f>
        <v>77.199999999999989</v>
      </c>
      <c r="AJ27" s="13">
        <f>AI27*VLOOKUP('Données projet'!$B$10,Paramètres!$A$1:$I$89,3,0)*VLOOKUP('Données projet'!$B$10,Paramètres!$A$1:$I$89,5,0)</f>
        <v>62.624639999999999</v>
      </c>
      <c r="AK27" s="13">
        <f t="shared" si="35"/>
        <v>17.830197796836153</v>
      </c>
      <c r="AL27" s="20">
        <f t="shared" si="4"/>
        <v>140.12550916282296</v>
      </c>
      <c r="AM27" s="59">
        <f t="shared" si="5"/>
        <v>433.45884249615631</v>
      </c>
      <c r="AN27" s="59">
        <f ca="1">AVERAGE(OFFSET($AM$3,0,0,'Données projet'!$E$10+1,1))-AVERAGE(OFFSET($H$3,0,0,'Données projet'!$E$10+1,1))</f>
        <v>181.20458942529478</v>
      </c>
      <c r="AO27" s="59">
        <f t="shared" si="36"/>
        <v>144.05254691566421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2.5115384615384619</v>
      </c>
      <c r="BD27" s="12">
        <f>IF('Données projet'!$A$88&gt;35,BD26+BC27-BL26,IF(A27&lt;'Données projet'!$A$88,$BA$205^A27,IF(A27='Données projet'!$A$88,'Données projet'!$B$88,BD26+BC27-BL26)))</f>
        <v>31.743065877849862</v>
      </c>
      <c r="BE27" s="13">
        <f>BD27*VLOOKUP('Données projet'!$B$11,Paramètres!$A$1:$I$89,3,0)*VLOOKUP('Données projet'!$B$11,Paramètres!$A$1:$I$89,5,0)</f>
        <v>34.663427938612045</v>
      </c>
      <c r="BF27" s="13">
        <f t="shared" si="37"/>
        <v>10.572617733878351</v>
      </c>
      <c r="BG27" s="20">
        <f t="shared" si="7"/>
        <v>78.786112879587449</v>
      </c>
      <c r="BH27" s="59">
        <f t="shared" si="8"/>
        <v>372.11944621292076</v>
      </c>
      <c r="BI27" s="59">
        <f ca="1">AVERAGE(OFFSET($BH$3,0,0,'Données projet'!$E$11+1,1))-AVERAGE(OFFSET($H$3,0,0,'Données projet'!$E$11+1,1))</f>
        <v>584.62172669166989</v>
      </c>
      <c r="BJ27" s="59">
        <f t="shared" si="38"/>
        <v>141.28992520553197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500</v>
      </c>
      <c r="BW27" s="12">
        <f>VLOOKUP(A27,'Données projet'!$A$113:$I$133,9,0)</f>
        <v>4</v>
      </c>
      <c r="BX27" s="12">
        <f t="array" ref="BX27">INDEX(BW:BW,MIN(IF(ISNUMBER(BW27:BW223),ROW(BW27:BW223),"")))</f>
        <v>4</v>
      </c>
      <c r="BY27" s="12">
        <f>IF('Données projet'!$A$114&gt;35,BY26+BX27-CG26,IF(A27&lt;'Données projet'!$A$114,$BV$205^A27,IF(A27='Données projet'!$A$114,'Données projet'!$B$114,BY26+BX27-CG26)))</f>
        <v>500</v>
      </c>
      <c r="BZ27" s="13">
        <f>BY27*VLOOKUP('Données projet'!$B$12,Paramètres!$A$1:$I$89,3,0)*VLOOKUP('Données projet'!$B$12,Paramètres!$A$1:$I$89,5,0)</f>
        <v>296.40000000000003</v>
      </c>
      <c r="CA27" s="13">
        <f t="shared" si="39"/>
        <v>70.421235748094688</v>
      </c>
      <c r="CB27" s="20">
        <f t="shared" si="10"/>
        <v>638.88031892793174</v>
      </c>
      <c r="CC27" s="59">
        <f t="shared" si="11"/>
        <v>932.213652261265</v>
      </c>
      <c r="CD27" s="59">
        <f ca="1">AVERAGE(OFFSET($CC$3,0,0,'Données projet'!$E$12+1,1))-AVERAGE(OFFSET($H$3,0,0,'Données projet'!$E$12+1,1))</f>
        <v>326.09691594978824</v>
      </c>
      <c r="CE27" s="59">
        <f t="shared" si="40"/>
        <v>605.43570457920714</v>
      </c>
      <c r="CF27" s="15" t="str">
        <f>IF(ISNA(VLOOKUP(A27,'Données projet'!$A$113:$I$133,3,0)),0,VLOOKUP(A27,'Données projet'!$A$113:$I$133,3,0))</f>
        <v>CR</v>
      </c>
      <c r="CG27" s="15">
        <f>IF(ISNA(VLOOKUP(A27,'Données projet'!$A$113:$I$133,4,0)),0,VLOOKUP(A27,'Données projet'!$A$113:$I$133,4,0))</f>
        <v>500</v>
      </c>
      <c r="CH27" s="16">
        <f>IF(ISNA(VLOOKUP(A27,'Données projet'!$A$113:$I$133,5,0)),0%,VLOOKUP(A27,'Données projet'!$A$113:$I$133,5,0)*VLOOKUP('Données projet'!$B$12,Paramètres!$A$1:$I$89,7,0))</f>
        <v>0.46199999999999997</v>
      </c>
      <c r="CI27" s="16">
        <f>IF(ISNA(VLOOKUP(A27,'Données projet'!$A$113:$I$133,6,0)),0%,VLOOKUP(A27,'Données projet'!$A$113:$I$133,6,0)*VLOOKUP('Données projet'!$B$12,Paramètres!$A$1:$I$89,7,0))</f>
        <v>0.126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151.37957626802765</v>
      </c>
      <c r="CL27" s="21">
        <f>EXP(-LN(2)/25)*CL26+(1-EXP(-LN(2)/25))/(LN(2)/25)*Calculateur!CG27*Calculateur!CI27*VLOOKUP('Données projet'!$B$12,Paramètres!$A$1:$I$89,3,0)*0.475*44/12</f>
        <v>41.122782871669052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192.50235913969669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2.5115384615384619</v>
      </c>
      <c r="CT27" s="12">
        <f>IF('Données projet'!$A$140&gt;35,CT26+CS27-DB26,IF(A27&lt;'Données projet'!$A$140,$CQ$205^A27,IF(A27='Données projet'!$A$140,'Données projet'!$B$140,CT26+CS27-DB26)))</f>
        <v>31.743065877849862</v>
      </c>
      <c r="CU27" s="17">
        <f>CT27*VLOOKUP('Données projet'!$B$13,Paramètres!$A$1:$I$89,3,0)*VLOOKUP('Données projet'!$B$13,Paramètres!$A$1:$I$89,5,0)</f>
        <v>28.721126006278556</v>
      </c>
      <c r="CV27" s="13">
        <f t="shared" si="41"/>
        <v>8.9540368420930783</v>
      </c>
      <c r="CW27" s="20">
        <f t="shared" si="13"/>
        <v>65.61757529424726</v>
      </c>
      <c r="CX27" s="59">
        <f t="shared" si="14"/>
        <v>358.95090862758059</v>
      </c>
      <c r="CY27" s="59">
        <f ca="1">AVERAGE(OFFSET($CX$3,0,0,'Données projet'!$E$13+1,1))-AVERAGE(OFFSET($H$3,0,0,'Données projet'!$E$13+1,1))</f>
        <v>465.85201723917186</v>
      </c>
      <c r="CZ27" s="59">
        <f t="shared" si="42"/>
        <v>110.67325285686417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83</v>
      </c>
      <c r="AG28" s="12">
        <f>VLOOKUP(A28,'Données projet'!$A$61:$I$81,9,0)</f>
        <v>5.8</v>
      </c>
      <c r="AH28" s="12">
        <f t="array" ref="AH28">INDEX(AG:AG,MIN(IF(ISNUMBER(AG28:AG224),ROW(AG28:AG224),"")))</f>
        <v>5.8</v>
      </c>
      <c r="AI28" s="13">
        <f>IF('Données projet'!$A$62&gt;35,AI27+AH28-AQ27,IF(A28&lt;'Données projet'!$A$62,$AF$205^A28,IF(A28='Données projet'!$A$62,'Données projet'!$B$62,AI27+AH28-AQ27)))</f>
        <v>82.999999999999986</v>
      </c>
      <c r="AJ28" s="13">
        <f>AI28*VLOOKUP('Données projet'!$B$10,Paramètres!$A$1:$I$89,3,0)*VLOOKUP('Données projet'!$B$10,Paramètres!$A$1:$I$89,5,0)</f>
        <v>67.329599999999999</v>
      </c>
      <c r="AK28" s="13">
        <f t="shared" si="35"/>
        <v>19.008809433660961</v>
      </c>
      <c r="AL28" s="20">
        <f t="shared" si="4"/>
        <v>150.37272976362615</v>
      </c>
      <c r="AM28" s="59">
        <f t="shared" si="5"/>
        <v>443.7060630969595</v>
      </c>
      <c r="AN28" s="59">
        <f ca="1">AVERAGE(OFFSET($AM$3,0,0,'Données projet'!$E$10+1,1))-AVERAGE(OFFSET($H$3,0,0,'Données projet'!$E$10+1,1))</f>
        <v>181.20458942529478</v>
      </c>
      <c r="AO28" s="59">
        <f t="shared" si="36"/>
        <v>144.05254691566421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2.5115384615384619</v>
      </c>
      <c r="BD28" s="12">
        <f>IF('Données projet'!$A$88&gt;35,BD27+BC28-BL27,IF(A28&lt;'Données projet'!$A$88,$BA$205^A28,IF(A28='Données projet'!$A$88,'Données projet'!$B$88,BD27+BC28-BL27)))</f>
        <v>36.662119896131756</v>
      </c>
      <c r="BE28" s="13">
        <f>BD28*VLOOKUP('Données projet'!$B$11,Paramètres!$A$1:$I$89,3,0)*VLOOKUP('Données projet'!$B$11,Paramètres!$A$1:$I$89,5,0)</f>
        <v>40.035034926575875</v>
      </c>
      <c r="BF28" s="13">
        <f t="shared" si="37"/>
        <v>12.007932444637412</v>
      </c>
      <c r="BG28" s="20">
        <f t="shared" si="7"/>
        <v>90.641501504863129</v>
      </c>
      <c r="BH28" s="59">
        <f t="shared" si="8"/>
        <v>383.97483483819644</v>
      </c>
      <c r="BI28" s="59">
        <f ca="1">AVERAGE(OFFSET($BH$3,0,0,'Données projet'!$E$11+1,1))-AVERAGE(OFFSET($H$3,0,0,'Données projet'!$E$11+1,1))</f>
        <v>584.62172669166989</v>
      </c>
      <c r="BJ28" s="59">
        <f t="shared" si="38"/>
        <v>141.28992520553197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326.09691594978824</v>
      </c>
      <c r="CE28" s="59">
        <f t="shared" si="40"/>
        <v>605.43570457920714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148.41111510983609</v>
      </c>
      <c r="CL28" s="21">
        <f>EXP(-LN(2)/25)*CL27+(1-EXP(-LN(2)/25))/(LN(2)/25)*Calculateur!CG28*Calculateur!CI28*VLOOKUP('Données projet'!$B$12,Paramètres!$A$1:$I$89,3,0)*0.475*44/12</f>
        <v>39.998278211490096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188.40939332132618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2.5115384615384619</v>
      </c>
      <c r="CT28" s="12">
        <f>IF('Données projet'!$A$140&gt;35,CT27+CS28-DB27,IF(A28&lt;'Données projet'!$A$140,$CQ$205^A28,IF(A28='Données projet'!$A$140,'Données projet'!$B$140,CT27+CS28-DB27)))</f>
        <v>36.662119896131756</v>
      </c>
      <c r="CU28" s="17">
        <f>CT28*VLOOKUP('Données projet'!$B$13,Paramètres!$A$1:$I$89,3,0)*VLOOKUP('Données projet'!$B$13,Paramètres!$A$1:$I$89,5,0)</f>
        <v>33.171886082020016</v>
      </c>
      <c r="CV28" s="13">
        <f t="shared" si="41"/>
        <v>10.16961666571169</v>
      </c>
      <c r="CW28" s="20">
        <f t="shared" si="13"/>
        <v>75.48645061896606</v>
      </c>
      <c r="CX28" s="59">
        <f t="shared" si="14"/>
        <v>368.81978395229936</v>
      </c>
      <c r="CY28" s="59">
        <f ca="1">AVERAGE(OFFSET($CX$3,0,0,'Données projet'!$E$13+1,1))-AVERAGE(OFFSET($H$3,0,0,'Données projet'!$E$13+1,1))</f>
        <v>465.85201723917186</v>
      </c>
      <c r="CZ28" s="59">
        <f t="shared" si="42"/>
        <v>110.67325285686417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</v>
      </c>
      <c r="AI29" s="13">
        <f>IF('Données projet'!$A$62&gt;35,AI28+AH29-AQ28,IF(A29&lt;'Données projet'!$A$62,$AF$205^A29,IF(A29='Données projet'!$A$62,'Données projet'!$B$62,AI28+AH29-AQ28)))</f>
        <v>78.999999999999986</v>
      </c>
      <c r="AJ29" s="13">
        <f>AI29*VLOOKUP('Données projet'!$B$10,Paramètres!$A$1:$I$89,3,0)*VLOOKUP('Données projet'!$B$10,Paramètres!$A$1:$I$89,5,0)</f>
        <v>64.084799999999987</v>
      </c>
      <c r="AK29" s="13">
        <f t="shared" si="35"/>
        <v>18.197042620605469</v>
      </c>
      <c r="AL29" s="20">
        <f t="shared" si="4"/>
        <v>143.30754256422117</v>
      </c>
      <c r="AM29" s="59">
        <f t="shared" si="5"/>
        <v>436.64087589755445</v>
      </c>
      <c r="AN29" s="59">
        <f ca="1">AVERAGE(OFFSET($AM$3,0,0,'Données projet'!$E$10+1,1))-AVERAGE(OFFSET($H$3,0,0,'Données projet'!$E$10+1,1))</f>
        <v>181.20458942529478</v>
      </c>
      <c r="AO29" s="59">
        <f t="shared" si="36"/>
        <v>144.05254691566421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2.5115384615384619</v>
      </c>
      <c r="BD29" s="12">
        <f>IF('Données projet'!$A$88&gt;35,BD28+BC29-BL28,IF(A29&lt;'Données projet'!$A$88,$BA$205^A29,IF(A29='Données projet'!$A$88,'Données projet'!$B$88,BD28+BC29-BL28)))</f>
        <v>42.3434535419672</v>
      </c>
      <c r="BE29" s="13">
        <f>BD29*VLOOKUP('Données projet'!$B$11,Paramètres!$A$1:$I$89,3,0)*VLOOKUP('Données projet'!$B$11,Paramètres!$A$1:$I$89,5,0)</f>
        <v>46.239051267828181</v>
      </c>
      <c r="BF29" s="13">
        <f t="shared" si="37"/>
        <v>13.638102239612756</v>
      </c>
      <c r="BG29" s="20">
        <f t="shared" si="7"/>
        <v>104.28604235879295</v>
      </c>
      <c r="BH29" s="59">
        <f t="shared" si="8"/>
        <v>397.61937569212625</v>
      </c>
      <c r="BI29" s="59">
        <f ca="1">AVERAGE(OFFSET($BH$3,0,0,'Données projet'!$E$11+1,1))-AVERAGE(OFFSET($H$3,0,0,'Données projet'!$E$11+1,1))</f>
        <v>584.62172669166989</v>
      </c>
      <c r="BJ29" s="59">
        <f t="shared" si="38"/>
        <v>141.28992520553197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326.09691594978824</v>
      </c>
      <c r="CE29" s="59">
        <f t="shared" si="40"/>
        <v>605.43570457920714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145.50086366437412</v>
      </c>
      <c r="CL29" s="21">
        <f>EXP(-LN(2)/25)*CL28+(1-EXP(-LN(2)/25))/(LN(2)/25)*Calculateur!CG29*Calculateur!CI29*VLOOKUP('Données projet'!$B$12,Paramètres!$A$1:$I$89,3,0)*0.475*44/12</f>
        <v>38.904523190378868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184.40538685475298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2.5115384615384619</v>
      </c>
      <c r="CT29" s="12">
        <f>IF('Données projet'!$A$140&gt;35,CT28+CS29-DB28,IF(A29&lt;'Données projet'!$A$140,$CQ$205^A29,IF(A29='Données projet'!$A$140,'Données projet'!$B$140,CT28+CS29-DB28)))</f>
        <v>42.3434535419672</v>
      </c>
      <c r="CU29" s="17">
        <f>CT29*VLOOKUP('Données projet'!$B$13,Paramètres!$A$1:$I$89,3,0)*VLOOKUP('Données projet'!$B$13,Paramètres!$A$1:$I$89,5,0)</f>
        <v>38.31235676477192</v>
      </c>
      <c r="CV29" s="13">
        <f t="shared" si="41"/>
        <v>11.55022086142605</v>
      </c>
      <c r="CW29" s="20">
        <f t="shared" si="13"/>
        <v>86.843989365628133</v>
      </c>
      <c r="CX29" s="59">
        <f t="shared" si="14"/>
        <v>380.17732269896146</v>
      </c>
      <c r="CY29" s="59">
        <f ca="1">AVERAGE(OFFSET($CX$3,0,0,'Données projet'!$E$13+1,1))-AVERAGE(OFFSET($H$3,0,0,'Données projet'!$E$13+1,1))</f>
        <v>465.85201723917186</v>
      </c>
      <c r="CZ29" s="59">
        <f t="shared" si="42"/>
        <v>110.67325285686417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</v>
      </c>
      <c r="AI30" s="13">
        <f>IF('Données projet'!$A$62&gt;35,AI29+AH30-AQ29,IF(A30&lt;'Données projet'!$A$62,$AF$205^A30,IF(A30='Données projet'!$A$62,'Données projet'!$B$62,AI29+AH30-AQ29)))</f>
        <v>84.999999999999986</v>
      </c>
      <c r="AJ30" s="13">
        <f>AI30*VLOOKUP('Données projet'!$B$10,Paramètres!$A$1:$I$89,3,0)*VLOOKUP('Données projet'!$B$10,Paramètres!$A$1:$I$89,5,0)</f>
        <v>68.951999999999998</v>
      </c>
      <c r="AK30" s="13">
        <f t="shared" si="35"/>
        <v>19.412974191553594</v>
      </c>
      <c r="AL30" s="20">
        <f t="shared" si="4"/>
        <v>153.90233005028915</v>
      </c>
      <c r="AM30" s="59">
        <f t="shared" si="5"/>
        <v>447.23566338362247</v>
      </c>
      <c r="AN30" s="59">
        <f ca="1">AVERAGE(OFFSET($AM$3,0,0,'Données projet'!$E$10+1,1))-AVERAGE(OFFSET($H$3,0,0,'Données projet'!$E$10+1,1))</f>
        <v>181.20458942529478</v>
      </c>
      <c r="AO30" s="59">
        <f t="shared" si="36"/>
        <v>144.05254691566421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2.5115384615384619</v>
      </c>
      <c r="BD30" s="12">
        <f>IF('Données projet'!$A$88&gt;35,BD29+BC30-BL29,IF(A30&lt;'Données projet'!$A$88,$BA$205^A30,IF(A30='Données projet'!$A$88,'Données projet'!$B$88,BD29+BC30-BL29)))</f>
        <v>48.90519323324542</v>
      </c>
      <c r="BE30" s="13">
        <f>BD30*VLOOKUP('Données projet'!$B$11,Paramètres!$A$1:$I$89,3,0)*VLOOKUP('Données projet'!$B$11,Paramètres!$A$1:$I$89,5,0)</f>
        <v>53.404471010704</v>
      </c>
      <c r="BF30" s="13">
        <f t="shared" si="37"/>
        <v>15.489580205058092</v>
      </c>
      <c r="BG30" s="20">
        <f t="shared" si="7"/>
        <v>119.99047253411898</v>
      </c>
      <c r="BH30" s="59">
        <f t="shared" si="8"/>
        <v>413.32380586745228</v>
      </c>
      <c r="BI30" s="59">
        <f ca="1">AVERAGE(OFFSET($BH$3,0,0,'Données projet'!$E$11+1,1))-AVERAGE(OFFSET($H$3,0,0,'Données projet'!$E$11+1,1))</f>
        <v>584.62172669166989</v>
      </c>
      <c r="BJ30" s="59">
        <f t="shared" si="38"/>
        <v>141.28992520553197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326.09691594978824</v>
      </c>
      <c r="CE30" s="59">
        <f t="shared" si="40"/>
        <v>605.43570457920714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142.64768047467956</v>
      </c>
      <c r="CL30" s="21">
        <f>EXP(-LN(2)/25)*CL29+(1-EXP(-LN(2)/25))/(LN(2)/25)*Calculateur!CG30*Calculateur!CI30*VLOOKUP('Données projet'!$B$12,Paramètres!$A$1:$I$89,3,0)*0.475*44/12</f>
        <v>37.840676957837999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180.48835743251755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2.5115384615384619</v>
      </c>
      <c r="CT30" s="12">
        <f>IF('Données projet'!$A$140&gt;35,CT29+CS30-DB29,IF(A30&lt;'Données projet'!$A$140,$CQ$205^A30,IF(A30='Données projet'!$A$140,'Données projet'!$B$140,CT29+CS30-DB29)))</f>
        <v>48.90519323324542</v>
      </c>
      <c r="CU30" s="17">
        <f>CT30*VLOOKUP('Données projet'!$B$13,Paramètres!$A$1:$I$89,3,0)*VLOOKUP('Données projet'!$B$13,Paramètres!$A$1:$I$89,5,0)</f>
        <v>44.249418837440452</v>
      </c>
      <c r="CV30" s="13">
        <f t="shared" si="41"/>
        <v>13.118252765369638</v>
      </c>
      <c r="CW30" s="20">
        <f t="shared" si="13"/>
        <v>99.915361374894232</v>
      </c>
      <c r="CX30" s="59">
        <f t="shared" si="14"/>
        <v>393.24869470822756</v>
      </c>
      <c r="CY30" s="59">
        <f ca="1">AVERAGE(OFFSET($CX$3,0,0,'Données projet'!$E$13+1,1))-AVERAGE(OFFSET($H$3,0,0,'Données projet'!$E$13+1,1))</f>
        <v>465.85201723917186</v>
      </c>
      <c r="CZ30" s="59">
        <f t="shared" si="42"/>
        <v>110.67325285686417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</v>
      </c>
      <c r="AI31" s="13">
        <f>IF('Données projet'!$A$62&gt;35,AI30+AH31-AQ30,IF(A31&lt;'Données projet'!$A$62,$AF$205^A31,IF(A31='Données projet'!$A$62,'Données projet'!$B$62,AI30+AH31-AQ30)))</f>
        <v>90.999999999999986</v>
      </c>
      <c r="AJ31" s="13">
        <f>AI31*VLOOKUP('Données projet'!$B$10,Paramètres!$A$1:$I$89,3,0)*VLOOKUP('Données projet'!$B$10,Paramètres!$A$1:$I$89,5,0)</f>
        <v>73.819199999999995</v>
      </c>
      <c r="AK31" s="13">
        <f t="shared" si="35"/>
        <v>20.618947302373449</v>
      </c>
      <c r="AL31" s="20">
        <f t="shared" si="4"/>
        <v>164.47977321830038</v>
      </c>
      <c r="AM31" s="59">
        <f t="shared" si="5"/>
        <v>457.81310655163372</v>
      </c>
      <c r="AN31" s="59">
        <f ca="1">AVERAGE(OFFSET($AM$3,0,0,'Données projet'!$E$10+1,1))-AVERAGE(OFFSET($H$3,0,0,'Données projet'!$E$10+1,1))</f>
        <v>181.20458942529478</v>
      </c>
      <c r="AO31" s="59">
        <f t="shared" si="36"/>
        <v>144.05254691566421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2.5115384615384619</v>
      </c>
      <c r="BD31" s="12">
        <f>IF('Données projet'!$A$88&gt;35,BD30+BC31-BL30,IF(A31&lt;'Données projet'!$A$88,$BA$205^A31,IF(A31='Données projet'!$A$88,'Données projet'!$B$88,BD30+BC31-BL30)))</f>
        <v>56.483770810300285</v>
      </c>
      <c r="BE31" s="13">
        <f>BD31*VLOOKUP('Données projet'!$B$11,Paramètres!$A$1:$I$89,3,0)*VLOOKUP('Données projet'!$B$11,Paramètres!$A$1:$I$89,5,0)</f>
        <v>61.680277724847912</v>
      </c>
      <c r="BF31" s="13">
        <f t="shared" si="37"/>
        <v>17.592410638486303</v>
      </c>
      <c r="BG31" s="20">
        <f t="shared" si="7"/>
        <v>138.06659889947375</v>
      </c>
      <c r="BH31" s="59">
        <f t="shared" si="8"/>
        <v>431.39993223280703</v>
      </c>
      <c r="BI31" s="59">
        <f ca="1">AVERAGE(OFFSET($BH$3,0,0,'Données projet'!$E$11+1,1))-AVERAGE(OFFSET($H$3,0,0,'Données projet'!$E$11+1,1))</f>
        <v>584.62172669166989</v>
      </c>
      <c r="BJ31" s="59">
        <f t="shared" si="38"/>
        <v>141.28992520553197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326.09691594978824</v>
      </c>
      <c r="CE31" s="59">
        <f t="shared" si="40"/>
        <v>605.43570457920714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139.85044646706501</v>
      </c>
      <c r="CL31" s="21">
        <f>EXP(-LN(2)/25)*CL30+(1-EXP(-LN(2)/25))/(LN(2)/25)*Calculateur!CG31*Calculateur!CI31*VLOOKUP('Données projet'!$B$12,Paramètres!$A$1:$I$89,3,0)*0.475*44/12</f>
        <v>36.805921656471206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176.65636812353623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2.5115384615384619</v>
      </c>
      <c r="CT31" s="12">
        <f>IF('Données projet'!$A$140&gt;35,CT30+CS31-DB30,IF(A31&lt;'Données projet'!$A$140,$CQ$205^A31,IF(A31='Données projet'!$A$140,'Données projet'!$B$140,CT30+CS31-DB30)))</f>
        <v>56.483770810300285</v>
      </c>
      <c r="CU31" s="17">
        <f>CT31*VLOOKUP('Données projet'!$B$13,Paramètres!$A$1:$I$89,3,0)*VLOOKUP('Données projet'!$B$13,Paramètres!$A$1:$I$89,5,0)</f>
        <v>51.106515829159697</v>
      </c>
      <c r="CV31" s="13">
        <f t="shared" si="41"/>
        <v>14.899157140003059</v>
      </c>
      <c r="CW31" s="20">
        <f t="shared" si="13"/>
        <v>114.9598804212918</v>
      </c>
      <c r="CX31" s="59">
        <f t="shared" si="14"/>
        <v>408.29321375462513</v>
      </c>
      <c r="CY31" s="59">
        <f ca="1">AVERAGE(OFFSET($CX$3,0,0,'Données projet'!$E$13+1,1))-AVERAGE(OFFSET($H$3,0,0,'Données projet'!$E$13+1,1))</f>
        <v>465.85201723917186</v>
      </c>
      <c r="CZ31" s="59">
        <f t="shared" si="42"/>
        <v>110.67325285686417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</v>
      </c>
      <c r="AI32" s="13">
        <f>IF('Données projet'!$A$62&gt;35,AI31+AH32-AQ31,IF(A32&lt;'Données projet'!$A$62,$AF$205^A32,IF(A32='Données projet'!$A$62,'Données projet'!$B$62,AI31+AH32-AQ31)))</f>
        <v>96.999999999999986</v>
      </c>
      <c r="AJ32" s="13">
        <f>AI32*VLOOKUP('Données projet'!$B$10,Paramètres!$A$1:$I$89,3,0)*VLOOKUP('Données projet'!$B$10,Paramètres!$A$1:$I$89,5,0)</f>
        <v>78.686400000000006</v>
      </c>
      <c r="AK32" s="13">
        <f t="shared" si="35"/>
        <v>21.815693271997169</v>
      </c>
      <c r="AL32" s="20">
        <f t="shared" si="4"/>
        <v>175.04114578206176</v>
      </c>
      <c r="AM32" s="59">
        <f t="shared" si="5"/>
        <v>468.37447911539505</v>
      </c>
      <c r="AN32" s="59">
        <f ca="1">AVERAGE(OFFSET($AM$3,0,0,'Données projet'!$E$10+1,1))-AVERAGE(OFFSET($H$3,0,0,'Données projet'!$E$10+1,1))</f>
        <v>181.20458942529478</v>
      </c>
      <c r="AO32" s="59">
        <f t="shared" si="36"/>
        <v>144.05254691566421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2.5115384615384619</v>
      </c>
      <c r="BD32" s="12">
        <f>IF('Données projet'!$A$88&gt;35,BD31+BC32-BL31,IF(A32&lt;'Données projet'!$A$88,$BA$205^A32,IF(A32='Données projet'!$A$88,'Données projet'!$B$88,BD31+BC32-BL31)))</f>
        <v>65.236760229825805</v>
      </c>
      <c r="BE32" s="13">
        <f>BD32*VLOOKUP('Données projet'!$B$11,Paramètres!$A$1:$I$89,3,0)*VLOOKUP('Données projet'!$B$11,Paramètres!$A$1:$I$89,5,0)</f>
        <v>71.238542170969779</v>
      </c>
      <c r="BF32" s="13">
        <f t="shared" si="37"/>
        <v>19.980716583401133</v>
      </c>
      <c r="BG32" s="20">
        <f t="shared" si="7"/>
        <v>158.87354233052935</v>
      </c>
      <c r="BH32" s="59">
        <f t="shared" si="8"/>
        <v>452.20687566386266</v>
      </c>
      <c r="BI32" s="59">
        <f ca="1">AVERAGE(OFFSET($BH$3,0,0,'Données projet'!$E$11+1,1))-AVERAGE(OFFSET($H$3,0,0,'Données projet'!$E$11+1,1))</f>
        <v>584.62172669166989</v>
      </c>
      <c r="BJ32" s="59">
        <f t="shared" si="38"/>
        <v>141.28992520553197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326.09691594978824</v>
      </c>
      <c r="CE32" s="59">
        <f t="shared" si="40"/>
        <v>605.43570457920714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137.10806451219551</v>
      </c>
      <c r="CL32" s="21">
        <f>EXP(-LN(2)/25)*CL31+(1-EXP(-LN(2)/25))/(LN(2)/25)*Calculateur!CG32*Calculateur!CI32*VLOOKUP('Données projet'!$B$12,Paramètres!$A$1:$I$89,3,0)*0.475*44/12</f>
        <v>35.7994617932357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172.90752630543122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2.5115384615384619</v>
      </c>
      <c r="CT32" s="12">
        <f>IF('Données projet'!$A$140&gt;35,CT31+CS32-DB31,IF(A32&lt;'Données projet'!$A$140,$CQ$205^A32,IF(A32='Données projet'!$A$140,'Données projet'!$B$140,CT31+CS32-DB31)))</f>
        <v>65.236760229825805</v>
      </c>
      <c r="CU32" s="17">
        <f>CT32*VLOOKUP('Données projet'!$B$13,Paramètres!$A$1:$I$89,3,0)*VLOOKUP('Données projet'!$B$13,Paramètres!$A$1:$I$89,5,0)</f>
        <v>59.026220655946382</v>
      </c>
      <c r="CV32" s="13">
        <f t="shared" si="41"/>
        <v>16.921833071284709</v>
      </c>
      <c r="CW32" s="20">
        <f t="shared" si="13"/>
        <v>132.27619357492748</v>
      </c>
      <c r="CX32" s="59">
        <f t="shared" si="14"/>
        <v>425.60952690826082</v>
      </c>
      <c r="CY32" s="59">
        <f ca="1">AVERAGE(OFFSET($CX$3,0,0,'Données projet'!$E$13+1,1))-AVERAGE(OFFSET($H$3,0,0,'Données projet'!$E$13+1,1))</f>
        <v>465.85201723917186</v>
      </c>
      <c r="CZ32" s="59">
        <f t="shared" si="42"/>
        <v>110.67325285686417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103</v>
      </c>
      <c r="AG33" s="12">
        <f>VLOOKUP(A33,'Données projet'!$A$61:$I$81,9,0)</f>
        <v>6</v>
      </c>
      <c r="AH33" s="12">
        <f t="array" ref="AH33">INDEX(AG:AG,MIN(IF(ISNUMBER(AG33:AG229),ROW(AG33:AG229),"")))</f>
        <v>6</v>
      </c>
      <c r="AI33" s="13">
        <f>IF('Données projet'!$A$62&gt;35,AI32+AH33-AQ32,IF(A33&lt;'Données projet'!$A$62,$AF$205^A33,IF(A33='Données projet'!$A$62,'Données projet'!$B$62,AI32+AH33-AQ32)))</f>
        <v>102.99999999999999</v>
      </c>
      <c r="AJ33" s="13">
        <f>AI33*VLOOKUP('Données projet'!$B$10,Paramètres!$A$1:$I$89,3,0)*VLOOKUP('Données projet'!$B$10,Paramètres!$A$1:$I$89,5,0)</f>
        <v>83.553599999999989</v>
      </c>
      <c r="AK33" s="13">
        <f t="shared" si="35"/>
        <v>23.00384783397265</v>
      </c>
      <c r="AL33" s="20">
        <f t="shared" si="4"/>
        <v>185.58755497750235</v>
      </c>
      <c r="AM33" s="59">
        <f t="shared" si="5"/>
        <v>478.92088831083566</v>
      </c>
      <c r="AN33" s="59">
        <f ca="1">AVERAGE(OFFSET($AM$3,0,0,'Données projet'!$E$10+1,1))-AVERAGE(OFFSET($H$3,0,0,'Données projet'!$E$10+1,1))</f>
        <v>181.20458942529478</v>
      </c>
      <c r="AO33" s="59">
        <f t="shared" si="36"/>
        <v>144.05254691566421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75.346153846153854</v>
      </c>
      <c r="BB33" s="12">
        <f>VLOOKUP(A33,'Données projet'!$A$87:$I$107,9,0)</f>
        <v>2.5115384615384619</v>
      </c>
      <c r="BC33" s="12">
        <f t="array" ref="BC33">INDEX(BB:BB,MIN(IF(ISNUMBER(BB33:BB229),ROW(BB33:BB229),"")))</f>
        <v>2.5115384615384619</v>
      </c>
      <c r="BD33" s="12">
        <f>IF('Données projet'!$A$88&gt;35,BD32+BC33-BL32,IF(A33&lt;'Données projet'!$A$88,$BA$205^A33,IF(A33='Données projet'!$A$88,'Données projet'!$B$88,BD32+BC33-BL32)))</f>
        <v>75.346153846153854</v>
      </c>
      <c r="BE33" s="13">
        <f>BD33*VLOOKUP('Données projet'!$B$11,Paramètres!$A$1:$I$89,3,0)*VLOOKUP('Données projet'!$B$11,Paramètres!$A$1:$I$89,5,0)</f>
        <v>82.278000000000006</v>
      </c>
      <c r="BF33" s="13">
        <f t="shared" si="37"/>
        <v>22.693253550643114</v>
      </c>
      <c r="BG33" s="20">
        <f t="shared" si="7"/>
        <v>182.82493326737008</v>
      </c>
      <c r="BH33" s="59">
        <f t="shared" si="8"/>
        <v>476.15826660070343</v>
      </c>
      <c r="BI33" s="59">
        <f ca="1">AVERAGE(OFFSET($BH$3,0,0,'Données projet'!$E$11+1,1))-AVERAGE(OFFSET($H$3,0,0,'Données projet'!$E$11+1,1))</f>
        <v>584.62172669166989</v>
      </c>
      <c r="BJ33" s="59">
        <f t="shared" si="38"/>
        <v>141.28992520553197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326.09691594978824</v>
      </c>
      <c r="CE33" s="59">
        <f t="shared" si="40"/>
        <v>605.43570457920714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134.41945899477315</v>
      </c>
      <c r="CL33" s="21">
        <f>EXP(-LN(2)/25)*CL32+(1-EXP(-LN(2)/25))/(LN(2)/25)*Calculateur!CG33*Calculateur!CI33*VLOOKUP('Données projet'!$B$12,Paramètres!$A$1:$I$89,3,0)*0.475*44/12</f>
        <v>34.820523627887795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169.23998262266093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75.346153846153854</v>
      </c>
      <c r="CR33" s="12">
        <f>VLOOKUP(A33,'Données projet'!$A$139:$I$159,9,0)</f>
        <v>2.5115384615384619</v>
      </c>
      <c r="CS33" s="12">
        <f t="array" ref="CS33">INDEX(CR:CR,MIN(IF(ISNUMBER(CR33:CR229),ROW(CR33:CR229),"")))</f>
        <v>2.5115384615384619</v>
      </c>
      <c r="CT33" s="12">
        <f>IF('Données projet'!$A$140&gt;35,CT32+CS33-DB32,IF(A33&lt;'Données projet'!$A$140,$CQ$205^A33,IF(A33='Données projet'!$A$140,'Données projet'!$B$140,CT32+CS33-DB32)))</f>
        <v>75.346153846153854</v>
      </c>
      <c r="CU33" s="17">
        <f>CT33*VLOOKUP('Données projet'!$B$13,Paramètres!$A$1:$I$89,3,0)*VLOOKUP('Données projet'!$B$13,Paramètres!$A$1:$I$89,5,0)</f>
        <v>68.173200000000008</v>
      </c>
      <c r="CV33" s="13">
        <f t="shared" si="41"/>
        <v>19.219102919829069</v>
      </c>
      <c r="CW33" s="20">
        <f t="shared" si="13"/>
        <v>152.20826091870231</v>
      </c>
      <c r="CX33" s="59">
        <f t="shared" si="14"/>
        <v>445.54159425203562</v>
      </c>
      <c r="CY33" s="59">
        <f ca="1">AVERAGE(OFFSET($CX$3,0,0,'Données projet'!$E$13+1,1))-AVERAGE(OFFSET($H$3,0,0,'Données projet'!$E$13+1,1))</f>
        <v>465.85201723917186</v>
      </c>
      <c r="CZ33" s="59">
        <f t="shared" si="42"/>
        <v>110.67325285686417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5.8</v>
      </c>
      <c r="AI34" s="13">
        <f>IF('Données projet'!$A$62&gt;35,AI33+AH34-AQ33,IF(A34&lt;'Données projet'!$A$62,$AF$205^A34,IF(A34='Données projet'!$A$62,'Données projet'!$B$62,AI33+AH34-AQ33)))</f>
        <v>97.799999999999983</v>
      </c>
      <c r="AJ34" s="13">
        <f>AI34*VLOOKUP('Données projet'!$B$10,Paramètres!$A$1:$I$89,3,0)*VLOOKUP('Données projet'!$B$10,Paramètres!$A$1:$I$89,5,0)</f>
        <v>79.335359999999994</v>
      </c>
      <c r="AK34" s="13">
        <f t="shared" si="35"/>
        <v>21.974597372641874</v>
      </c>
      <c r="AL34" s="20">
        <f t="shared" si="4"/>
        <v>176.44817575735124</v>
      </c>
      <c r="AM34" s="59">
        <f t="shared" si="5"/>
        <v>469.78150909068455</v>
      </c>
      <c r="AN34" s="59">
        <f ca="1">AVERAGE(OFFSET($AM$3,0,0,'Données projet'!$E$10+1,1))-AVERAGE(OFFSET($H$3,0,0,'Données projet'!$E$10+1,1))</f>
        <v>181.20458942529478</v>
      </c>
      <c r="AO34" s="59">
        <f t="shared" si="36"/>
        <v>144.05254691566421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8.0511538461538468</v>
      </c>
      <c r="BD34" s="12">
        <f>IF('Données projet'!$A$88&gt;35,BD33+BC34-BL33,IF(A34&lt;'Données projet'!$A$88,$BA$205^A34,IF(A34='Données projet'!$A$88,'Données projet'!$B$88,BD33+BC34-BL33)))</f>
        <v>83.397307692307706</v>
      </c>
      <c r="BE34" s="13">
        <f>BD34*VLOOKUP('Données projet'!$B$11,Paramètres!$A$1:$I$89,3,0)*VLOOKUP('Données projet'!$B$11,Paramètres!$A$1:$I$89,5,0)</f>
        <v>91.06986000000002</v>
      </c>
      <c r="BF34" s="13">
        <f t="shared" si="37"/>
        <v>24.82307173611397</v>
      </c>
      <c r="BG34" s="20">
        <f t="shared" si="7"/>
        <v>201.84685610706518</v>
      </c>
      <c r="BH34" s="59">
        <f t="shared" si="8"/>
        <v>495.18018944039852</v>
      </c>
      <c r="BI34" s="59">
        <f ca="1">AVERAGE(OFFSET($BH$3,0,0,'Données projet'!$E$11+1,1))-AVERAGE(OFFSET($H$3,0,0,'Données projet'!$E$11+1,1))</f>
        <v>584.62172669166989</v>
      </c>
      <c r="BJ34" s="59">
        <f t="shared" si="38"/>
        <v>141.28992520553197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326.09691594978824</v>
      </c>
      <c r="CE34" s="59">
        <f t="shared" si="40"/>
        <v>605.43570457920714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131.78357539166001</v>
      </c>
      <c r="CL34" s="21">
        <f>EXP(-LN(2)/25)*CL33+(1-EXP(-LN(2)/25))/(LN(2)/25)*Calculateur!CG34*Calculateur!CI34*VLOOKUP('Données projet'!$B$12,Paramètres!$A$1:$I$89,3,0)*0.475*44/12</f>
        <v>33.868354578151447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165.65192996981145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8.0511538461538468</v>
      </c>
      <c r="CT34" s="12">
        <f>IF('Données projet'!$A$140&gt;35,CT33+CS34-DB33,IF(A34&lt;'Données projet'!$A$140,$CQ$205^A34,IF(A34='Données projet'!$A$140,'Données projet'!$B$140,CT33+CS34-DB33)))</f>
        <v>83.397307692307706</v>
      </c>
      <c r="CU34" s="17">
        <f>CT34*VLOOKUP('Données projet'!$B$13,Paramètres!$A$1:$I$89,3,0)*VLOOKUP('Données projet'!$B$13,Paramètres!$A$1:$I$89,5,0)</f>
        <v>75.457884000000007</v>
      </c>
      <c r="CV34" s="13">
        <f t="shared" si="41"/>
        <v>21.022863443446354</v>
      </c>
      <c r="CW34" s="20">
        <f t="shared" si="13"/>
        <v>168.03730179733574</v>
      </c>
      <c r="CX34" s="59">
        <f t="shared" si="14"/>
        <v>461.37063513066903</v>
      </c>
      <c r="CY34" s="59">
        <f ca="1">AVERAGE(OFFSET($CX$3,0,0,'Données projet'!$E$13+1,1))-AVERAGE(OFFSET($H$3,0,0,'Données projet'!$E$13+1,1))</f>
        <v>465.85201723917186</v>
      </c>
      <c r="CZ34" s="59">
        <f t="shared" si="42"/>
        <v>110.67325285686417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5.8</v>
      </c>
      <c r="AI35" s="13">
        <f>IF('Données projet'!$A$62&gt;35,AI34+AH35-AQ34,IF(A35&lt;'Données projet'!$A$62,$AF$205^A35,IF(A35='Données projet'!$A$62,'Données projet'!$B$62,AI34+AH35-AQ34)))</f>
        <v>103.59999999999998</v>
      </c>
      <c r="AJ35" s="13">
        <f>AI35*VLOOKUP('Données projet'!$B$10,Paramètres!$A$1:$I$89,3,0)*VLOOKUP('Données projet'!$B$10,Paramètres!$A$1:$I$89,5,0)</f>
        <v>84.040319999999994</v>
      </c>
      <c r="AK35" s="13">
        <f t="shared" si="35"/>
        <v>23.122212826195224</v>
      </c>
      <c r="AL35" s="20">
        <f t="shared" si="4"/>
        <v>186.64141133895666</v>
      </c>
      <c r="AM35" s="59">
        <f t="shared" si="5"/>
        <v>479.97474467228994</v>
      </c>
      <c r="AN35" s="59">
        <f ca="1">AVERAGE(OFFSET($AM$3,0,0,'Données projet'!$E$10+1,1))-AVERAGE(OFFSET($H$3,0,0,'Données projet'!$E$10+1,1))</f>
        <v>181.20458942529478</v>
      </c>
      <c r="AO35" s="59">
        <f t="shared" si="36"/>
        <v>144.05254691566421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8.0511538461538468</v>
      </c>
      <c r="BD35" s="12">
        <f>IF('Données projet'!$A$88&gt;35,BD34+BC35-BL34,IF(A35&lt;'Données projet'!$A$88,$BA$205^A35,IF(A35='Données projet'!$A$88,'Données projet'!$B$88,BD34+BC35-BL34)))</f>
        <v>91.448461538461558</v>
      </c>
      <c r="BE35" s="13">
        <f>BD35*VLOOKUP('Données projet'!$B$11,Paramètres!$A$1:$I$89,3,0)*VLOOKUP('Données projet'!$B$11,Paramètres!$A$1:$I$89,5,0)</f>
        <v>99.861720000000034</v>
      </c>
      <c r="BF35" s="13">
        <f t="shared" si="37"/>
        <v>26.92905159257748</v>
      </c>
      <c r="BG35" s="20">
        <f t="shared" si="7"/>
        <v>220.82726052373917</v>
      </c>
      <c r="BH35" s="59">
        <f t="shared" si="8"/>
        <v>514.16059385707251</v>
      </c>
      <c r="BI35" s="59">
        <f ca="1">AVERAGE(OFFSET($BH$3,0,0,'Données projet'!$E$11+1,1))-AVERAGE(OFFSET($H$3,0,0,'Données projet'!$E$11+1,1))</f>
        <v>584.62172669166989</v>
      </c>
      <c r="BJ35" s="59">
        <f t="shared" si="38"/>
        <v>141.28992520553197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326.09691594978824</v>
      </c>
      <c r="CE35" s="59">
        <f t="shared" si="40"/>
        <v>605.43570457920714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129.19937985827369</v>
      </c>
      <c r="CL35" s="21">
        <f>EXP(-LN(2)/25)*CL34+(1-EXP(-LN(2)/25))/(LN(2)/25)*Calculateur!CG35*Calculateur!CI35*VLOOKUP('Données projet'!$B$12,Paramètres!$A$1:$I$89,3,0)*0.475*44/12</f>
        <v>32.942222641152533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162.14160249942623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8.0511538461538468</v>
      </c>
      <c r="CT35" s="12">
        <f>IF('Données projet'!$A$140&gt;35,CT34+CS35-DB34,IF(A35&lt;'Données projet'!$A$140,$CQ$205^A35,IF(A35='Données projet'!$A$140,'Données projet'!$B$140,CT34+CS35-DB34)))</f>
        <v>91.448461538461558</v>
      </c>
      <c r="CU35" s="17">
        <f>CT35*VLOOKUP('Données projet'!$B$13,Paramètres!$A$1:$I$89,3,0)*VLOOKUP('Données projet'!$B$13,Paramètres!$A$1:$I$89,5,0)</f>
        <v>82.74256800000002</v>
      </c>
      <c r="CV35" s="13">
        <f t="shared" si="41"/>
        <v>22.80643509032959</v>
      </c>
      <c r="CW35" s="20">
        <f t="shared" si="13"/>
        <v>183.83118038232405</v>
      </c>
      <c r="CX35" s="59">
        <f t="shared" si="14"/>
        <v>477.16451371565734</v>
      </c>
      <c r="CY35" s="59">
        <f ca="1">AVERAGE(OFFSET($CX$3,0,0,'Données projet'!$E$13+1,1))-AVERAGE(OFFSET($H$3,0,0,'Données projet'!$E$13+1,1))</f>
        <v>465.85201723917186</v>
      </c>
      <c r="CZ35" s="59">
        <f t="shared" si="42"/>
        <v>110.67325285686417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5.8</v>
      </c>
      <c r="AI36" s="13">
        <f>IF('Données projet'!$A$62&gt;35,AI35+AH36-AQ35,IF(A36&lt;'Données projet'!$A$62,$AF$205^A36,IF(A36='Données projet'!$A$62,'Données projet'!$B$62,AI35+AH36-AQ35)))</f>
        <v>109.39999999999998</v>
      </c>
      <c r="AJ36" s="13">
        <f>AI36*VLOOKUP('Données projet'!$B$10,Paramètres!$A$1:$I$89,3,0)*VLOOKUP('Données projet'!$B$10,Paramètres!$A$1:$I$89,5,0)</f>
        <v>88.745279999999994</v>
      </c>
      <c r="AK36" s="13">
        <f t="shared" si="35"/>
        <v>24.262369928218718</v>
      </c>
      <c r="AL36" s="20">
        <f t="shared" si="4"/>
        <v>196.82165695831426</v>
      </c>
      <c r="AM36" s="59">
        <f t="shared" si="5"/>
        <v>490.15499029164755</v>
      </c>
      <c r="AN36" s="59">
        <f ca="1">AVERAGE(OFFSET($AM$3,0,0,'Données projet'!$E$10+1,1))-AVERAGE(OFFSET($H$3,0,0,'Données projet'!$E$10+1,1))</f>
        <v>181.20458942529478</v>
      </c>
      <c r="AO36" s="59">
        <f t="shared" si="36"/>
        <v>144.05254691566421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8.0511538461538468</v>
      </c>
      <c r="BD36" s="12">
        <f>IF('Données projet'!$A$88&gt;35,BD35+BC36-BL35,IF(A36&lt;'Données projet'!$A$88,$BA$205^A36,IF(A36='Données projet'!$A$88,'Données projet'!$B$88,BD35+BC36-BL35)))</f>
        <v>99.49961538461541</v>
      </c>
      <c r="BE36" s="13">
        <f>BD36*VLOOKUP('Données projet'!$B$11,Paramètres!$A$1:$I$89,3,0)*VLOOKUP('Données projet'!$B$11,Paramètres!$A$1:$I$89,5,0)</f>
        <v>108.65358000000003</v>
      </c>
      <c r="BF36" s="13">
        <f t="shared" si="37"/>
        <v>29.01353049703404</v>
      </c>
      <c r="BG36" s="20">
        <f t="shared" si="7"/>
        <v>239.77021744900097</v>
      </c>
      <c r="BH36" s="59">
        <f t="shared" si="8"/>
        <v>533.10355078233431</v>
      </c>
      <c r="BI36" s="59">
        <f ca="1">AVERAGE(OFFSET($BH$3,0,0,'Données projet'!$E$11+1,1))-AVERAGE(OFFSET($H$3,0,0,'Données projet'!$E$11+1,1))</f>
        <v>584.62172669166989</v>
      </c>
      <c r="BJ36" s="59">
        <f t="shared" si="38"/>
        <v>141.28992520553197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326.09691594978824</v>
      </c>
      <c r="CE36" s="59">
        <f t="shared" si="40"/>
        <v>605.43570457920714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126.66585882309342</v>
      </c>
      <c r="CL36" s="21">
        <f>EXP(-LN(2)/25)*CL35+(1-EXP(-LN(2)/25))/(LN(2)/25)*Calculateur!CG36*Calculateur!CI36*VLOOKUP('Données projet'!$B$12,Paramètres!$A$1:$I$89,3,0)*0.475*44/12</f>
        <v>32.041415830674019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158.70727465376743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8.0511538461538468</v>
      </c>
      <c r="CT36" s="12">
        <f>IF('Données projet'!$A$140&gt;35,CT35+CS36-DB35,IF(A36&lt;'Données projet'!$A$140,$CQ$205^A36,IF(A36='Données projet'!$A$140,'Données projet'!$B$140,CT35+CS36-DB35)))</f>
        <v>99.49961538461541</v>
      </c>
      <c r="CU36" s="17">
        <f>CT36*VLOOKUP('Données projet'!$B$13,Paramètres!$A$1:$I$89,3,0)*VLOOKUP('Données projet'!$B$13,Paramètres!$A$1:$I$89,5,0)</f>
        <v>90.027252000000018</v>
      </c>
      <c r="CV36" s="13">
        <f t="shared" si="41"/>
        <v>24.571797404268359</v>
      </c>
      <c r="CW36" s="20">
        <f t="shared" si="13"/>
        <v>199.59334437910078</v>
      </c>
      <c r="CX36" s="59">
        <f t="shared" si="14"/>
        <v>492.92667771243407</v>
      </c>
      <c r="CY36" s="59">
        <f ca="1">AVERAGE(OFFSET($CX$3,0,0,'Données projet'!$E$13+1,1))-AVERAGE(OFFSET($H$3,0,0,'Données projet'!$E$13+1,1))</f>
        <v>465.85201723917186</v>
      </c>
      <c r="CZ36" s="59">
        <f t="shared" si="42"/>
        <v>110.67325285686417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5.8</v>
      </c>
      <c r="AI37" s="13">
        <f>IF('Données projet'!$A$62&gt;35,AI36+AH37-AQ36,IF(A37&lt;'Données projet'!$A$62,$AF$205^A37,IF(A37='Données projet'!$A$62,'Données projet'!$B$62,AI36+AH37-AQ36)))</f>
        <v>115.19999999999997</v>
      </c>
      <c r="AJ37" s="13">
        <f>AI37*VLOOKUP('Données projet'!$B$10,Paramètres!$A$1:$I$89,3,0)*VLOOKUP('Données projet'!$B$10,Paramètres!$A$1:$I$89,5,0)</f>
        <v>93.45023999999998</v>
      </c>
      <c r="AK37" s="13">
        <f t="shared" si="35"/>
        <v>25.395509184428445</v>
      </c>
      <c r="AL37" s="20">
        <f t="shared" si="4"/>
        <v>206.98967982954616</v>
      </c>
      <c r="AM37" s="59">
        <f t="shared" si="5"/>
        <v>500.32301316287948</v>
      </c>
      <c r="AN37" s="59">
        <f ca="1">AVERAGE(OFFSET($AM$3,0,0,'Données projet'!$E$10+1,1))-AVERAGE(OFFSET($H$3,0,0,'Données projet'!$E$10+1,1))</f>
        <v>181.20458942529478</v>
      </c>
      <c r="AO37" s="59">
        <f t="shared" si="36"/>
        <v>144.05254691566421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8.0511538461538468</v>
      </c>
      <c r="BD37" s="12">
        <f>IF('Données projet'!$A$88&gt;35,BD36+BC37-BL36,IF(A37&lt;'Données projet'!$A$88,$BA$205^A37,IF(A37='Données projet'!$A$88,'Données projet'!$B$88,BD36+BC37-BL36)))</f>
        <v>107.55076923076926</v>
      </c>
      <c r="BE37" s="13">
        <f>BD37*VLOOKUP('Données projet'!$B$11,Paramètres!$A$1:$I$89,3,0)*VLOOKUP('Données projet'!$B$11,Paramètres!$A$1:$I$89,5,0)</f>
        <v>117.44544000000003</v>
      </c>
      <c r="BF37" s="13">
        <f t="shared" si="37"/>
        <v>31.078446025444318</v>
      </c>
      <c r="BG37" s="20">
        <f t="shared" si="7"/>
        <v>258.67910149431555</v>
      </c>
      <c r="BH37" s="59">
        <f t="shared" si="8"/>
        <v>552.0124348276488</v>
      </c>
      <c r="BI37" s="59">
        <f ca="1">AVERAGE(OFFSET($BH$3,0,0,'Données projet'!$E$11+1,1))-AVERAGE(OFFSET($H$3,0,0,'Données projet'!$E$11+1,1))</f>
        <v>584.62172669166989</v>
      </c>
      <c r="BJ37" s="59">
        <f t="shared" si="38"/>
        <v>141.28992520553197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326.09691594978824</v>
      </c>
      <c r="CE37" s="59">
        <f t="shared" si="40"/>
        <v>605.43570457920714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124.18201859011779</v>
      </c>
      <c r="CL37" s="21">
        <f>EXP(-LN(2)/25)*CL36+(1-EXP(-LN(2)/25))/(LN(2)/25)*Calculateur!CG37*Calculateur!CI37*VLOOKUP('Données projet'!$B$12,Paramètres!$A$1:$I$89,3,0)*0.475*44/12</f>
        <v>31.165241629799411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155.34726021991719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8.0511538461538468</v>
      </c>
      <c r="CT37" s="12">
        <f>IF('Données projet'!$A$140&gt;35,CT36+CS37-DB36,IF(A37&lt;'Données projet'!$A$140,$CQ$205^A37,IF(A37='Données projet'!$A$140,'Données projet'!$B$140,CT36+CS37-DB36)))</f>
        <v>107.55076923076926</v>
      </c>
      <c r="CU37" s="17">
        <f>CT37*VLOOKUP('Données projet'!$B$13,Paramètres!$A$1:$I$89,3,0)*VLOOKUP('Données projet'!$B$13,Paramètres!$A$1:$I$89,5,0)</f>
        <v>97.311936000000031</v>
      </c>
      <c r="CV37" s="13">
        <f t="shared" si="41"/>
        <v>26.320591334266407</v>
      </c>
      <c r="CW37" s="20">
        <f t="shared" si="13"/>
        <v>215.32665177384737</v>
      </c>
      <c r="CX37" s="59">
        <f t="shared" si="14"/>
        <v>508.65998510718066</v>
      </c>
      <c r="CY37" s="59">
        <f ca="1">AVERAGE(OFFSET($CX$3,0,0,'Données projet'!$E$13+1,1))-AVERAGE(OFFSET($H$3,0,0,'Données projet'!$E$13+1,1))</f>
        <v>465.85201723917186</v>
      </c>
      <c r="CZ37" s="59">
        <f t="shared" si="42"/>
        <v>110.67325285686417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121</v>
      </c>
      <c r="AG38" s="12">
        <f>VLOOKUP(A38,'Données projet'!$A$61:$I$81,9,0)</f>
        <v>5.8</v>
      </c>
      <c r="AH38" s="12">
        <f t="array" ref="AH38">INDEX(AG:AG,MIN(IF(ISNUMBER(AG38:AG234),ROW(AG38:AG234),"")))</f>
        <v>5.8</v>
      </c>
      <c r="AI38" s="13">
        <f>IF('Données projet'!$A$62&gt;35,AI37+AH38-AQ37,IF(A38&lt;'Données projet'!$A$62,$AF$205^A38,IF(A38='Données projet'!$A$62,'Données projet'!$B$62,AI37+AH38-AQ37)))</f>
        <v>120.99999999999997</v>
      </c>
      <c r="AJ38" s="13">
        <f>AI38*VLOOKUP('Données projet'!$B$10,Paramètres!$A$1:$I$89,3,0)*VLOOKUP('Données projet'!$B$10,Paramètres!$A$1:$I$89,5,0)</f>
        <v>98.155199999999979</v>
      </c>
      <c r="AK38" s="13">
        <f t="shared" si="35"/>
        <v>26.522024238465775</v>
      </c>
      <c r="AL38" s="20">
        <f t="shared" si="4"/>
        <v>217.14616554866117</v>
      </c>
      <c r="AM38" s="59">
        <f t="shared" si="5"/>
        <v>510.47949888199446</v>
      </c>
      <c r="AN38" s="59">
        <f ca="1">AVERAGE(OFFSET($AM$3,0,0,'Données projet'!$E$10+1,1))-AVERAGE(OFFSET($H$3,0,0,'Données projet'!$E$10+1,1))</f>
        <v>181.20458942529478</v>
      </c>
      <c r="AO38" s="59">
        <f t="shared" si="36"/>
        <v>144.05254691566421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12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4.627269070885986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4.627269070885986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8.0511538461538468</v>
      </c>
      <c r="BD38" s="12">
        <f>IF('Données projet'!$A$88&gt;35,BD37+BC38-BL37,IF(A38&lt;'Données projet'!$A$88,$BA$205^A38,IF(A38='Données projet'!$A$88,'Données projet'!$B$88,BD37+BC38-BL37)))</f>
        <v>115.60192307692311</v>
      </c>
      <c r="BE38" s="13">
        <f>BD38*VLOOKUP('Données projet'!$B$11,Paramètres!$A$1:$I$89,3,0)*VLOOKUP('Données projet'!$B$11,Paramètres!$A$1:$I$89,5,0)</f>
        <v>126.23730000000003</v>
      </c>
      <c r="BF38" s="13">
        <f t="shared" si="37"/>
        <v>33.125429201217628</v>
      </c>
      <c r="BG38" s="20">
        <f t="shared" si="7"/>
        <v>277.55675335878738</v>
      </c>
      <c r="BH38" s="59">
        <f t="shared" si="8"/>
        <v>570.89008669212069</v>
      </c>
      <c r="BI38" s="59">
        <f ca="1">AVERAGE(OFFSET($BH$3,0,0,'Données projet'!$E$11+1,1))-AVERAGE(OFFSET($H$3,0,0,'Données projet'!$E$11+1,1))</f>
        <v>584.62172669166989</v>
      </c>
      <c r="BJ38" s="59">
        <f t="shared" si="38"/>
        <v>141.28992520553197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326.09691594978824</v>
      </c>
      <c r="CE38" s="59">
        <f t="shared" si="40"/>
        <v>605.43570457920714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121.74688494911787</v>
      </c>
      <c r="CL38" s="21">
        <f>EXP(-LN(2)/25)*CL37+(1-EXP(-LN(2)/25))/(LN(2)/25)*Calculateur!CG38*Calculateur!CI38*VLOOKUP('Données projet'!$B$12,Paramètres!$A$1:$I$89,3,0)*0.475*44/12</f>
        <v>30.313026458523719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152.05991140764158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8.0511538461538468</v>
      </c>
      <c r="CT38" s="12">
        <f>IF('Données projet'!$A$140&gt;35,CT37+CS38-DB37,IF(A38&lt;'Données projet'!$A$140,$CQ$205^A38,IF(A38='Données projet'!$A$140,'Données projet'!$B$140,CT37+CS38-DB37)))</f>
        <v>115.60192307692311</v>
      </c>
      <c r="CU38" s="17">
        <f>CT38*VLOOKUP('Données projet'!$B$13,Paramètres!$A$1:$I$89,3,0)*VLOOKUP('Données projet'!$B$13,Paramètres!$A$1:$I$89,5,0)</f>
        <v>104.59662000000003</v>
      </c>
      <c r="CV38" s="13">
        <f t="shared" si="41"/>
        <v>28.054198207452288</v>
      </c>
      <c r="CW38" s="20">
        <f t="shared" si="13"/>
        <v>231.03350837797942</v>
      </c>
      <c r="CX38" s="59">
        <f t="shared" si="14"/>
        <v>524.36684171131276</v>
      </c>
      <c r="CY38" s="59">
        <f ca="1">AVERAGE(OFFSET($CX$3,0,0,'Données projet'!$E$13+1,1))-AVERAGE(OFFSET($H$3,0,0,'Données projet'!$E$13+1,1))</f>
        <v>465.85201723917186</v>
      </c>
      <c r="CZ38" s="59">
        <f t="shared" si="42"/>
        <v>110.67325285686417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</v>
      </c>
      <c r="AI39" s="13">
        <f>IF('Données projet'!$A$62&gt;35,AI38+AH39-AQ38,IF(A39&lt;'Données projet'!$A$62,$AF$205^A39,IF(A39='Données projet'!$A$62,'Données projet'!$B$62,AI38+AH39-AQ38)))</f>
        <v>114.99999999999997</v>
      </c>
      <c r="AJ39" s="13">
        <f>AI39*VLOOKUP('Données projet'!$B$10,Paramètres!$A$1:$I$89,3,0)*VLOOKUP('Données projet'!$B$10,Paramètres!$A$1:$I$89,5,0)</f>
        <v>93.287999999999982</v>
      </c>
      <c r="AK39" s="13">
        <f t="shared" si="35"/>
        <v>25.356547829040977</v>
      </c>
      <c r="AL39" s="20">
        <f t="shared" si="4"/>
        <v>206.63925413557965</v>
      </c>
      <c r="AM39" s="59">
        <f t="shared" si="5"/>
        <v>499.97258746891293</v>
      </c>
      <c r="AN39" s="59">
        <f ca="1">AVERAGE(OFFSET($AM$3,0,0,'Données projet'!$E$10+1,1))-AVERAGE(OFFSET($H$3,0,0,'Données projet'!$E$10+1,1))</f>
        <v>181.20458942529478</v>
      </c>
      <c r="AO39" s="59">
        <f t="shared" si="36"/>
        <v>144.05254691566421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4.5365311467613605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4.5365311467613605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8.0511538461538468</v>
      </c>
      <c r="BD39" s="12">
        <f>IF('Données projet'!$A$88&gt;35,BD38+BC39-BL38,IF(A39&lt;'Données projet'!$A$88,$BA$205^A39,IF(A39='Données projet'!$A$88,'Données projet'!$B$88,BD38+BC39-BL38)))</f>
        <v>123.65307692307697</v>
      </c>
      <c r="BE39" s="13">
        <f>BD39*VLOOKUP('Données projet'!$B$11,Paramètres!$A$1:$I$89,3,0)*VLOOKUP('Données projet'!$B$11,Paramètres!$A$1:$I$89,5,0)</f>
        <v>135.02916000000005</v>
      </c>
      <c r="BF39" s="13">
        <f t="shared" si="37"/>
        <v>35.155870995862287</v>
      </c>
      <c r="BG39" s="20">
        <f t="shared" si="7"/>
        <v>296.40559565112693</v>
      </c>
      <c r="BH39" s="59">
        <f t="shared" si="8"/>
        <v>589.73892898446024</v>
      </c>
      <c r="BI39" s="59">
        <f ca="1">AVERAGE(OFFSET($BH$3,0,0,'Données projet'!$E$11+1,1))-AVERAGE(OFFSET($H$3,0,0,'Données projet'!$E$11+1,1))</f>
        <v>584.62172669166989</v>
      </c>
      <c r="BJ39" s="59">
        <f t="shared" si="38"/>
        <v>141.28992520553197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326.09691594978824</v>
      </c>
      <c r="CE39" s="59">
        <f t="shared" si="40"/>
        <v>605.43570457920714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119.3595027935331</v>
      </c>
      <c r="CL39" s="21">
        <f>EXP(-LN(2)/25)*CL38+(1-EXP(-LN(2)/25))/(LN(2)/25)*Calculateur!CG39*Calculateur!CI39*VLOOKUP('Données projet'!$B$12,Paramètres!$A$1:$I$89,3,0)*0.475*44/12</f>
        <v>29.484115155922609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148.84361794945571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8.0511538461538468</v>
      </c>
      <c r="CT39" s="12">
        <f>IF('Données projet'!$A$140&gt;35,CT38+CS39-DB38,IF(A39&lt;'Données projet'!$A$140,$CQ$205^A39,IF(A39='Données projet'!$A$140,'Données projet'!$B$140,CT38+CS39-DB38)))</f>
        <v>123.65307692307697</v>
      </c>
      <c r="CU39" s="17">
        <f>CT39*VLOOKUP('Données projet'!$B$13,Paramètres!$A$1:$I$89,3,0)*VLOOKUP('Données projet'!$B$13,Paramètres!$A$1:$I$89,5,0)</f>
        <v>111.88130400000003</v>
      </c>
      <c r="CV39" s="13">
        <f t="shared" si="41"/>
        <v>29.773796049027194</v>
      </c>
      <c r="CW39" s="20">
        <f t="shared" si="13"/>
        <v>246.71596591872242</v>
      </c>
      <c r="CX39" s="59">
        <f t="shared" si="14"/>
        <v>540.04929925205579</v>
      </c>
      <c r="CY39" s="59">
        <f ca="1">AVERAGE(OFFSET($CX$3,0,0,'Données projet'!$E$13+1,1))-AVERAGE(OFFSET($H$3,0,0,'Données projet'!$E$13+1,1))</f>
        <v>465.85201723917186</v>
      </c>
      <c r="CZ39" s="59">
        <f t="shared" si="42"/>
        <v>110.67325285686417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</v>
      </c>
      <c r="AI40" s="13">
        <f>IF('Données projet'!$A$62&gt;35,AI39+AH40-AQ39,IF(A40&lt;'Données projet'!$A$62,$AF$205^A40,IF(A40='Données projet'!$A$62,'Données projet'!$B$62,AI39+AH40-AQ39)))</f>
        <v>120.99999999999997</v>
      </c>
      <c r="AJ40" s="13">
        <f>AI40*VLOOKUP('Données projet'!$B$10,Paramètres!$A$1:$I$89,3,0)*VLOOKUP('Données projet'!$B$10,Paramètres!$A$1:$I$89,5,0)</f>
        <v>98.155199999999979</v>
      </c>
      <c r="AK40" s="13">
        <f t="shared" si="35"/>
        <v>26.522024238465775</v>
      </c>
      <c r="AL40" s="20">
        <f t="shared" si="4"/>
        <v>217.14616554866117</v>
      </c>
      <c r="AM40" s="59">
        <f t="shared" si="5"/>
        <v>510.47949888199446</v>
      </c>
      <c r="AN40" s="59">
        <f ca="1">AVERAGE(OFFSET($AM$3,0,0,'Données projet'!$E$10+1,1))-AVERAGE(OFFSET($H$3,0,0,'Données projet'!$E$10+1,1))</f>
        <v>181.20458942529478</v>
      </c>
      <c r="AO40" s="59">
        <f t="shared" si="36"/>
        <v>144.05254691566421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4.4475725379841498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4.4475725379841498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8.0511538461538468</v>
      </c>
      <c r="BD40" s="12">
        <f>IF('Données projet'!$A$88&gt;35,BD39+BC40-BL39,IF(A40&lt;'Données projet'!$A$88,$BA$205^A40,IF(A40='Données projet'!$A$88,'Données projet'!$B$88,BD39+BC40-BL39)))</f>
        <v>131.7042307692308</v>
      </c>
      <c r="BE40" s="13">
        <f>BD40*VLOOKUP('Données projet'!$B$11,Paramètres!$A$1:$I$89,3,0)*VLOOKUP('Données projet'!$B$11,Paramètres!$A$1:$I$89,5,0)</f>
        <v>143.82102000000003</v>
      </c>
      <c r="BF40" s="13">
        <f t="shared" si="37"/>
        <v>37.170971002821076</v>
      </c>
      <c r="BG40" s="20">
        <f t="shared" si="7"/>
        <v>315.22771766324678</v>
      </c>
      <c r="BH40" s="59">
        <f t="shared" si="8"/>
        <v>608.56105099658009</v>
      </c>
      <c r="BI40" s="59">
        <f ca="1">AVERAGE(OFFSET($BH$3,0,0,'Données projet'!$E$11+1,1))-AVERAGE(OFFSET($H$3,0,0,'Données projet'!$E$11+1,1))</f>
        <v>584.62172669166989</v>
      </c>
      <c r="BJ40" s="59">
        <f t="shared" si="38"/>
        <v>141.28992520553197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326.09691594978824</v>
      </c>
      <c r="CE40" s="59">
        <f t="shared" si="40"/>
        <v>605.43570457920714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117.01893574586001</v>
      </c>
      <c r="CL40" s="21">
        <f>EXP(-LN(2)/25)*CL39+(1-EXP(-LN(2)/25))/(LN(2)/25)*Calculateur!CG40*Calculateur!CI40*VLOOKUP('Données projet'!$B$12,Paramètres!$A$1:$I$89,3,0)*0.475*44/12</f>
        <v>28.677870476481676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145.69680622234168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8.0511538461538468</v>
      </c>
      <c r="CT40" s="12">
        <f>IF('Données projet'!$A$140&gt;35,CT39+CS40-DB39,IF(A40&lt;'Données projet'!$A$140,$CQ$205^A40,IF(A40='Données projet'!$A$140,'Données projet'!$B$140,CT39+CS40-DB39)))</f>
        <v>131.7042307692308</v>
      </c>
      <c r="CU40" s="17">
        <f>CT40*VLOOKUP('Données projet'!$B$13,Paramètres!$A$1:$I$89,3,0)*VLOOKUP('Données projet'!$B$13,Paramètres!$A$1:$I$89,5,0)</f>
        <v>119.16598800000003</v>
      </c>
      <c r="CV40" s="13">
        <f t="shared" si="41"/>
        <v>31.48040080453579</v>
      </c>
      <c r="CW40" s="20">
        <f t="shared" si="13"/>
        <v>262.37579383456659</v>
      </c>
      <c r="CX40" s="59">
        <f t="shared" si="14"/>
        <v>555.70912716789985</v>
      </c>
      <c r="CY40" s="59">
        <f ca="1">AVERAGE(OFFSET($CX$3,0,0,'Données projet'!$E$13+1,1))-AVERAGE(OFFSET($H$3,0,0,'Données projet'!$E$13+1,1))</f>
        <v>465.85201723917186</v>
      </c>
      <c r="CZ40" s="59">
        <f t="shared" si="42"/>
        <v>110.67325285686417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</v>
      </c>
      <c r="AI41" s="13">
        <f>IF('Données projet'!$A$62&gt;35,AI40+AH41-AQ40,IF(A41&lt;'Données projet'!$A$62,$AF$205^A41,IF(A41='Données projet'!$A$62,'Données projet'!$B$62,AI40+AH41-AQ40)))</f>
        <v>126.99999999999997</v>
      </c>
      <c r="AJ41" s="13">
        <f>AI41*VLOOKUP('Données projet'!$B$10,Paramètres!$A$1:$I$89,3,0)*VLOOKUP('Données projet'!$B$10,Paramètres!$A$1:$I$89,5,0)</f>
        <v>103.02239999999999</v>
      </c>
      <c r="AK41" s="13">
        <f t="shared" si="35"/>
        <v>27.680790106744631</v>
      </c>
      <c r="AL41" s="20">
        <f t="shared" si="4"/>
        <v>227.64138943591354</v>
      </c>
      <c r="AM41" s="59">
        <f t="shared" si="5"/>
        <v>520.97472276924691</v>
      </c>
      <c r="AN41" s="59">
        <f ca="1">AVERAGE(OFFSET($AM$3,0,0,'Données projet'!$E$10+1,1))-AVERAGE(OFFSET($H$3,0,0,'Données projet'!$E$10+1,1))</f>
        <v>181.20458942529478</v>
      </c>
      <c r="AO41" s="59">
        <f t="shared" si="36"/>
        <v>144.05254691566421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4.3603583532656671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4.3603583532656671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8.0511538461538468</v>
      </c>
      <c r="BD41" s="12">
        <f>IF('Données projet'!$A$88&gt;35,BD40+BC41-BL40,IF(A41&lt;'Données projet'!$A$88,$BA$205^A41,IF(A41='Données projet'!$A$88,'Données projet'!$B$88,BD40+BC41-BL40)))</f>
        <v>139.75538461538466</v>
      </c>
      <c r="BE41" s="13">
        <f>BD41*VLOOKUP('Données projet'!$B$11,Paramètres!$A$1:$I$89,3,0)*VLOOKUP('Données projet'!$B$11,Paramètres!$A$1:$I$89,5,0)</f>
        <v>152.61288000000005</v>
      </c>
      <c r="BF41" s="13">
        <f t="shared" si="37"/>
        <v>39.171773864339713</v>
      </c>
      <c r="BG41" s="20">
        <f t="shared" si="7"/>
        <v>334.0249388137251</v>
      </c>
      <c r="BH41" s="59">
        <f t="shared" si="8"/>
        <v>627.35827214705841</v>
      </c>
      <c r="BI41" s="59">
        <f ca="1">AVERAGE(OFFSET($BH$3,0,0,'Données projet'!$E$11+1,1))-AVERAGE(OFFSET($H$3,0,0,'Données projet'!$E$11+1,1))</f>
        <v>584.62172669166989</v>
      </c>
      <c r="BJ41" s="59">
        <f t="shared" si="38"/>
        <v>141.28992520553197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326.09691594978824</v>
      </c>
      <c r="CE41" s="59">
        <f t="shared" si="40"/>
        <v>605.43570457920714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114.72426579038685</v>
      </c>
      <c r="CL41" s="21">
        <f>EXP(-LN(2)/25)*CL40+(1-EXP(-LN(2)/25))/(LN(2)/25)*Calculateur!CG41*Calculateur!CI41*VLOOKUP('Données projet'!$B$12,Paramètres!$A$1:$I$89,3,0)*0.475*44/12</f>
        <v>27.89367260019862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142.61793839058546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8.0511538461538468</v>
      </c>
      <c r="CT41" s="12">
        <f>IF('Données projet'!$A$140&gt;35,CT40+CS41-DB40,IF(A41&lt;'Données projet'!$A$140,$CQ$205^A41,IF(A41='Données projet'!$A$140,'Données projet'!$B$140,CT40+CS41-DB40)))</f>
        <v>139.75538461538466</v>
      </c>
      <c r="CU41" s="17">
        <f>CT41*VLOOKUP('Données projet'!$B$13,Paramètres!$A$1:$I$89,3,0)*VLOOKUP('Données projet'!$B$13,Paramètres!$A$1:$I$89,5,0)</f>
        <v>126.45067200000004</v>
      </c>
      <c r="CV41" s="13">
        <f t="shared" si="41"/>
        <v>33.174897190080507</v>
      </c>
      <c r="CW41" s="20">
        <f t="shared" si="13"/>
        <v>278.01453300605692</v>
      </c>
      <c r="CX41" s="59">
        <f t="shared" si="14"/>
        <v>571.34786633939029</v>
      </c>
      <c r="CY41" s="59">
        <f ca="1">AVERAGE(OFFSET($CX$3,0,0,'Données projet'!$E$13+1,1))-AVERAGE(OFFSET($H$3,0,0,'Données projet'!$E$13+1,1))</f>
        <v>465.85201723917186</v>
      </c>
      <c r="CZ41" s="59">
        <f t="shared" si="42"/>
        <v>110.67325285686417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</v>
      </c>
      <c r="AI42" s="13">
        <f>IF('Données projet'!$A$62&gt;35,AI41+AH42-AQ41,IF(A42&lt;'Données projet'!$A$62,$AF$205^A42,IF(A42='Données projet'!$A$62,'Données projet'!$B$62,AI41+AH42-AQ41)))</f>
        <v>132.99999999999997</v>
      </c>
      <c r="AJ42" s="13">
        <f>AI42*VLOOKUP('Données projet'!$B$10,Paramètres!$A$1:$I$89,3,0)*VLOOKUP('Données projet'!$B$10,Paramètres!$A$1:$I$89,5,0)</f>
        <v>107.88959999999997</v>
      </c>
      <c r="AK42" s="13">
        <f t="shared" si="35"/>
        <v>28.833198667365593</v>
      </c>
      <c r="AL42" s="20">
        <f t="shared" si="4"/>
        <v>238.12554101232834</v>
      </c>
      <c r="AM42" s="59">
        <f t="shared" si="5"/>
        <v>531.45887434566168</v>
      </c>
      <c r="AN42" s="59">
        <f ca="1">AVERAGE(OFFSET($AM$3,0,0,'Données projet'!$E$10+1,1))-AVERAGE(OFFSET($H$3,0,0,'Données projet'!$E$10+1,1))</f>
        <v>181.20458942529478</v>
      </c>
      <c r="AO42" s="59">
        <f t="shared" si="36"/>
        <v>144.05254691566421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4.2748543855141135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4.2748543855141135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8.0511538461538468</v>
      </c>
      <c r="BD42" s="12">
        <f>IF('Données projet'!$A$88&gt;35,BD41+BC42-BL41,IF(A42&lt;'Données projet'!$A$88,$BA$205^A42,IF(A42='Données projet'!$A$88,'Données projet'!$B$88,BD41+BC42-BL41)))</f>
        <v>147.80653846153851</v>
      </c>
      <c r="BE42" s="13">
        <f>BD42*VLOOKUP('Données projet'!$B$11,Paramètres!$A$1:$I$89,3,0)*VLOOKUP('Données projet'!$B$11,Paramètres!$A$1:$I$89,5,0)</f>
        <v>161.40474000000003</v>
      </c>
      <c r="BF42" s="13">
        <f t="shared" si="37"/>
        <v>41.159197062698624</v>
      </c>
      <c r="BG42" s="20">
        <f t="shared" si="7"/>
        <v>352.79885705086684</v>
      </c>
      <c r="BH42" s="59">
        <f t="shared" si="8"/>
        <v>646.13219038420016</v>
      </c>
      <c r="BI42" s="59">
        <f ca="1">AVERAGE(OFFSET($BH$3,0,0,'Données projet'!$E$11+1,1))-AVERAGE(OFFSET($H$3,0,0,'Données projet'!$E$11+1,1))</f>
        <v>584.62172669166989</v>
      </c>
      <c r="BJ42" s="59">
        <f t="shared" si="38"/>
        <v>141.28992520553197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326.09691594978824</v>
      </c>
      <c r="CE42" s="59">
        <f t="shared" si="40"/>
        <v>605.43570457920714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112.47459291313005</v>
      </c>
      <c r="CL42" s="21">
        <f>EXP(-LN(2)/25)*CL41+(1-EXP(-LN(2)/25))/(LN(2)/25)*Calculateur!CG42*Calculateur!CI42*VLOOKUP('Données projet'!$B$12,Paramètres!$A$1:$I$89,3,0)*0.475*44/12</f>
        <v>27.1309186560817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139.60551156921176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8.0511538461538468</v>
      </c>
      <c r="CT42" s="12">
        <f>IF('Données projet'!$A$140&gt;35,CT41+CS42-DB41,IF(A42&lt;'Données projet'!$A$140,$CQ$205^A42,IF(A42='Données projet'!$A$140,'Données projet'!$B$140,CT41+CS42-DB41)))</f>
        <v>147.80653846153851</v>
      </c>
      <c r="CU42" s="17">
        <f>CT42*VLOOKUP('Données projet'!$B$13,Paramètres!$A$1:$I$89,3,0)*VLOOKUP('Données projet'!$B$13,Paramètres!$A$1:$I$89,5,0)</f>
        <v>133.73535600000002</v>
      </c>
      <c r="CV42" s="13">
        <f t="shared" si="41"/>
        <v>34.858062228944434</v>
      </c>
      <c r="CW42" s="20">
        <f t="shared" si="13"/>
        <v>293.63353674874492</v>
      </c>
      <c r="CX42" s="59">
        <f t="shared" si="14"/>
        <v>586.96687008207823</v>
      </c>
      <c r="CY42" s="59">
        <f ca="1">AVERAGE(OFFSET($CX$3,0,0,'Données projet'!$E$13+1,1))-AVERAGE(OFFSET($H$3,0,0,'Données projet'!$E$13+1,1))</f>
        <v>465.85201723917186</v>
      </c>
      <c r="CZ42" s="59">
        <f t="shared" si="42"/>
        <v>110.67325285686417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139</v>
      </c>
      <c r="AG43" s="12">
        <f>VLOOKUP(A43,'Données projet'!$A$61:$I$81,9,0)</f>
        <v>6</v>
      </c>
      <c r="AH43" s="12">
        <f t="array" ref="AH43">INDEX(AG:AG,MIN(IF(ISNUMBER(AG43:AG239),ROW(AG43:AG239),"")))</f>
        <v>6</v>
      </c>
      <c r="AI43" s="13">
        <f>IF('Données projet'!$A$62&gt;35,AI42+AH43-AQ42,IF(A43&lt;'Données projet'!$A$62,$AF$205^A43,IF(A43='Données projet'!$A$62,'Données projet'!$B$62,AI42+AH43-AQ42)))</f>
        <v>138.99999999999997</v>
      </c>
      <c r="AJ43" s="13">
        <f>AI43*VLOOKUP('Données projet'!$B$10,Paramètres!$A$1:$I$89,3,0)*VLOOKUP('Données projet'!$B$10,Paramètres!$A$1:$I$89,5,0)</f>
        <v>112.75679999999998</v>
      </c>
      <c r="AK43" s="13">
        <f t="shared" si="35"/>
        <v>29.979569481474449</v>
      </c>
      <c r="AL43" s="20">
        <f t="shared" si="4"/>
        <v>248.59917684690132</v>
      </c>
      <c r="AM43" s="59">
        <f t="shared" si="5"/>
        <v>541.93251018023466</v>
      </c>
      <c r="AN43" s="59">
        <f ca="1">AVERAGE(OFFSET($AM$3,0,0,'Données projet'!$E$10+1,1))-AVERAGE(OFFSET($H$3,0,0,'Données projet'!$E$10+1,1))</f>
        <v>181.20458942529478</v>
      </c>
      <c r="AO43" s="59">
        <f t="shared" si="36"/>
        <v>144.05254691566421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13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9.2039019252110492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9.2039019252110492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8.0511538461538468</v>
      </c>
      <c r="BD43" s="12">
        <f>IF('Données projet'!$A$88&gt;35,BD42+BC43-BL42,IF(A43&lt;'Données projet'!$A$88,$BA$205^A43,IF(A43='Données projet'!$A$88,'Données projet'!$B$88,BD42+BC43-BL42)))</f>
        <v>155.85769230769236</v>
      </c>
      <c r="BE43" s="13">
        <f>BD43*VLOOKUP('Données projet'!$B$11,Paramètres!$A$1:$I$89,3,0)*VLOOKUP('Données projet'!$B$11,Paramètres!$A$1:$I$89,5,0)</f>
        <v>170.19660000000005</v>
      </c>
      <c r="BF43" s="13">
        <f t="shared" si="37"/>
        <v>43.1340524829263</v>
      </c>
      <c r="BG43" s="20">
        <f t="shared" si="7"/>
        <v>371.55088640776336</v>
      </c>
      <c r="BH43" s="59">
        <f t="shared" si="8"/>
        <v>664.88421974109667</v>
      </c>
      <c r="BI43" s="59">
        <f ca="1">AVERAGE(OFFSET($BH$3,0,0,'Données projet'!$E$11+1,1))-AVERAGE(OFFSET($H$3,0,0,'Données projet'!$E$11+1,1))</f>
        <v>584.62172669166989</v>
      </c>
      <c r="BJ43" s="59">
        <f t="shared" si="38"/>
        <v>141.28992520553197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326.09691594978824</v>
      </c>
      <c r="CE43" s="59">
        <f t="shared" si="40"/>
        <v>605.43570457920714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110.26903474883129</v>
      </c>
      <c r="CL43" s="21">
        <f>EXP(-LN(2)/25)*CL42+(1-EXP(-LN(2)/25))/(LN(2)/25)*Calculateur!CG43*Calculateur!CI43*VLOOKUP('Données projet'!$B$12,Paramètres!$A$1:$I$89,3,0)*0.475*44/12</f>
        <v>26.389022258678143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136.65805700750943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8.0511538461538468</v>
      </c>
      <c r="CT43" s="12">
        <f>IF('Données projet'!$A$140&gt;35,CT42+CS43-DB42,IF(A43&lt;'Données projet'!$A$140,$CQ$205^A43,IF(A43='Données projet'!$A$140,'Données projet'!$B$140,CT42+CS43-DB42)))</f>
        <v>155.85769230769236</v>
      </c>
      <c r="CU43" s="17">
        <f>CT43*VLOOKUP('Données projet'!$B$13,Paramètres!$A$1:$I$89,3,0)*VLOOKUP('Données projet'!$B$13,Paramètres!$A$1:$I$89,5,0)</f>
        <v>141.02004000000002</v>
      </c>
      <c r="CV43" s="13">
        <f t="shared" si="41"/>
        <v>36.530583513229899</v>
      </c>
      <c r="CW43" s="20">
        <f t="shared" si="13"/>
        <v>309.23400261887542</v>
      </c>
      <c r="CX43" s="59">
        <f t="shared" si="14"/>
        <v>602.56733595220874</v>
      </c>
      <c r="CY43" s="59">
        <f ca="1">AVERAGE(OFFSET($CX$3,0,0,'Données projet'!$E$13+1,1))-AVERAGE(OFFSET($H$3,0,0,'Données projet'!$E$13+1,1))</f>
        <v>465.85201723917186</v>
      </c>
      <c r="CZ43" s="59">
        <f t="shared" si="42"/>
        <v>110.67325285686417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</v>
      </c>
      <c r="AI44" s="13">
        <f>IF('Données projet'!$A$62&gt;35,AI43+AH44-AQ43,IF(A44&lt;'Données projet'!$A$62,$AF$205^A44,IF(A44='Données projet'!$A$62,'Données projet'!$B$62,AI43+AH44-AQ43)))</f>
        <v>131.99999999999997</v>
      </c>
      <c r="AJ44" s="13">
        <f>AI44*VLOOKUP('Données projet'!$B$10,Paramètres!$A$1:$I$89,3,0)*VLOOKUP('Données projet'!$B$10,Paramètres!$A$1:$I$89,5,0)</f>
        <v>107.07839999999999</v>
      </c>
      <c r="AK44" s="13">
        <f t="shared" si="35"/>
        <v>28.64155810910178</v>
      </c>
      <c r="AL44" s="20">
        <f t="shared" si="4"/>
        <v>236.37892704001885</v>
      </c>
      <c r="AM44" s="59">
        <f t="shared" si="5"/>
        <v>529.71226037335214</v>
      </c>
      <c r="AN44" s="59">
        <f ca="1">AVERAGE(OFFSET($AM$3,0,0,'Données projet'!$E$10+1,1))-AVERAGE(OFFSET($H$3,0,0,'Données projet'!$E$10+1,1))</f>
        <v>181.20458942529478</v>
      </c>
      <c r="AO44" s="59">
        <f t="shared" si="36"/>
        <v>144.05254691566421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9.023419022283516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9.023419022283516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8.0511538461538468</v>
      </c>
      <c r="BD44" s="12">
        <f>IF('Données projet'!$A$88&gt;35,BD43+BC44-BL43,IF(A44&lt;'Données projet'!$A$88,$BA$205^A44,IF(A44='Données projet'!$A$88,'Données projet'!$B$88,BD43+BC44-BL43)))</f>
        <v>163.90884615384621</v>
      </c>
      <c r="BE44" s="13">
        <f>BD44*VLOOKUP('Données projet'!$B$11,Paramètres!$A$1:$I$89,3,0)*VLOOKUP('Données projet'!$B$11,Paramètres!$A$1:$I$89,5,0)</f>
        <v>178.98846000000006</v>
      </c>
      <c r="BF44" s="13">
        <f t="shared" si="37"/>
        <v>45.097063393129105</v>
      </c>
      <c r="BG44" s="20">
        <f t="shared" si="7"/>
        <v>390.28228657636663</v>
      </c>
      <c r="BH44" s="59">
        <f t="shared" si="8"/>
        <v>683.61561990969994</v>
      </c>
      <c r="BI44" s="59">
        <f ca="1">AVERAGE(OFFSET($BH$3,0,0,'Données projet'!$E$11+1,1))-AVERAGE(OFFSET($H$3,0,0,'Données projet'!$E$11+1,1))</f>
        <v>584.62172669166989</v>
      </c>
      <c r="BJ44" s="59">
        <f t="shared" si="38"/>
        <v>141.28992520553197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326.09691594978824</v>
      </c>
      <c r="CE44" s="59">
        <f t="shared" si="40"/>
        <v>605.43570457920714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108.10672623487677</v>
      </c>
      <c r="CL44" s="21">
        <f>EXP(-LN(2)/25)*CL43+(1-EXP(-LN(2)/25))/(LN(2)/25)*Calculateur!CG44*Calculateur!CI44*VLOOKUP('Données projet'!$B$12,Paramètres!$A$1:$I$89,3,0)*0.475*44/12</f>
        <v>25.667413057276221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133.774139292153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8.0511538461538468</v>
      </c>
      <c r="CT44" s="12">
        <f>IF('Données projet'!$A$140&gt;35,CT43+CS44-DB43,IF(A44&lt;'Données projet'!$A$140,$CQ$205^A44,IF(A44='Données projet'!$A$140,'Données projet'!$B$140,CT43+CS44-DB43)))</f>
        <v>163.90884615384621</v>
      </c>
      <c r="CU44" s="17">
        <f>CT44*VLOOKUP('Données projet'!$B$13,Paramètres!$A$1:$I$89,3,0)*VLOOKUP('Données projet'!$B$13,Paramètres!$A$1:$I$89,5,0)</f>
        <v>148.30472400000005</v>
      </c>
      <c r="CV44" s="13">
        <f t="shared" si="41"/>
        <v>38.193073584639912</v>
      </c>
      <c r="CW44" s="20">
        <f t="shared" si="13"/>
        <v>324.81699745991455</v>
      </c>
      <c r="CX44" s="59">
        <f t="shared" si="14"/>
        <v>618.1503307932478</v>
      </c>
      <c r="CY44" s="59">
        <f ca="1">AVERAGE(OFFSET($CX$3,0,0,'Données projet'!$E$13+1,1))-AVERAGE(OFFSET($H$3,0,0,'Données projet'!$E$13+1,1))</f>
        <v>465.85201723917186</v>
      </c>
      <c r="CZ44" s="59">
        <f t="shared" si="42"/>
        <v>110.67325285686417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</v>
      </c>
      <c r="AI45" s="13">
        <f>IF('Données projet'!$A$62&gt;35,AI44+AH45-AQ44,IF(A45&lt;'Données projet'!$A$62,$AF$205^A45,IF(A45='Données projet'!$A$62,'Données projet'!$B$62,AI44+AH45-AQ44)))</f>
        <v>137.99999999999997</v>
      </c>
      <c r="AJ45" s="13">
        <f>AI45*VLOOKUP('Données projet'!$B$10,Paramètres!$A$1:$I$89,3,0)*VLOOKUP('Données projet'!$B$10,Paramètres!$A$1:$I$89,5,0)</f>
        <v>111.94559999999998</v>
      </c>
      <c r="AK45" s="13">
        <f t="shared" si="35"/>
        <v>29.788914309703763</v>
      </c>
      <c r="AL45" s="20">
        <f t="shared" si="4"/>
        <v>246.85427908940071</v>
      </c>
      <c r="AM45" s="59">
        <f t="shared" si="5"/>
        <v>540.18761242273399</v>
      </c>
      <c r="AN45" s="59">
        <f ca="1">AVERAGE(OFFSET($AM$3,0,0,'Données projet'!$E$10+1,1))-AVERAGE(OFFSET($H$3,0,0,'Données projet'!$E$10+1,1))</f>
        <v>181.20458942529478</v>
      </c>
      <c r="AO45" s="59">
        <f t="shared" si="36"/>
        <v>144.05254691566421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8.8464752789986907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8.8464752789986907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8.0511538461538468</v>
      </c>
      <c r="BC45" s="12">
        <f t="array" ref="BC45">INDEX(BB:BB,MIN(IF(ISNUMBER(BB45:BB241),ROW(BB45:BB241),"")))</f>
        <v>8.0511538461538468</v>
      </c>
      <c r="BD45" s="12">
        <f>IF('Données projet'!$A$88&gt;35,BD44+BC45-BL44,IF(A45&lt;'Données projet'!$A$88,$BA$205^A45,IF(A45='Données projet'!$A$88,'Données projet'!$B$88,BD44+BC45-BL44)))</f>
        <v>171.96000000000006</v>
      </c>
      <c r="BE45" s="13">
        <f>BD45*VLOOKUP('Données projet'!$B$11,Paramètres!$A$1:$I$89,3,0)*VLOOKUP('Données projet'!$B$11,Paramètres!$A$1:$I$89,5,0)</f>
        <v>187.78032000000007</v>
      </c>
      <c r="BF45" s="13">
        <f t="shared" si="37"/>
        <v>47.048877993845274</v>
      </c>
      <c r="BG45" s="20">
        <f t="shared" si="7"/>
        <v>408.99418650594731</v>
      </c>
      <c r="BH45" s="59">
        <f t="shared" si="8"/>
        <v>702.32751983928063</v>
      </c>
      <c r="BI45" s="59">
        <f ca="1">AVERAGE(OFFSET($BH$3,0,0,'Données projet'!$E$11+1,1))-AVERAGE(OFFSET($H$3,0,0,'Données projet'!$E$11+1,1))</f>
        <v>584.62172669166989</v>
      </c>
      <c r="BJ45" s="59">
        <f t="shared" si="38"/>
        <v>141.28992520553197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0.43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22.42964865177699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22.42964865177699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326.09691594978824</v>
      </c>
      <c r="CE45" s="59">
        <f t="shared" si="40"/>
        <v>605.43570457920714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105.98681927200295</v>
      </c>
      <c r="CL45" s="21">
        <f>EXP(-LN(2)/25)*CL44+(1-EXP(-LN(2)/25))/(LN(2)/25)*Calculateur!CG45*Calculateur!CI45*VLOOKUP('Données projet'!$B$12,Paramètres!$A$1:$I$89,3,0)*0.475*44/12</f>
        <v>24.965536297434415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130.95235556943737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8.0511538461538468</v>
      </c>
      <c r="CS45" s="12">
        <f t="array" ref="CS45">INDEX(CR:CR,MIN(IF(ISNUMBER(CR45:CR241),ROW(CR45:CR241),"")))</f>
        <v>8.0511538461538468</v>
      </c>
      <c r="CT45" s="12">
        <f>IF('Données projet'!$A$140&gt;35,CT44+CS45-DB44,IF(A45&lt;'Données projet'!$A$140,$CQ$205^A45,IF(A45='Données projet'!$A$140,'Données projet'!$B$140,CT44+CS45-DB44)))</f>
        <v>171.96000000000006</v>
      </c>
      <c r="CU45" s="17">
        <f>CT45*VLOOKUP('Données projet'!$B$13,Paramètres!$A$1:$I$89,3,0)*VLOOKUP('Données projet'!$B$13,Paramètres!$A$1:$I$89,5,0)</f>
        <v>155.58940800000005</v>
      </c>
      <c r="CV45" s="13">
        <f t="shared" si="41"/>
        <v>39.846081409537106</v>
      </c>
      <c r="CW45" s="20">
        <f t="shared" si="13"/>
        <v>340.38347738827719</v>
      </c>
      <c r="CX45" s="59">
        <f t="shared" si="14"/>
        <v>633.7168107216105</v>
      </c>
      <c r="CY45" s="59">
        <f ca="1">AVERAGE(OFFSET($CX$3,0,0,'Données projet'!$E$13+1,1))-AVERAGE(OFFSET($H$3,0,0,'Données projet'!$E$13+1,1))</f>
        <v>465.85201723917186</v>
      </c>
      <c r="CZ45" s="59">
        <f t="shared" si="42"/>
        <v>110.67325285686417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0.43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18.584566025758079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18.584566025758079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</v>
      </c>
      <c r="AI46" s="13">
        <f>IF('Données projet'!$A$62&gt;35,AI45+AH46-AQ45,IF(A46&lt;'Données projet'!$A$62,$AF$205^A46,IF(A46='Données projet'!$A$62,'Données projet'!$B$62,AI45+AH46-AQ45)))</f>
        <v>143.99999999999997</v>
      </c>
      <c r="AJ46" s="13">
        <f>AI46*VLOOKUP('Données projet'!$B$10,Paramètres!$A$1:$I$89,3,0)*VLOOKUP('Données projet'!$B$10,Paramètres!$A$1:$I$89,5,0)</f>
        <v>116.81279999999998</v>
      </c>
      <c r="AK46" s="13">
        <f t="shared" si="35"/>
        <v>30.930476631089483</v>
      </c>
      <c r="AL46" s="20">
        <f t="shared" si="4"/>
        <v>257.31954013248077</v>
      </c>
      <c r="AM46" s="59">
        <f t="shared" si="5"/>
        <v>550.65287346581408</v>
      </c>
      <c r="AN46" s="59">
        <f ca="1">AVERAGE(OFFSET($AM$3,0,0,'Données projet'!$E$10+1,1))-AVERAGE(OFFSET($H$3,0,0,'Données projet'!$E$10+1,1))</f>
        <v>181.20458942529478</v>
      </c>
      <c r="AO46" s="59">
        <f t="shared" si="36"/>
        <v>144.05254691566421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8.6730012945946537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8.6730012945946537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9.9475000000000016</v>
      </c>
      <c r="BD46" s="12">
        <f>IF('Données projet'!$A$88&gt;35,BD45+BC46-BL45,IF(A46&lt;'Données projet'!$A$88,$BA$205^A46,IF(A46='Données projet'!$A$88,'Données projet'!$B$88,BD45+BC46-BL45)))</f>
        <v>138.69750000000005</v>
      </c>
      <c r="BE46" s="13">
        <f>BD46*VLOOKUP('Données projet'!$B$11,Paramètres!$A$1:$I$89,3,0)*VLOOKUP('Données projet'!$B$11,Paramètres!$A$1:$I$89,5,0)</f>
        <v>151.45767000000006</v>
      </c>
      <c r="BF46" s="13">
        <f t="shared" si="37"/>
        <v>38.909659679959752</v>
      </c>
      <c r="BG46" s="20">
        <f t="shared" si="7"/>
        <v>331.55643252593001</v>
      </c>
      <c r="BH46" s="59">
        <f t="shared" si="8"/>
        <v>624.88976585926332</v>
      </c>
      <c r="BI46" s="59">
        <f ca="1">AVERAGE(OFFSET($BH$3,0,0,'Données projet'!$E$11+1,1))-AVERAGE(OFFSET($H$3,0,0,'Données projet'!$E$11+1,1))</f>
        <v>584.62172669166989</v>
      </c>
      <c r="BJ46" s="59">
        <f t="shared" si="38"/>
        <v>141.28992520553197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21.989816922450462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21.989816922450462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326.09691594978824</v>
      </c>
      <c r="CE46" s="59">
        <f t="shared" si="40"/>
        <v>605.43570457920714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103.90848239165551</v>
      </c>
      <c r="CL46" s="21">
        <f>EXP(-LN(2)/25)*CL45+(1-EXP(-LN(2)/25))/(LN(2)/25)*Calculateur!CG46*Calculateur!CI46*VLOOKUP('Données projet'!$B$12,Paramètres!$A$1:$I$89,3,0)*0.475*44/12</f>
        <v>24.282852394500576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128.19133478615609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9.9475000000000016</v>
      </c>
      <c r="CT46" s="12">
        <f>IF('Données projet'!$A$140&gt;35,CT45+CS46-DB45,IF(A46&lt;'Données projet'!$A$140,$CQ$205^A46,IF(A46='Données projet'!$A$140,'Données projet'!$B$140,CT45+CS46-DB45)))</f>
        <v>138.69750000000005</v>
      </c>
      <c r="CU46" s="17">
        <f>CT46*VLOOKUP('Données projet'!$B$13,Paramètres!$A$1:$I$89,3,0)*VLOOKUP('Données projet'!$B$13,Paramètres!$A$1:$I$89,5,0)</f>
        <v>125.49349800000003</v>
      </c>
      <c r="CV46" s="13">
        <f t="shared" si="41"/>
        <v>32.952910533336784</v>
      </c>
      <c r="CW46" s="20">
        <f t="shared" si="13"/>
        <v>275.96082819556159</v>
      </c>
      <c r="CX46" s="59">
        <f t="shared" si="14"/>
        <v>569.29416152889485</v>
      </c>
      <c r="CY46" s="59">
        <f ca="1">AVERAGE(OFFSET($CX$3,0,0,'Données projet'!$E$13+1,1))-AVERAGE(OFFSET($H$3,0,0,'Données projet'!$E$13+1,1))</f>
        <v>465.85201723917186</v>
      </c>
      <c r="CZ46" s="59">
        <f t="shared" si="42"/>
        <v>110.67325285686417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18.220134021458954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18.220134021458954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</v>
      </c>
      <c r="AI47" s="13">
        <f>IF('Données projet'!$A$62&gt;35,AI46+AH47-AQ46,IF(A47&lt;'Données projet'!$A$62,$AF$205^A47,IF(A47='Données projet'!$A$62,'Données projet'!$B$62,AI46+AH47-AQ46)))</f>
        <v>149.99999999999997</v>
      </c>
      <c r="AJ47" s="13">
        <f>AI47*VLOOKUP('Données projet'!$B$10,Paramètres!$A$1:$I$89,3,0)*VLOOKUP('Données projet'!$B$10,Paramètres!$A$1:$I$89,5,0)</f>
        <v>121.67999999999998</v>
      </c>
      <c r="AK47" s="13">
        <f t="shared" si="35"/>
        <v>32.066514091456256</v>
      </c>
      <c r="AL47" s="20">
        <f t="shared" si="4"/>
        <v>267.77517870928619</v>
      </c>
      <c r="AM47" s="59">
        <f t="shared" si="5"/>
        <v>561.10851204261951</v>
      </c>
      <c r="AN47" s="59">
        <f ca="1">AVERAGE(OFFSET($AM$3,0,0,'Données projet'!$E$10+1,1))-AVERAGE(OFFSET($H$3,0,0,'Données projet'!$E$10+1,1))</f>
        <v>181.20458942529478</v>
      </c>
      <c r="AO47" s="59">
        <f t="shared" si="36"/>
        <v>144.05254691566421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8.5029290292160979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8.5029290292160979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9.9475000000000016</v>
      </c>
      <c r="BD47" s="12">
        <f>IF('Données projet'!$A$88&gt;35,BD46+BC47-BL46,IF(A47&lt;'Données projet'!$A$88,$BA$205^A47,IF(A47='Données projet'!$A$88,'Données projet'!$B$88,BD46+BC47-BL46)))</f>
        <v>148.64500000000004</v>
      </c>
      <c r="BE47" s="13">
        <f>BD47*VLOOKUP('Données projet'!$B$11,Paramètres!$A$1:$I$89,3,0)*VLOOKUP('Données projet'!$B$11,Paramètres!$A$1:$I$89,5,0)</f>
        <v>162.32034000000004</v>
      </c>
      <c r="BF47" s="13">
        <f t="shared" si="37"/>
        <v>41.365435208767344</v>
      </c>
      <c r="BG47" s="20">
        <f t="shared" si="7"/>
        <v>354.75272515526984</v>
      </c>
      <c r="BH47" s="59">
        <f t="shared" si="8"/>
        <v>648.08605848860316</v>
      </c>
      <c r="BI47" s="59">
        <f ca="1">AVERAGE(OFFSET($BH$3,0,0,'Données projet'!$E$11+1,1))-AVERAGE(OFFSET($H$3,0,0,'Données projet'!$E$11+1,1))</f>
        <v>584.62172669166989</v>
      </c>
      <c r="BJ47" s="59">
        <f t="shared" si="38"/>
        <v>141.28992520553197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21.55861002506516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21.55861002506516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326.09691594978824</v>
      </c>
      <c r="CE47" s="59">
        <f t="shared" si="40"/>
        <v>605.43570457920714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101.87090042987136</v>
      </c>
      <c r="CL47" s="21">
        <f>EXP(-LN(2)/25)*CL46+(1-EXP(-LN(2)/25))/(LN(2)/25)*Calculateur!CG47*Calculateur!CI47*VLOOKUP('Données projet'!$B$12,Paramètres!$A$1:$I$89,3,0)*0.475*44/12</f>
        <v>23.618836518793248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125.4897369486646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9.9475000000000016</v>
      </c>
      <c r="CT47" s="12">
        <f>IF('Données projet'!$A$140&gt;35,CT46+CS47-DB46,IF(A47&lt;'Données projet'!$A$140,$CQ$205^A47,IF(A47='Données projet'!$A$140,'Données projet'!$B$140,CT46+CS47-DB46)))</f>
        <v>148.64500000000004</v>
      </c>
      <c r="CU47" s="17">
        <f>CT47*VLOOKUP('Données projet'!$B$13,Paramètres!$A$1:$I$89,3,0)*VLOOKUP('Données projet'!$B$13,Paramètres!$A$1:$I$89,5,0)</f>
        <v>134.49399600000004</v>
      </c>
      <c r="CV47" s="13">
        <f t="shared" si="41"/>
        <v>35.032727009666296</v>
      </c>
      <c r="CW47" s="20">
        <f t="shared" si="13"/>
        <v>295.25904257516885</v>
      </c>
      <c r="CX47" s="59">
        <f t="shared" si="14"/>
        <v>588.59237590850216</v>
      </c>
      <c r="CY47" s="59">
        <f ca="1">AVERAGE(OFFSET($CX$3,0,0,'Données projet'!$E$13+1,1))-AVERAGE(OFFSET($H$3,0,0,'Données projet'!$E$13+1,1))</f>
        <v>465.85201723917186</v>
      </c>
      <c r="CZ47" s="59">
        <f t="shared" si="42"/>
        <v>110.67325285686417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17.862848306482562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17.862848306482562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156</v>
      </c>
      <c r="AG48" s="12">
        <f>VLOOKUP(A48,'Données projet'!$A$61:$I$81,9,0)</f>
        <v>6</v>
      </c>
      <c r="AH48" s="12">
        <f t="array" ref="AH48">INDEX(AG:AG,MIN(IF(ISNUMBER(AG48:AG244),ROW(AG48:AG244),"")))</f>
        <v>6</v>
      </c>
      <c r="AI48" s="13">
        <f>IF('Données projet'!$A$62&gt;35,AI47+AH48-AQ47,IF(A48&lt;'Données projet'!$A$62,$AF$205^A48,IF(A48='Données projet'!$A$62,'Données projet'!$B$62,AI47+AH48-AQ47)))</f>
        <v>155.99999999999997</v>
      </c>
      <c r="AJ48" s="13">
        <f>AI48*VLOOKUP('Données projet'!$B$10,Paramètres!$A$1:$I$89,3,0)*VLOOKUP('Données projet'!$B$10,Paramètres!$A$1:$I$89,5,0)</f>
        <v>126.54719999999999</v>
      </c>
      <c r="AK48" s="13">
        <f t="shared" si="35"/>
        <v>33.19727296936243</v>
      </c>
      <c r="AL48" s="20">
        <f t="shared" si="4"/>
        <v>278.22162375497288</v>
      </c>
      <c r="AM48" s="59">
        <f t="shared" si="5"/>
        <v>571.5549570883062</v>
      </c>
      <c r="AN48" s="59">
        <f ca="1">AVERAGE(OFFSET($AM$3,0,0,'Données projet'!$E$10+1,1))-AVERAGE(OFFSET($H$3,0,0,'Données projet'!$E$10+1,1))</f>
        <v>181.20458942529478</v>
      </c>
      <c r="AO48" s="59">
        <f t="shared" si="36"/>
        <v>144.05254691566421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14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13.734672359928094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13.734672359928094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9.9475000000000016</v>
      </c>
      <c r="BD48" s="12">
        <f>IF('Données projet'!$A$88&gt;35,BD47+BC48-BL47,IF(A48&lt;'Données projet'!$A$88,$BA$205^A48,IF(A48='Données projet'!$A$88,'Données projet'!$B$88,BD47+BC48-BL47)))</f>
        <v>158.59250000000003</v>
      </c>
      <c r="BE48" s="13">
        <f>BD48*VLOOKUP('Données projet'!$B$11,Paramètres!$A$1:$I$89,3,0)*VLOOKUP('Données projet'!$B$11,Paramètres!$A$1:$I$89,5,0)</f>
        <v>173.18301000000002</v>
      </c>
      <c r="BF48" s="13">
        <f t="shared" si="37"/>
        <v>43.802140456619867</v>
      </c>
      <c r="BG48" s="20">
        <f t="shared" si="7"/>
        <v>377.91580371194624</v>
      </c>
      <c r="BH48" s="59">
        <f t="shared" si="8"/>
        <v>671.24913704527955</v>
      </c>
      <c r="BI48" s="59">
        <f ca="1">AVERAGE(OFFSET($BH$3,0,0,'Données projet'!$E$11+1,1))-AVERAGE(OFFSET($H$3,0,0,'Données projet'!$E$11+1,1))</f>
        <v>584.62172669166989</v>
      </c>
      <c r="BJ48" s="59">
        <f t="shared" si="38"/>
        <v>141.28992520553197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21.135858831927347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21.135858831927347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326.09691594978824</v>
      </c>
      <c r="CE48" s="59">
        <f t="shared" si="40"/>
        <v>605.43570457920714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99.873274207555511</v>
      </c>
      <c r="CL48" s="21">
        <f>EXP(-LN(2)/25)*CL47+(1-EXP(-LN(2)/25))/(LN(2)/25)*Calculateur!CG48*Calculateur!CI48*VLOOKUP('Données projet'!$B$12,Paramètres!$A$1:$I$89,3,0)*0.475*44/12</f>
        <v>22.972978192126217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122.84625239968173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9.9475000000000016</v>
      </c>
      <c r="CT48" s="12">
        <f>IF('Données projet'!$A$140&gt;35,CT47+CS48-DB47,IF(A48&lt;'Données projet'!$A$140,$CQ$205^A48,IF(A48='Données projet'!$A$140,'Données projet'!$B$140,CT47+CS48-DB47)))</f>
        <v>158.59250000000003</v>
      </c>
      <c r="CU48" s="17">
        <f>CT48*VLOOKUP('Données projet'!$B$13,Paramètres!$A$1:$I$89,3,0)*VLOOKUP('Données projet'!$B$13,Paramètres!$A$1:$I$89,5,0)</f>
        <v>143.49449400000003</v>
      </c>
      <c r="CV48" s="13">
        <f t="shared" si="41"/>
        <v>37.096392708339906</v>
      </c>
      <c r="CW48" s="20">
        <f t="shared" si="13"/>
        <v>314.52912768369208</v>
      </c>
      <c r="CX48" s="59">
        <f t="shared" si="14"/>
        <v>607.86246101702545</v>
      </c>
      <c r="CY48" s="59">
        <f ca="1">AVERAGE(OFFSET($CX$3,0,0,'Données projet'!$E$13+1,1))-AVERAGE(OFFSET($H$3,0,0,'Données projet'!$E$13+1,1))</f>
        <v>465.85201723917186</v>
      </c>
      <c r="CZ48" s="59">
        <f t="shared" si="42"/>
        <v>110.67325285686417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17.51256874645409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17.51256874645409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5.8</v>
      </c>
      <c r="AI49" s="13">
        <f>IF('Données projet'!$A$62&gt;35,AI48+AH49-AQ48,IF(A49&lt;'Données projet'!$A$62,$AF$205^A49,IF(A49='Données projet'!$A$62,'Données projet'!$B$62,AI48+AH49-AQ48)))</f>
        <v>147.79999999999998</v>
      </c>
      <c r="AJ49" s="13">
        <f>AI49*VLOOKUP('Données projet'!$B$10,Paramètres!$A$1:$I$89,3,0)*VLOOKUP('Données projet'!$B$10,Paramètres!$A$1:$I$89,5,0)</f>
        <v>119.89536</v>
      </c>
      <c r="AK49" s="13">
        <f t="shared" si="35"/>
        <v>31.650592493512807</v>
      </c>
      <c r="AL49" s="20">
        <f t="shared" si="4"/>
        <v>263.94253392620141</v>
      </c>
      <c r="AM49" s="59">
        <f t="shared" si="5"/>
        <v>557.27586725953472</v>
      </c>
      <c r="AN49" s="59">
        <f ca="1">AVERAGE(OFFSET($AM$3,0,0,'Données projet'!$E$10+1,1))-AVERAGE(OFFSET($H$3,0,0,'Données projet'!$E$10+1,1))</f>
        <v>181.20458942529478</v>
      </c>
      <c r="AO49" s="59">
        <f t="shared" si="36"/>
        <v>144.05254691566421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13.465343812272852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13.465343812272852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9.9475000000000016</v>
      </c>
      <c r="BD49" s="12">
        <f>IF('Données projet'!$A$88&gt;35,BD48+BC49-BL48,IF(A49&lt;'Données projet'!$A$88,$BA$205^A49,IF(A49='Données projet'!$A$88,'Données projet'!$B$88,BD48+BC49-BL48)))</f>
        <v>168.54000000000002</v>
      </c>
      <c r="BE49" s="13">
        <f>BD49*VLOOKUP('Données projet'!$B$11,Paramètres!$A$1:$I$89,3,0)*VLOOKUP('Données projet'!$B$11,Paramètres!$A$1:$I$89,5,0)</f>
        <v>184.04568000000003</v>
      </c>
      <c r="BF49" s="13">
        <f t="shared" si="37"/>
        <v>46.221107752126649</v>
      </c>
      <c r="BG49" s="20">
        <f t="shared" si="7"/>
        <v>401.04798866828725</v>
      </c>
      <c r="BH49" s="59">
        <f t="shared" si="8"/>
        <v>694.38132200162056</v>
      </c>
      <c r="BI49" s="59">
        <f ca="1">AVERAGE(OFFSET($BH$3,0,0,'Données projet'!$E$11+1,1))-AVERAGE(OFFSET($H$3,0,0,'Données projet'!$E$11+1,1))</f>
        <v>584.62172669166989</v>
      </c>
      <c r="BJ49" s="59">
        <f t="shared" si="38"/>
        <v>141.28992520553197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20.721397531834199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20.721397531834199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326.09691594978824</v>
      </c>
      <c r="CE49" s="59">
        <f t="shared" si="40"/>
        <v>605.43570457920714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97.914820217027597</v>
      </c>
      <c r="CL49" s="21">
        <f>EXP(-LN(2)/25)*CL48+(1-EXP(-LN(2)/25))/(LN(2)/25)*Calculateur!CG49*Calculateur!CI49*VLOOKUP('Données projet'!$B$12,Paramètres!$A$1:$I$89,3,0)*0.475*44/12</f>
        <v>22.344780895366107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120.25960111239371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9.9475000000000016</v>
      </c>
      <c r="CT49" s="12">
        <f>IF('Données projet'!$A$140&gt;35,CT48+CS49-DB48,IF(A49&lt;'Données projet'!$A$140,$CQ$205^A49,IF(A49='Données projet'!$A$140,'Données projet'!$B$140,CT48+CS49-DB48)))</f>
        <v>168.54000000000002</v>
      </c>
      <c r="CU49" s="17">
        <f>CT49*VLOOKUP('Données projet'!$B$13,Paramètres!$A$1:$I$89,3,0)*VLOOKUP('Données projet'!$B$13,Paramètres!$A$1:$I$89,5,0)</f>
        <v>152.49499200000002</v>
      </c>
      <c r="CV49" s="13">
        <f t="shared" si="41"/>
        <v>39.145035989405642</v>
      </c>
      <c r="CW49" s="20">
        <f t="shared" si="13"/>
        <v>333.77304874821488</v>
      </c>
      <c r="CX49" s="59">
        <f t="shared" si="14"/>
        <v>627.10638208154819</v>
      </c>
      <c r="CY49" s="59">
        <f ca="1">AVERAGE(OFFSET($CX$3,0,0,'Données projet'!$E$13+1,1))-AVERAGE(OFFSET($H$3,0,0,'Données projet'!$E$13+1,1))</f>
        <v>465.85201723917186</v>
      </c>
      <c r="CZ49" s="59">
        <f t="shared" si="42"/>
        <v>110.67325285686417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17.169157954948339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17.169157954948339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</v>
      </c>
      <c r="AI50" s="13">
        <f>IF('Données projet'!$A$62&gt;35,AI49+AH50-AQ49,IF(A50&lt;'Données projet'!$A$62,$AF$205^A50,IF(A50='Données projet'!$A$62,'Données projet'!$B$62,AI49+AH50-AQ49)))</f>
        <v>153.6</v>
      </c>
      <c r="AJ50" s="13">
        <f>AI50*VLOOKUP('Données projet'!$B$10,Paramètres!$A$1:$I$89,3,0)*VLOOKUP('Données projet'!$B$10,Paramètres!$A$1:$I$89,5,0)</f>
        <v>124.60032000000001</v>
      </c>
      <c r="AK50" s="13">
        <f t="shared" si="35"/>
        <v>32.745587947600931</v>
      </c>
      <c r="AL50" s="20">
        <f t="shared" si="4"/>
        <v>274.04412300873832</v>
      </c>
      <c r="AM50" s="59">
        <f t="shared" si="5"/>
        <v>567.37745634207158</v>
      </c>
      <c r="AN50" s="59">
        <f ca="1">AVERAGE(OFFSET($AM$3,0,0,'Données projet'!$E$10+1,1))-AVERAGE(OFFSET($H$3,0,0,'Données projet'!$E$10+1,1))</f>
        <v>181.20458942529478</v>
      </c>
      <c r="AO50" s="59">
        <f t="shared" si="36"/>
        <v>144.05254691566421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13.201296633162936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13.201296633162936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9.9475000000000016</v>
      </c>
      <c r="BD50" s="12">
        <f>IF('Données projet'!$A$88&gt;35,BD49+BC50-BL49,IF(A50&lt;'Données projet'!$A$88,$BA$205^A50,IF(A50='Données projet'!$A$88,'Données projet'!$B$88,BD49+BC50-BL49)))</f>
        <v>178.48750000000001</v>
      </c>
      <c r="BE50" s="13">
        <f>BD50*VLOOKUP('Données projet'!$B$11,Paramètres!$A$1:$I$89,3,0)*VLOOKUP('Données projet'!$B$11,Paramètres!$A$1:$I$89,5,0)</f>
        <v>194.90835000000001</v>
      </c>
      <c r="BF50" s="13">
        <f t="shared" si="37"/>
        <v>48.623503266963233</v>
      </c>
      <c r="BG50" s="20">
        <f t="shared" si="7"/>
        <v>424.15131110662765</v>
      </c>
      <c r="BH50" s="59">
        <f t="shared" si="8"/>
        <v>717.4846444399609</v>
      </c>
      <c r="BI50" s="59">
        <f ca="1">AVERAGE(OFFSET($BH$3,0,0,'Données projet'!$E$11+1,1))-AVERAGE(OFFSET($H$3,0,0,'Données projet'!$E$11+1,1))</f>
        <v>584.62172669166989</v>
      </c>
      <c r="BJ50" s="59">
        <f t="shared" si="38"/>
        <v>141.28992520553197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20.315063565039448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20.315063565039448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326.09691594978824</v>
      </c>
      <c r="CE50" s="59">
        <f t="shared" si="40"/>
        <v>605.43570457920714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95.994770314714941</v>
      </c>
      <c r="CL50" s="21">
        <f>EXP(-LN(2)/25)*CL49+(1-EXP(-LN(2)/25))/(LN(2)/25)*Calculateur!CG50*Calculateur!CI50*VLOOKUP('Données projet'!$B$12,Paramètres!$A$1:$I$89,3,0)*0.475*44/12</f>
        <v>21.733761686721362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117.72853200143631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9.9475000000000016</v>
      </c>
      <c r="CT50" s="12">
        <f>IF('Données projet'!$A$140&gt;35,CT49+CS50-DB49,IF(A50&lt;'Données projet'!$A$140,$CQ$205^A50,IF(A50='Données projet'!$A$140,'Données projet'!$B$140,CT49+CS50-DB49)))</f>
        <v>178.48750000000001</v>
      </c>
      <c r="CU50" s="17">
        <f>CT50*VLOOKUP('Données projet'!$B$13,Paramètres!$A$1:$I$89,3,0)*VLOOKUP('Données projet'!$B$13,Paramètres!$A$1:$I$89,5,0)</f>
        <v>161.49549000000002</v>
      </c>
      <c r="CV50" s="13">
        <f t="shared" si="41"/>
        <v>41.179644493238747</v>
      </c>
      <c r="CW50" s="20">
        <f t="shared" si="13"/>
        <v>352.99252590905752</v>
      </c>
      <c r="CX50" s="59">
        <f t="shared" si="14"/>
        <v>646.32585924239083</v>
      </c>
      <c r="CY50" s="59">
        <f ca="1">AVERAGE(OFFSET($CX$3,0,0,'Données projet'!$E$13+1,1))-AVERAGE(OFFSET($H$3,0,0,'Données projet'!$E$13+1,1))</f>
        <v>465.85201723917186</v>
      </c>
      <c r="CZ50" s="59">
        <f t="shared" si="42"/>
        <v>110.67325285686417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16.832481239604117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16.832481239604117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</v>
      </c>
      <c r="AI51" s="13">
        <f>IF('Données projet'!$A$62&gt;35,AI50+AH51-AQ50,IF(A51&lt;'Données projet'!$A$62,$AF$205^A51,IF(A51='Données projet'!$A$62,'Données projet'!$B$62,AI50+AH51-AQ50)))</f>
        <v>159.4</v>
      </c>
      <c r="AJ51" s="13">
        <f>AI51*VLOOKUP('Données projet'!$B$10,Paramètres!$A$1:$I$89,3,0)*VLOOKUP('Données projet'!$B$10,Paramètres!$A$1:$I$89,5,0)</f>
        <v>129.30528000000001</v>
      </c>
      <c r="AK51" s="13">
        <f t="shared" si="35"/>
        <v>33.835779910277751</v>
      </c>
      <c r="AL51" s="20">
        <f t="shared" si="4"/>
        <v>284.13734601040039</v>
      </c>
      <c r="AM51" s="59">
        <f t="shared" si="5"/>
        <v>577.47067934373376</v>
      </c>
      <c r="AN51" s="59">
        <f ca="1">AVERAGE(OFFSET($AM$3,0,0,'Données projet'!$E$10+1,1))-AVERAGE(OFFSET($H$3,0,0,'Données projet'!$E$10+1,1))</f>
        <v>181.20458942529478</v>
      </c>
      <c r="AO51" s="59">
        <f t="shared" si="36"/>
        <v>144.05254691566421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12.942427258182489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12.942427258182489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9.9475000000000016</v>
      </c>
      <c r="BD51" s="12">
        <f>IF('Données projet'!$A$88&gt;35,BD50+BC51-BL50,IF(A51&lt;'Données projet'!$A$88,$BA$205^A51,IF(A51='Données projet'!$A$88,'Données projet'!$B$88,BD50+BC51-BL50)))</f>
        <v>188.435</v>
      </c>
      <c r="BE51" s="13">
        <f>BD51*VLOOKUP('Données projet'!$B$11,Paramètres!$A$1:$I$89,3,0)*VLOOKUP('Données projet'!$B$11,Paramètres!$A$1:$I$89,5,0)</f>
        <v>205.77101999999999</v>
      </c>
      <c r="BF51" s="13">
        <f t="shared" si="37"/>
        <v>51.010355844647442</v>
      </c>
      <c r="BG51" s="20">
        <f t="shared" si="7"/>
        <v>447.22756292942751</v>
      </c>
      <c r="BH51" s="59">
        <f t="shared" si="8"/>
        <v>740.56089626276082</v>
      </c>
      <c r="BI51" s="59">
        <f ca="1">AVERAGE(OFFSET($BH$3,0,0,'Données projet'!$E$11+1,1))-AVERAGE(OFFSET($H$3,0,0,'Données projet'!$E$11+1,1))</f>
        <v>584.62172669166989</v>
      </c>
      <c r="BJ51" s="59">
        <f t="shared" si="38"/>
        <v>141.28992520553197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19.916697559494292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19.916697559494292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326.09691594978824</v>
      </c>
      <c r="CE51" s="59">
        <f t="shared" si="40"/>
        <v>605.43570457920714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94.112371419871835</v>
      </c>
      <c r="CL51" s="21">
        <f>EXP(-LN(2)/25)*CL50+(1-EXP(-LN(2)/25))/(LN(2)/25)*Calculateur!CG51*Calculateur!CI51*VLOOKUP('Données projet'!$B$12,Paramètres!$A$1:$I$89,3,0)*0.475*44/12</f>
        <v>21.139450830469112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115.25182225034095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9.9475000000000016</v>
      </c>
      <c r="CT51" s="12">
        <f>IF('Données projet'!$A$140&gt;35,CT50+CS51-DB50,IF(A51&lt;'Données projet'!$A$140,$CQ$205^A51,IF(A51='Données projet'!$A$140,'Données projet'!$B$140,CT50+CS51-DB50)))</f>
        <v>188.435</v>
      </c>
      <c r="CU51" s="17">
        <f>CT51*VLOOKUP('Données projet'!$B$13,Paramètres!$A$1:$I$89,3,0)*VLOOKUP('Données projet'!$B$13,Paramètres!$A$1:$I$89,5,0)</f>
        <v>170.49598800000001</v>
      </c>
      <c r="CV51" s="13">
        <f t="shared" si="41"/>
        <v>43.201089555869402</v>
      </c>
      <c r="CW51" s="20">
        <f t="shared" si="13"/>
        <v>372.1890767431392</v>
      </c>
      <c r="CX51" s="59">
        <f t="shared" si="14"/>
        <v>665.52241007647251</v>
      </c>
      <c r="CY51" s="59">
        <f ca="1">AVERAGE(OFFSET($CX$3,0,0,'Données projet'!$E$13+1,1))-AVERAGE(OFFSET($H$3,0,0,'Données projet'!$E$13+1,1))</f>
        <v>465.85201723917186</v>
      </c>
      <c r="CZ51" s="59">
        <f t="shared" si="42"/>
        <v>110.67325285686417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16.502406549295273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16.502406549295273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</v>
      </c>
      <c r="AI52" s="13">
        <f>IF('Données projet'!$A$62&gt;35,AI51+AH52-AQ51,IF(A52&lt;'Données projet'!$A$62,$AF$205^A52,IF(A52='Données projet'!$A$62,'Données projet'!$B$62,AI51+AH52-AQ51)))</f>
        <v>165.20000000000002</v>
      </c>
      <c r="AJ52" s="13">
        <f>AI52*VLOOKUP('Données projet'!$B$10,Paramètres!$A$1:$I$89,3,0)*VLOOKUP('Données projet'!$B$10,Paramètres!$A$1:$I$89,5,0)</f>
        <v>134.01024000000001</v>
      </c>
      <c r="AK52" s="13">
        <f t="shared" si="35"/>
        <v>34.921363182969436</v>
      </c>
      <c r="AL52" s="20">
        <f t="shared" si="4"/>
        <v>294.22254221033842</v>
      </c>
      <c r="AM52" s="59">
        <f t="shared" si="5"/>
        <v>587.55587554367173</v>
      </c>
      <c r="AN52" s="59">
        <f ca="1">AVERAGE(OFFSET($AM$3,0,0,'Données projet'!$E$10+1,1))-AVERAGE(OFFSET($H$3,0,0,'Données projet'!$E$10+1,1))</f>
        <v>181.20458942529478</v>
      </c>
      <c r="AO52" s="59">
        <f t="shared" si="36"/>
        <v>144.05254691566421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12.68863415375068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12.68863415375068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9.9475000000000016</v>
      </c>
      <c r="BD52" s="12">
        <f>IF('Données projet'!$A$88&gt;35,BD51+BC52-BL51,IF(A52&lt;'Données projet'!$A$88,$BA$205^A52,IF(A52='Données projet'!$A$88,'Données projet'!$B$88,BD51+BC52-BL51)))</f>
        <v>198.38249999999999</v>
      </c>
      <c r="BE52" s="13">
        <f>BD52*VLOOKUP('Données projet'!$B$11,Paramètres!$A$1:$I$89,3,0)*VLOOKUP('Données projet'!$B$11,Paramètres!$A$1:$I$89,5,0)</f>
        <v>216.63368999999997</v>
      </c>
      <c r="BF52" s="13">
        <f t="shared" si="37"/>
        <v>53.382579568116093</v>
      </c>
      <c r="BG52" s="20">
        <f t="shared" si="7"/>
        <v>470.27833616446878</v>
      </c>
      <c r="BH52" s="59">
        <f t="shared" si="8"/>
        <v>763.61166949780204</v>
      </c>
      <c r="BI52" s="59">
        <f ca="1">AVERAGE(OFFSET($BH$3,0,0,'Données projet'!$E$11+1,1))-AVERAGE(OFFSET($H$3,0,0,'Données projet'!$E$11+1,1))</f>
        <v>584.62172669166989</v>
      </c>
      <c r="BJ52" s="59">
        <f t="shared" si="38"/>
        <v>141.28992520553197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19.526143268338608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19.526143268338608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326.09691594978824</v>
      </c>
      <c r="CE52" s="59">
        <f t="shared" si="40"/>
        <v>605.43570457920714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92.266885219206657</v>
      </c>
      <c r="CL52" s="21">
        <f>EXP(-LN(2)/25)*CL51+(1-EXP(-LN(2)/25))/(LN(2)/25)*Calculateur!CG52*Calculateur!CI52*VLOOKUP('Données projet'!$B$12,Paramètres!$A$1:$I$89,3,0)*0.475*44/12</f>
        <v>20.56139143583453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112.82827665504118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9.9475000000000016</v>
      </c>
      <c r="CT52" s="12">
        <f>IF('Données projet'!$A$140&gt;35,CT51+CS52-DB51,IF(A52&lt;'Données projet'!$A$140,$CQ$205^A52,IF(A52='Données projet'!$A$140,'Données projet'!$B$140,CT51+CS52-DB51)))</f>
        <v>198.38249999999999</v>
      </c>
      <c r="CU52" s="17">
        <f>CT52*VLOOKUP('Données projet'!$B$13,Paramètres!$A$1:$I$89,3,0)*VLOOKUP('Données projet'!$B$13,Paramètres!$A$1:$I$89,5,0)</f>
        <v>179.496486</v>
      </c>
      <c r="CV52" s="13">
        <f t="shared" si="41"/>
        <v>45.210145321648348</v>
      </c>
      <c r="CW52" s="20">
        <f t="shared" si="13"/>
        <v>391.36404955187089</v>
      </c>
      <c r="CX52" s="59">
        <f t="shared" si="14"/>
        <v>684.69738288520421</v>
      </c>
      <c r="CY52" s="59">
        <f ca="1">AVERAGE(OFFSET($CX$3,0,0,'Données projet'!$E$13+1,1))-AVERAGE(OFFSET($H$3,0,0,'Données projet'!$E$13+1,1))</f>
        <v>465.85201723917186</v>
      </c>
      <c r="CZ52" s="59">
        <f t="shared" si="42"/>
        <v>110.67325285686417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16.178804422337706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16.178804422337706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171</v>
      </c>
      <c r="AG53" s="12">
        <f>VLOOKUP(A53,'Données projet'!$A$61:$I$81,9,0)</f>
        <v>5.8</v>
      </c>
      <c r="AH53" s="12">
        <f t="array" ref="AH53">INDEX(AG:AG,MIN(IF(ISNUMBER(AG53:AG249),ROW(AG53:AG249),"")))</f>
        <v>5.8</v>
      </c>
      <c r="AI53" s="13">
        <f>IF('Données projet'!$A$62&gt;35,AI52+AH53-AQ52,IF(A53&lt;'Données projet'!$A$62,$AF$205^A53,IF(A53='Données projet'!$A$62,'Données projet'!$B$62,AI52+AH53-AQ52)))</f>
        <v>171.00000000000003</v>
      </c>
      <c r="AJ53" s="13">
        <f>AI53*VLOOKUP('Données projet'!$B$10,Paramètres!$A$1:$I$89,3,0)*VLOOKUP('Données projet'!$B$10,Paramètres!$A$1:$I$89,5,0)</f>
        <v>138.71520000000004</v>
      </c>
      <c r="AK53" s="13">
        <f t="shared" si="35"/>
        <v>36.002518112949986</v>
      </c>
      <c r="AL53" s="20">
        <f t="shared" si="4"/>
        <v>304.30002571338792</v>
      </c>
      <c r="AM53" s="59">
        <f t="shared" si="5"/>
        <v>597.63335904672124</v>
      </c>
      <c r="AN53" s="59">
        <f ca="1">AVERAGE(OFFSET($AM$3,0,0,'Données projet'!$E$10+1,1))-AVERAGE(OFFSET($H$3,0,0,'Données projet'!$E$10+1,1))</f>
        <v>181.20458942529478</v>
      </c>
      <c r="AO53" s="59">
        <f t="shared" si="36"/>
        <v>144.05254691566421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14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17.838298359998589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17.838298359998589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9.9475000000000016</v>
      </c>
      <c r="BC53" s="12">
        <f t="array" ref="BC53">INDEX(BB:BB,MIN(IF(ISNUMBER(BB53:BB249),ROW(BB53:BB249),"")))</f>
        <v>9.9475000000000016</v>
      </c>
      <c r="BD53" s="12">
        <f>IF('Données projet'!$A$88&gt;35,BD52+BC53-BL52,IF(A53&lt;'Données projet'!$A$88,$BA$205^A53,IF(A53='Données projet'!$A$88,'Données projet'!$B$88,BD52+BC53-BL52)))</f>
        <v>208.32999999999998</v>
      </c>
      <c r="BE53" s="13">
        <f>BD53*VLOOKUP('Données projet'!$B$11,Paramètres!$A$1:$I$89,3,0)*VLOOKUP('Données projet'!$B$11,Paramètres!$A$1:$I$89,5,0)</f>
        <v>227.49635999999998</v>
      </c>
      <c r="BF53" s="13">
        <f t="shared" si="37"/>
        <v>55.740991672215436</v>
      </c>
      <c r="BG53" s="20">
        <f t="shared" si="7"/>
        <v>493.30505416244182</v>
      </c>
      <c r="BH53" s="59">
        <f t="shared" si="8"/>
        <v>786.63838749577508</v>
      </c>
      <c r="BI53" s="59">
        <f ca="1">AVERAGE(OFFSET($BH$3,0,0,'Données projet'!$E$11+1,1))-AVERAGE(OFFSET($H$3,0,0,'Données projet'!$E$11+1,1))</f>
        <v>584.62172669166989</v>
      </c>
      <c r="BJ53" s="59">
        <f t="shared" si="38"/>
        <v>141.28992520553197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37.61228011750994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37.61228011750994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326.09691594978824</v>
      </c>
      <c r="CE53" s="59">
        <f t="shared" si="40"/>
        <v>605.43570457920714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90.45758787730108</v>
      </c>
      <c r="CL53" s="21">
        <f>EXP(-LN(2)/25)*CL52+(1-EXP(-LN(2)/25))/(LN(2)/25)*Calculateur!CG53*Calculateur!CI53*VLOOKUP('Données projet'!$B$12,Paramètres!$A$1:$I$89,3,0)*0.475*44/12</f>
        <v>19.999139105745051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110.45672698304614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9.9475000000000016</v>
      </c>
      <c r="CS53" s="12">
        <f t="array" ref="CS53">INDEX(CR:CR,MIN(IF(ISNUMBER(CR53:CR249),ROW(CR53:CR249),"")))</f>
        <v>9.9475000000000016</v>
      </c>
      <c r="CT53" s="12">
        <f>IF('Données projet'!$A$140&gt;35,CT52+CS53-DB52,IF(A53&lt;'Données projet'!$A$140,$CQ$205^A53,IF(A53='Données projet'!$A$140,'Données projet'!$B$140,CT52+CS53-DB52)))</f>
        <v>208.32999999999998</v>
      </c>
      <c r="CU53" s="17">
        <f>CT53*VLOOKUP('Données projet'!$B$13,Paramètres!$A$1:$I$89,3,0)*VLOOKUP('Données projet'!$B$13,Paramètres!$A$1:$I$89,5,0)</f>
        <v>188.496984</v>
      </c>
      <c r="CV53" s="13">
        <f t="shared" si="41"/>
        <v>47.207503913482903</v>
      </c>
      <c r="CW53" s="20">
        <f t="shared" si="13"/>
        <v>410.51864978264933</v>
      </c>
      <c r="CX53" s="59">
        <f t="shared" si="14"/>
        <v>703.85198311598265</v>
      </c>
      <c r="CY53" s="59">
        <f ca="1">AVERAGE(OFFSET($CX$3,0,0,'Données projet'!$E$13+1,1))-AVERAGE(OFFSET($H$3,0,0,'Données projet'!$E$13+1,1))</f>
        <v>465.85201723917186</v>
      </c>
      <c r="CZ53" s="59">
        <f t="shared" si="42"/>
        <v>110.67325285686417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31.16446066879395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31.16446066879395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5.4</v>
      </c>
      <c r="AI54" s="13">
        <f>IF('Données projet'!$A$62&gt;35,AI53+AH54-AQ53,IF(A54&lt;'Données projet'!$A$62,$AF$205^A54,IF(A54='Données projet'!$A$62,'Données projet'!$B$62,AI53+AH54-AQ53)))</f>
        <v>162.40000000000003</v>
      </c>
      <c r="AJ54" s="13">
        <f>AI54*VLOOKUP('Données projet'!$B$10,Paramètres!$A$1:$I$89,3,0)*VLOOKUP('Données projet'!$B$10,Paramètres!$A$1:$I$89,5,0)</f>
        <v>131.73888000000005</v>
      </c>
      <c r="AK54" s="13">
        <f t="shared" si="35"/>
        <v>34.397852193895858</v>
      </c>
      <c r="AL54" s="20">
        <f t="shared" si="4"/>
        <v>289.35480857103533</v>
      </c>
      <c r="AM54" s="59">
        <f t="shared" si="5"/>
        <v>582.68814190436865</v>
      </c>
      <c r="AN54" s="59">
        <f ca="1">AVERAGE(OFFSET($AM$3,0,0,'Données projet'!$E$10+1,1))-AVERAGE(OFFSET($H$3,0,0,'Données projet'!$E$10+1,1))</f>
        <v>181.20458942529478</v>
      </c>
      <c r="AO54" s="59">
        <f t="shared" si="36"/>
        <v>144.05254691566421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17.488500209446677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17.488500209446677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10.118749999999999</v>
      </c>
      <c r="BD54" s="12">
        <f>IF('Données projet'!$A$88&gt;35,BD53+BC54-BL53,IF(A54&lt;'Données projet'!$A$88,$BA$205^A54,IF(A54='Données projet'!$A$88,'Données projet'!$B$88,BD53+BC54-BL53)))</f>
        <v>182.86874999999998</v>
      </c>
      <c r="BE54" s="13">
        <f>BD54*VLOOKUP('Données projet'!$B$11,Paramètres!$A$1:$I$89,3,0)*VLOOKUP('Données projet'!$B$11,Paramètres!$A$1:$I$89,5,0)</f>
        <v>199.69267499999998</v>
      </c>
      <c r="BF54" s="13">
        <f t="shared" si="37"/>
        <v>49.676620948454676</v>
      </c>
      <c r="BG54" s="20">
        <f t="shared" si="7"/>
        <v>434.31819044355854</v>
      </c>
      <c r="BH54" s="59">
        <f t="shared" si="8"/>
        <v>727.65152377689185</v>
      </c>
      <c r="BI54" s="59">
        <f ca="1">AVERAGE(OFFSET($BH$3,0,0,'Données projet'!$E$11+1,1))-AVERAGE(OFFSET($H$3,0,0,'Données projet'!$E$11+1,1))</f>
        <v>584.62172669166989</v>
      </c>
      <c r="BJ54" s="59">
        <f t="shared" si="38"/>
        <v>141.28992520553197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36.87472624563118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36.87472624563118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326.09691594978824</v>
      </c>
      <c r="CE54" s="59">
        <f t="shared" si="40"/>
        <v>605.43570457920714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88.68376975270786</v>
      </c>
      <c r="CL54" s="21">
        <f>EXP(-LN(2)/25)*CL53+(1-EXP(-LN(2)/25))/(LN(2)/25)*Calculateur!CG54*Calculateur!CI54*VLOOKUP('Données projet'!$B$12,Paramètres!$A$1:$I$89,3,0)*0.475*44/12</f>
        <v>19.452261595189437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108.1360313478973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10.118749999999999</v>
      </c>
      <c r="CT54" s="12">
        <f>IF('Données projet'!$A$140&gt;35,CT53+CS54-DB53,IF(A54&lt;'Données projet'!$A$140,$CQ$205^A54,IF(A54='Données projet'!$A$140,'Données projet'!$B$140,CT53+CS54-DB53)))</f>
        <v>182.86874999999998</v>
      </c>
      <c r="CU54" s="17">
        <f>CT54*VLOOKUP('Données projet'!$B$13,Paramètres!$A$1:$I$89,3,0)*VLOOKUP('Données projet'!$B$13,Paramètres!$A$1:$I$89,5,0)</f>
        <v>165.45964499999997</v>
      </c>
      <c r="CV54" s="13">
        <f t="shared" si="41"/>
        <v>42.071538511965834</v>
      </c>
      <c r="CW54" s="20">
        <f t="shared" si="13"/>
        <v>361.45014461667375</v>
      </c>
      <c r="CX54" s="59">
        <f t="shared" si="14"/>
        <v>654.78347795000707</v>
      </c>
      <c r="CY54" s="59">
        <f ca="1">AVERAGE(OFFSET($CX$3,0,0,'Données projet'!$E$13+1,1))-AVERAGE(OFFSET($H$3,0,0,'Données projet'!$E$13+1,1))</f>
        <v>465.85201723917186</v>
      </c>
      <c r="CZ54" s="59">
        <f t="shared" si="42"/>
        <v>110.67325285686417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30.55334460352298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30.55334460352298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5.4</v>
      </c>
      <c r="AI55" s="13">
        <f>IF('Données projet'!$A$62&gt;35,AI54+AH55-AQ54,IF(A55&lt;'Données projet'!$A$62,$AF$205^A55,IF(A55='Données projet'!$A$62,'Données projet'!$B$62,AI54+AH55-AQ54)))</f>
        <v>167.80000000000004</v>
      </c>
      <c r="AJ55" s="13">
        <f>AI55*VLOOKUP('Données projet'!$B$10,Paramètres!$A$1:$I$89,3,0)*VLOOKUP('Données projet'!$B$10,Paramètres!$A$1:$I$89,5,0)</f>
        <v>136.11936000000006</v>
      </c>
      <c r="AK55" s="13">
        <f t="shared" si="35"/>
        <v>35.406556182020879</v>
      </c>
      <c r="AL55" s="20">
        <f t="shared" si="4"/>
        <v>298.74097068368638</v>
      </c>
      <c r="AM55" s="59">
        <f t="shared" si="5"/>
        <v>592.0743040170197</v>
      </c>
      <c r="AN55" s="59">
        <f ca="1">AVERAGE(OFFSET($AM$3,0,0,'Données projet'!$E$10+1,1))-AVERAGE(OFFSET($H$3,0,0,'Données projet'!$E$10+1,1))</f>
        <v>181.20458942529478</v>
      </c>
      <c r="AO55" s="59">
        <f t="shared" si="36"/>
        <v>144.05254691566421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17.145561387271282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17.145561387271282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10.118749999999999</v>
      </c>
      <c r="BD55" s="12">
        <f>IF('Données projet'!$A$88&gt;35,BD54+BC55-BL54,IF(A55&lt;'Données projet'!$A$88,$BA$205^A55,IF(A55='Données projet'!$A$88,'Données projet'!$B$88,BD54+BC55-BL54)))</f>
        <v>192.98749999999998</v>
      </c>
      <c r="BE55" s="13">
        <f>BD55*VLOOKUP('Données projet'!$B$11,Paramètres!$A$1:$I$89,3,0)*VLOOKUP('Données projet'!$B$11,Paramètres!$A$1:$I$89,5,0)</f>
        <v>210.74234999999996</v>
      </c>
      <c r="BF55" s="13">
        <f t="shared" si="37"/>
        <v>52.097774519278559</v>
      </c>
      <c r="BG55" s="20">
        <f t="shared" si="7"/>
        <v>457.77988353774339</v>
      </c>
      <c r="BH55" s="59">
        <f t="shared" si="8"/>
        <v>751.1132168710767</v>
      </c>
      <c r="BI55" s="59">
        <f ca="1">AVERAGE(OFFSET($BH$3,0,0,'Données projet'!$E$11+1,1))-AVERAGE(OFFSET($H$3,0,0,'Données projet'!$E$11+1,1))</f>
        <v>584.62172669166989</v>
      </c>
      <c r="BJ55" s="59">
        <f t="shared" si="38"/>
        <v>141.28992520553197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36.151635355316522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36.151635355316522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326.09691594978824</v>
      </c>
      <c r="CE55" s="59">
        <f t="shared" si="40"/>
        <v>605.43570457920714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86.944735119615686</v>
      </c>
      <c r="CL55" s="21">
        <f>EXP(-LN(2)/25)*CL54+(1-EXP(-LN(2)/25))/(LN(2)/25)*Calculateur!CG55*Calculateur!CI55*VLOOKUP('Données projet'!$B$12,Paramètres!$A$1:$I$89,3,0)*0.475*44/12</f>
        <v>18.920338478919003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105.86507359853469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10.118749999999999</v>
      </c>
      <c r="CT55" s="12">
        <f>IF('Données projet'!$A$140&gt;35,CT54+CS55-DB54,IF(A55&lt;'Données projet'!$A$140,$CQ$205^A55,IF(A55='Données projet'!$A$140,'Données projet'!$B$140,CT54+CS55-DB54)))</f>
        <v>192.98749999999998</v>
      </c>
      <c r="CU55" s="17">
        <f>CT55*VLOOKUP('Données projet'!$B$13,Paramètres!$A$1:$I$89,3,0)*VLOOKUP('Données projet'!$B$13,Paramètres!$A$1:$I$89,5,0)</f>
        <v>174.61508999999998</v>
      </c>
      <c r="CV55" s="13">
        <f t="shared" si="41"/>
        <v>44.122033367563922</v>
      </c>
      <c r="CW55" s="20">
        <f t="shared" si="13"/>
        <v>380.96715653184043</v>
      </c>
      <c r="CX55" s="59">
        <f t="shared" si="14"/>
        <v>674.30048986517374</v>
      </c>
      <c r="CY55" s="59">
        <f ca="1">AVERAGE(OFFSET($CX$3,0,0,'Données projet'!$E$13+1,1))-AVERAGE(OFFSET($H$3,0,0,'Données projet'!$E$13+1,1))</f>
        <v>465.85201723917186</v>
      </c>
      <c r="CZ55" s="59">
        <f t="shared" si="42"/>
        <v>110.67325285686417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29.954212151547981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29.954212151547981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5.4</v>
      </c>
      <c r="AI56" s="13">
        <f>IF('Données projet'!$A$62&gt;35,AI55+AH56-AQ55,IF(A56&lt;'Données projet'!$A$62,$AF$205^A56,IF(A56='Données projet'!$A$62,'Données projet'!$B$62,AI55+AH56-AQ55)))</f>
        <v>173.20000000000005</v>
      </c>
      <c r="AJ56" s="13">
        <f>AI56*VLOOKUP('Données projet'!$B$10,Paramètres!$A$1:$I$89,3,0)*VLOOKUP('Données projet'!$B$10,Paramètres!$A$1:$I$89,5,0)</f>
        <v>140.49984000000003</v>
      </c>
      <c r="AK56" s="13">
        <f t="shared" si="35"/>
        <v>36.411488058235591</v>
      </c>
      <c r="AL56" s="20">
        <f t="shared" si="4"/>
        <v>308.12056303476032</v>
      </c>
      <c r="AM56" s="59">
        <f t="shared" si="5"/>
        <v>601.45389636809364</v>
      </c>
      <c r="AN56" s="59">
        <f ca="1">AVERAGE(OFFSET($AM$3,0,0,'Données projet'!$E$10+1,1))-AVERAGE(OFFSET($H$3,0,0,'Données projet'!$E$10+1,1))</f>
        <v>181.20458942529478</v>
      </c>
      <c r="AO56" s="59">
        <f t="shared" si="36"/>
        <v>144.05254691566421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16.809347386226722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16.809347386226722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10.118749999999999</v>
      </c>
      <c r="BD56" s="12">
        <f>IF('Données projet'!$A$88&gt;35,BD55+BC56-BL55,IF(A56&lt;'Données projet'!$A$88,$BA$205^A56,IF(A56='Données projet'!$A$88,'Données projet'!$B$88,BD55+BC56-BL55)))</f>
        <v>203.10624999999999</v>
      </c>
      <c r="BE56" s="13">
        <f>BD56*VLOOKUP('Données projet'!$B$11,Paramètres!$A$1:$I$89,3,0)*VLOOKUP('Données projet'!$B$11,Paramètres!$A$1:$I$89,5,0)</f>
        <v>221.79202499999997</v>
      </c>
      <c r="BF56" s="13">
        <f t="shared" si="37"/>
        <v>54.504189412324834</v>
      </c>
      <c r="BG56" s="20">
        <f t="shared" si="7"/>
        <v>481.2159067681323</v>
      </c>
      <c r="BH56" s="59">
        <f t="shared" si="8"/>
        <v>774.54924010146556</v>
      </c>
      <c r="BI56" s="59">
        <f ca="1">AVERAGE(OFFSET($BH$3,0,0,'Données projet'!$E$11+1,1))-AVERAGE(OFFSET($H$3,0,0,'Données projet'!$E$11+1,1))</f>
        <v>584.62172669166989</v>
      </c>
      <c r="BJ56" s="59">
        <f t="shared" si="38"/>
        <v>141.28992520553197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35.44272383631904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35.44272383631904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326.09691594978824</v>
      </c>
      <c r="CE56" s="59">
        <f t="shared" si="40"/>
        <v>605.43570457920714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85.239801894972061</v>
      </c>
      <c r="CL56" s="21">
        <f>EXP(-LN(2)/25)*CL55+(1-EXP(-LN(2)/25))/(LN(2)/25)*Calculateur!CG56*Calculateur!CI56*VLOOKUP('Données projet'!$B$12,Paramètres!$A$1:$I$89,3,0)*0.475*44/12</f>
        <v>18.402960828235607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103.64276272320767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10.118749999999999</v>
      </c>
      <c r="CT56" s="12">
        <f>IF('Données projet'!$A$140&gt;35,CT55+CS56-DB55,IF(A56&lt;'Données projet'!$A$140,$CQ$205^A56,IF(A56='Données projet'!$A$140,'Données projet'!$B$140,CT55+CS56-DB55)))</f>
        <v>203.10624999999999</v>
      </c>
      <c r="CU56" s="17">
        <f>CT56*VLOOKUP('Données projet'!$B$13,Paramètres!$A$1:$I$89,3,0)*VLOOKUP('Données projet'!$B$13,Paramètres!$A$1:$I$89,5,0)</f>
        <v>183.770535</v>
      </c>
      <c r="CV56" s="13">
        <f t="shared" si="41"/>
        <v>46.160045915833102</v>
      </c>
      <c r="CW56" s="20">
        <f t="shared" si="13"/>
        <v>400.46242842840928</v>
      </c>
      <c r="CX56" s="59">
        <f t="shared" si="14"/>
        <v>693.7957617617426</v>
      </c>
      <c r="CY56" s="59">
        <f ca="1">AVERAGE(OFFSET($CX$3,0,0,'Données projet'!$E$13+1,1))-AVERAGE(OFFSET($H$3,0,0,'Données projet'!$E$13+1,1))</f>
        <v>465.85201723917186</v>
      </c>
      <c r="CZ56" s="59">
        <f t="shared" si="42"/>
        <v>110.67325285686417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29.366828321521499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29.366828321521499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5.4</v>
      </c>
      <c r="AI57" s="13">
        <f>IF('Données projet'!$A$62&gt;35,AI56+AH57-AQ56,IF(A57&lt;'Données projet'!$A$62,$AF$205^A57,IF(A57='Données projet'!$A$62,'Données projet'!$B$62,AI56+AH57-AQ56)))</f>
        <v>178.60000000000005</v>
      </c>
      <c r="AJ57" s="13">
        <f>AI57*VLOOKUP('Données projet'!$B$10,Paramètres!$A$1:$I$89,3,0)*VLOOKUP('Données projet'!$B$10,Paramètres!$A$1:$I$89,5,0)</f>
        <v>144.88032000000004</v>
      </c>
      <c r="AK57" s="13">
        <f t="shared" si="35"/>
        <v>37.412778923310412</v>
      </c>
      <c r="AL57" s="20">
        <f t="shared" si="4"/>
        <v>317.493813958099</v>
      </c>
      <c r="AM57" s="59">
        <f t="shared" si="5"/>
        <v>610.82714729143231</v>
      </c>
      <c r="AN57" s="59">
        <f ca="1">AVERAGE(OFFSET($AM$3,0,0,'Données projet'!$E$10+1,1))-AVERAGE(OFFSET($H$3,0,0,'Données projet'!$E$10+1,1))</f>
        <v>181.20458942529478</v>
      </c>
      <c r="AO57" s="59">
        <f t="shared" si="36"/>
        <v>144.05254691566421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16.479726336672353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16.479726336672353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10.118749999999999</v>
      </c>
      <c r="BD57" s="12">
        <f>IF('Données projet'!$A$88&gt;35,BD56+BC57-BL56,IF(A57&lt;'Données projet'!$A$88,$BA$205^A57,IF(A57='Données projet'!$A$88,'Données projet'!$B$88,BD56+BC57-BL56)))</f>
        <v>213.22499999999999</v>
      </c>
      <c r="BE57" s="13">
        <f>BD57*VLOOKUP('Données projet'!$B$11,Paramètres!$A$1:$I$89,3,0)*VLOOKUP('Données projet'!$B$11,Paramètres!$A$1:$I$89,5,0)</f>
        <v>232.8417</v>
      </c>
      <c r="BF57" s="13">
        <f t="shared" si="37"/>
        <v>56.89668369931843</v>
      </c>
      <c r="BG57" s="20">
        <f t="shared" si="7"/>
        <v>504.62768494297961</v>
      </c>
      <c r="BH57" s="59">
        <f t="shared" si="8"/>
        <v>797.96101827631287</v>
      </c>
      <c r="BI57" s="59">
        <f ca="1">AVERAGE(OFFSET($BH$3,0,0,'Données projet'!$E$11+1,1))-AVERAGE(OFFSET($H$3,0,0,'Données projet'!$E$11+1,1))</f>
        <v>584.62172669166989</v>
      </c>
      <c r="BJ57" s="59">
        <f t="shared" si="38"/>
        <v>141.28992520553197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34.747713639815771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34.747713639815771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326.09691594978824</v>
      </c>
      <c r="CE57" s="59">
        <f t="shared" si="40"/>
        <v>605.43570457920714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83.568301370957116</v>
      </c>
      <c r="CL57" s="21">
        <f>EXP(-LN(2)/25)*CL56+(1-EXP(-LN(2)/25))/(LN(2)/25)*Calculateur!CG57*Calculateur!CI57*VLOOKUP('Données projet'!$B$12,Paramètres!$A$1:$I$89,3,0)*0.475*44/12</f>
        <v>17.899730896617854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101.46803226757497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10.118749999999999</v>
      </c>
      <c r="CT57" s="12">
        <f>IF('Données projet'!$A$140&gt;35,CT56+CS57-DB56,IF(A57&lt;'Données projet'!$A$140,$CQ$205^A57,IF(A57='Données projet'!$A$140,'Données projet'!$B$140,CT56+CS57-DB56)))</f>
        <v>213.22499999999999</v>
      </c>
      <c r="CU57" s="17">
        <f>CT57*VLOOKUP('Données projet'!$B$13,Paramètres!$A$1:$I$89,3,0)*VLOOKUP('Données projet'!$B$13,Paramètres!$A$1:$I$89,5,0)</f>
        <v>192.92597999999998</v>
      </c>
      <c r="CV57" s="13">
        <f t="shared" si="41"/>
        <v>48.186268988440077</v>
      </c>
      <c r="CW57" s="20">
        <f t="shared" si="13"/>
        <v>419.93716698819981</v>
      </c>
      <c r="CX57" s="59">
        <f t="shared" si="14"/>
        <v>713.27050032153306</v>
      </c>
      <c r="CY57" s="59">
        <f ca="1">AVERAGE(OFFSET($CX$3,0,0,'Données projet'!$E$13+1,1))-AVERAGE(OFFSET($H$3,0,0,'Données projet'!$E$13+1,1))</f>
        <v>465.85201723917186</v>
      </c>
      <c r="CZ57" s="59">
        <f t="shared" si="42"/>
        <v>110.67325285686417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28.790962730133074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28.790962730133074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184</v>
      </c>
      <c r="AG58" s="12">
        <f>VLOOKUP(A58,'Données projet'!$A$61:$I$81,9,0)</f>
        <v>5.4</v>
      </c>
      <c r="AH58" s="12">
        <f t="array" ref="AH58">INDEX(AG:AG,MIN(IF(ISNUMBER(AG58:AG254),ROW(AG58:AG254),"")))</f>
        <v>5.4</v>
      </c>
      <c r="AI58" s="13">
        <f>IF('Données projet'!$A$62&gt;35,AI57+AH58-AQ57,IF(A58&lt;'Données projet'!$A$62,$AF$205^A58,IF(A58='Données projet'!$A$62,'Données projet'!$B$62,AI57+AH58-AQ57)))</f>
        <v>184.00000000000006</v>
      </c>
      <c r="AJ58" s="13">
        <f>AI58*VLOOKUP('Données projet'!$B$10,Paramètres!$A$1:$I$89,3,0)*VLOOKUP('Données projet'!$B$10,Paramètres!$A$1:$I$89,5,0)</f>
        <v>149.26080000000005</v>
      </c>
      <c r="AK58" s="13">
        <f t="shared" si="35"/>
        <v>38.410551499792909</v>
      </c>
      <c r="AL58" s="20">
        <f t="shared" si="4"/>
        <v>326.86093719547273</v>
      </c>
      <c r="AM58" s="59">
        <f t="shared" si="5"/>
        <v>620.1942705288061</v>
      </c>
      <c r="AN58" s="59">
        <f ca="1">AVERAGE(OFFSET($AM$3,0,0,'Données projet'!$E$10+1,1))-AVERAGE(OFFSET($H$3,0,0,'Données projet'!$E$10+1,1))</f>
        <v>181.20458942529478</v>
      </c>
      <c r="AO58" s="59">
        <f t="shared" si="36"/>
        <v>144.05254691566421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14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21.555049537551078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21.555049537551078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10.118749999999999</v>
      </c>
      <c r="BD58" s="12">
        <f>IF('Données projet'!$A$88&gt;35,BD57+BC58-BL57,IF(A58&lt;'Données projet'!$A$88,$BA$205^A58,IF(A58='Données projet'!$A$88,'Données projet'!$B$88,BD57+BC58-BL57)))</f>
        <v>223.34375</v>
      </c>
      <c r="BE58" s="13">
        <f>BD58*VLOOKUP('Données projet'!$B$11,Paramètres!$A$1:$I$89,3,0)*VLOOKUP('Données projet'!$B$11,Paramètres!$A$1:$I$89,5,0)</f>
        <v>243.89137499999998</v>
      </c>
      <c r="BF58" s="13">
        <f t="shared" si="37"/>
        <v>59.275993420136281</v>
      </c>
      <c r="BG58" s="20">
        <f t="shared" si="7"/>
        <v>528.01649999840402</v>
      </c>
      <c r="BH58" s="59">
        <f t="shared" si="8"/>
        <v>821.34983333173727</v>
      </c>
      <c r="BI58" s="59">
        <f ca="1">AVERAGE(OFFSET($BH$3,0,0,'Données projet'!$E$11+1,1))-AVERAGE(OFFSET($H$3,0,0,'Données projet'!$E$11+1,1))</f>
        <v>584.62172669166989</v>
      </c>
      <c r="BJ58" s="59">
        <f t="shared" si="38"/>
        <v>141.28992520553197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34.066332169351568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34.066332169351568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326.09691594978824</v>
      </c>
      <c r="CE58" s="59">
        <f t="shared" si="40"/>
        <v>605.43570457920714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81.929577952703454</v>
      </c>
      <c r="CL58" s="21">
        <f>EXP(-LN(2)/25)*CL57+(1-EXP(-LN(2)/25))/(LN(2)/25)*Calculateur!CG58*Calculateur!CI58*VLOOKUP('Données projet'!$B$12,Paramètres!$A$1:$I$89,3,0)*0.475*44/12</f>
        <v>17.410261813943901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99.339839766647358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10.118749999999999</v>
      </c>
      <c r="CT58" s="12">
        <f>IF('Données projet'!$A$140&gt;35,CT57+CS58-DB57,IF(A58&lt;'Données projet'!$A$140,$CQ$205^A58,IF(A58='Données projet'!$A$140,'Données projet'!$B$140,CT57+CS58-DB57)))</f>
        <v>223.34375</v>
      </c>
      <c r="CU58" s="17">
        <f>CT58*VLOOKUP('Données projet'!$B$13,Paramètres!$A$1:$I$89,3,0)*VLOOKUP('Données projet'!$B$13,Paramètres!$A$1:$I$89,5,0)</f>
        <v>202.08142499999997</v>
      </c>
      <c r="CV58" s="13">
        <f t="shared" si="41"/>
        <v>50.201325943605198</v>
      </c>
      <c r="CW58" s="20">
        <f t="shared" si="13"/>
        <v>439.39245789344562</v>
      </c>
      <c r="CX58" s="59">
        <f t="shared" si="14"/>
        <v>732.72579122677894</v>
      </c>
      <c r="CY58" s="59">
        <f ca="1">AVERAGE(OFFSET($CX$3,0,0,'Données projet'!$E$13+1,1))-AVERAGE(OFFSET($H$3,0,0,'Données projet'!$E$13+1,1))</f>
        <v>465.85201723917186</v>
      </c>
      <c r="CZ58" s="59">
        <f t="shared" si="42"/>
        <v>110.67325285686417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28.226389511748451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28.226389511748451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</v>
      </c>
      <c r="AI59" s="13">
        <f>IF('Données projet'!$A$62&gt;35,AI58+AH59-AQ58,IF(A59&lt;'Données projet'!$A$62,$AF$205^A59,IF(A59='Données projet'!$A$62,'Données projet'!$B$62,AI58+AH59-AQ58)))</f>
        <v>175.40000000000006</v>
      </c>
      <c r="AJ59" s="13">
        <f>AI59*VLOOKUP('Données projet'!$B$10,Paramètres!$A$1:$I$89,3,0)*VLOOKUP('Données projet'!$B$10,Paramètres!$A$1:$I$89,5,0)</f>
        <v>142.28448000000006</v>
      </c>
      <c r="AK59" s="13">
        <f t="shared" si="35"/>
        <v>36.819853762091817</v>
      </c>
      <c r="AL59" s="20">
        <f t="shared" si="4"/>
        <v>311.94004796897667</v>
      </c>
      <c r="AM59" s="59">
        <f t="shared" si="5"/>
        <v>605.27338130230999</v>
      </c>
      <c r="AN59" s="59">
        <f ca="1">AVERAGE(OFFSET($AM$3,0,0,'Données projet'!$E$10+1,1))-AVERAGE(OFFSET($H$3,0,0,'Données projet'!$E$10+1,1))</f>
        <v>181.20458942529478</v>
      </c>
      <c r="AO59" s="59">
        <f t="shared" si="36"/>
        <v>144.05254691566421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21.132368163401733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21.132368163401733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10.118749999999999</v>
      </c>
      <c r="BD59" s="12">
        <f>IF('Données projet'!$A$88&gt;35,BD58+BC59-BL58,IF(A59&lt;'Données projet'!$A$88,$BA$205^A59,IF(A59='Données projet'!$A$88,'Données projet'!$B$88,BD58+BC59-BL58)))</f>
        <v>233.46250000000001</v>
      </c>
      <c r="BE59" s="13">
        <f>BD59*VLOOKUP('Données projet'!$B$11,Paramètres!$A$1:$I$89,3,0)*VLOOKUP('Données projet'!$B$11,Paramètres!$A$1:$I$89,5,0)</f>
        <v>254.94104999999999</v>
      </c>
      <c r="BF59" s="13">
        <f t="shared" si="37"/>
        <v>61.642784150966996</v>
      </c>
      <c r="BG59" s="20">
        <f t="shared" si="7"/>
        <v>551.38351114626744</v>
      </c>
      <c r="BH59" s="59">
        <f t="shared" si="8"/>
        <v>844.7168444796007</v>
      </c>
      <c r="BI59" s="59">
        <f ca="1">AVERAGE(OFFSET($BH$3,0,0,'Données projet'!$E$11+1,1))-AVERAGE(OFFSET($H$3,0,0,'Données projet'!$E$11+1,1))</f>
        <v>584.62172669166989</v>
      </c>
      <c r="BJ59" s="59">
        <f t="shared" si="38"/>
        <v>141.28992520553197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33.398312173921511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33.398312173921511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326.09691594978824</v>
      </c>
      <c r="CE59" s="59">
        <f t="shared" si="40"/>
        <v>605.43570457920714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80.32298890115915</v>
      </c>
      <c r="CL59" s="21">
        <f>EXP(-LN(2)/25)*CL58+(1-EXP(-LN(2)/25))/(LN(2)/25)*Calculateur!CG59*Calculateur!CI59*VLOOKUP('Données projet'!$B$12,Paramètres!$A$1:$I$89,3,0)*0.475*44/12</f>
        <v>16.934177289075727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97.257166190234869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10.118749999999999</v>
      </c>
      <c r="CT59" s="12">
        <f>IF('Données projet'!$A$140&gt;35,CT58+CS59-DB58,IF(A59&lt;'Données projet'!$A$140,$CQ$205^A59,IF(A59='Données projet'!$A$140,'Données projet'!$B$140,CT58+CS59-DB58)))</f>
        <v>233.46250000000001</v>
      </c>
      <c r="CU59" s="17">
        <f>CT59*VLOOKUP('Données projet'!$B$13,Paramètres!$A$1:$I$89,3,0)*VLOOKUP('Données projet'!$B$13,Paramètres!$A$1:$I$89,5,0)</f>
        <v>211.23686999999998</v>
      </c>
      <c r="CV59" s="13">
        <f t="shared" si="41"/>
        <v>52.205780463272028</v>
      </c>
      <c r="CW59" s="20">
        <f t="shared" si="13"/>
        <v>458.82928289019873</v>
      </c>
      <c r="CX59" s="59">
        <f t="shared" si="14"/>
        <v>752.16261622353204</v>
      </c>
      <c r="CY59" s="59">
        <f ca="1">AVERAGE(OFFSET($CX$3,0,0,'Données projet'!$E$13+1,1))-AVERAGE(OFFSET($H$3,0,0,'Données projet'!$E$13+1,1))</f>
        <v>465.85201723917186</v>
      </c>
      <c r="CZ59" s="59">
        <f t="shared" si="42"/>
        <v>110.67325285686417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27.672887229820688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27.672887229820688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</v>
      </c>
      <c r="AI60" s="13">
        <f>IF('Données projet'!$A$62&gt;35,AI59+AH60-AQ59,IF(A60&lt;'Données projet'!$A$62,$AF$205^A60,IF(A60='Données projet'!$A$62,'Données projet'!$B$62,AI59+AH60-AQ59)))</f>
        <v>180.80000000000007</v>
      </c>
      <c r="AJ60" s="13">
        <f>AI60*VLOOKUP('Données projet'!$B$10,Paramètres!$A$1:$I$89,3,0)*VLOOKUP('Données projet'!$B$10,Paramètres!$A$1:$I$89,5,0)</f>
        <v>146.66496000000006</v>
      </c>
      <c r="AK60" s="13">
        <f t="shared" si="35"/>
        <v>37.819696883427554</v>
      </c>
      <c r="AL60" s="20">
        <f t="shared" si="4"/>
        <v>321.3107774053031</v>
      </c>
      <c r="AM60" s="59">
        <f t="shared" si="5"/>
        <v>614.64411073863641</v>
      </c>
      <c r="AN60" s="59">
        <f ca="1">AVERAGE(OFFSET($AM$3,0,0,'Données projet'!$E$10+1,1))-AVERAGE(OFFSET($H$3,0,0,'Données projet'!$E$10+1,1))</f>
        <v>181.20458942529478</v>
      </c>
      <c r="AO60" s="59">
        <f t="shared" si="36"/>
        <v>144.05254691566421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20.717975313189275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20.717975313189275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10.118749999999999</v>
      </c>
      <c r="BD60" s="12">
        <f>IF('Données projet'!$A$88&gt;35,BD59+BC60-BL59,IF(A60&lt;'Données projet'!$A$88,$BA$205^A60,IF(A60='Données projet'!$A$88,'Données projet'!$B$88,BD59+BC60-BL59)))</f>
        <v>243.58125000000001</v>
      </c>
      <c r="BE60" s="13">
        <f>BD60*VLOOKUP('Données projet'!$B$11,Paramètres!$A$1:$I$89,3,0)*VLOOKUP('Données projet'!$B$11,Paramètres!$A$1:$I$89,5,0)</f>
        <v>265.990725</v>
      </c>
      <c r="BF60" s="13">
        <f t="shared" si="37"/>
        <v>63.997660510334271</v>
      </c>
      <c r="BG60" s="20">
        <f t="shared" si="7"/>
        <v>574.72977143049877</v>
      </c>
      <c r="BH60" s="59">
        <f t="shared" si="8"/>
        <v>868.06310476383214</v>
      </c>
      <c r="BI60" s="59">
        <f ca="1">AVERAGE(OFFSET($BH$3,0,0,'Données projet'!$E$11+1,1))-AVERAGE(OFFSET($H$3,0,0,'Données projet'!$E$11+1,1))</f>
        <v>584.62172669166989</v>
      </c>
      <c r="BJ60" s="59">
        <f t="shared" si="38"/>
        <v>141.28992520553197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32.74339164314987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32.74339164314987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326.09691594978824</v>
      </c>
      <c r="CE60" s="59">
        <f t="shared" si="40"/>
        <v>605.43570457920714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78.747904080993067</v>
      </c>
      <c r="CL60" s="21">
        <f>EXP(-LN(2)/25)*CL59+(1-EXP(-LN(2)/25))/(LN(2)/25)*Calculateur!CG60*Calculateur!CI60*VLOOKUP('Données projet'!$B$12,Paramètres!$A$1:$I$89,3,0)*0.475*44/12</f>
        <v>16.47111132057627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95.219015401569337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10.118749999999999</v>
      </c>
      <c r="CT60" s="12">
        <f>IF('Données projet'!$A$140&gt;35,CT59+CS60-DB59,IF(A60&lt;'Données projet'!$A$140,$CQ$205^A60,IF(A60='Données projet'!$A$140,'Données projet'!$B$140,CT59+CS60-DB59)))</f>
        <v>243.58125000000001</v>
      </c>
      <c r="CU60" s="17">
        <f>CT60*VLOOKUP('Données projet'!$B$13,Paramètres!$A$1:$I$89,3,0)*VLOOKUP('Données projet'!$B$13,Paramètres!$A$1:$I$89,5,0)</f>
        <v>220.392315</v>
      </c>
      <c r="CV60" s="13">
        <f t="shared" si="41"/>
        <v>54.200144603836982</v>
      </c>
      <c r="CW60" s="20">
        <f t="shared" si="13"/>
        <v>478.24853381001611</v>
      </c>
      <c r="CX60" s="59">
        <f t="shared" si="14"/>
        <v>771.58186714334943</v>
      </c>
      <c r="CY60" s="59">
        <f ca="1">AVERAGE(OFFSET($CX$3,0,0,'Données projet'!$E$13+1,1))-AVERAGE(OFFSET($H$3,0,0,'Données projet'!$E$13+1,1))</f>
        <v>465.85201723917186</v>
      </c>
      <c r="CZ60" s="59">
        <f t="shared" si="42"/>
        <v>110.67325285686417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27.130238790038472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27.130238790038472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</v>
      </c>
      <c r="AI61" s="13">
        <f>IF('Données projet'!$A$62&gt;35,AI60+AH61-AQ60,IF(A61&lt;'Données projet'!$A$62,$AF$205^A61,IF(A61='Données projet'!$A$62,'Données projet'!$B$62,AI60+AH61-AQ60)))</f>
        <v>186.20000000000007</v>
      </c>
      <c r="AJ61" s="13">
        <f>AI61*VLOOKUP('Données projet'!$B$10,Paramètres!$A$1:$I$89,3,0)*VLOOKUP('Données projet'!$B$10,Paramètres!$A$1:$I$89,5,0)</f>
        <v>151.04544000000007</v>
      </c>
      <c r="AK61" s="13">
        <f t="shared" si="35"/>
        <v>38.816069491558714</v>
      </c>
      <c r="AL61" s="20">
        <f t="shared" si="4"/>
        <v>330.67546236446486</v>
      </c>
      <c r="AM61" s="59">
        <f t="shared" si="5"/>
        <v>624.00879569779818</v>
      </c>
      <c r="AN61" s="59">
        <f ca="1">AVERAGE(OFFSET($AM$3,0,0,'Données projet'!$E$10+1,1))-AVERAGE(OFFSET($H$3,0,0,'Données projet'!$E$10+1,1))</f>
        <v>181.20458942529478</v>
      </c>
      <c r="AO61" s="59">
        <f t="shared" si="36"/>
        <v>144.05254691566421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20.311708454014802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20.311708454014802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10.118749999999999</v>
      </c>
      <c r="BC61" s="12">
        <f t="array" ref="BC61">INDEX(BB:BB,MIN(IF(ISNUMBER(BB61:BB257),ROW(BB61:BB257),"")))</f>
        <v>10.118749999999999</v>
      </c>
      <c r="BD61" s="12">
        <f>IF('Données projet'!$A$88&gt;35,BD60+BC61-BL60,IF(A61&lt;'Données projet'!$A$88,$BA$205^A61,IF(A61='Données projet'!$A$88,'Données projet'!$B$88,BD60+BC61-BL60)))</f>
        <v>253.70000000000002</v>
      </c>
      <c r="BE61" s="13">
        <f>BD61*VLOOKUP('Données projet'!$B$11,Paramètres!$A$1:$I$89,3,0)*VLOOKUP('Données projet'!$B$11,Paramètres!$A$1:$I$89,5,0)</f>
        <v>277.04040000000003</v>
      </c>
      <c r="BF61" s="13">
        <f t="shared" si="37"/>
        <v>66.341174041033128</v>
      </c>
      <c r="BG61" s="20">
        <f t="shared" si="7"/>
        <v>598.05624145479942</v>
      </c>
      <c r="BH61" s="59">
        <f t="shared" si="8"/>
        <v>891.38957478813268</v>
      </c>
      <c r="BI61" s="59">
        <f ca="1">AVERAGE(OFFSET($BH$3,0,0,'Données projet'!$E$11+1,1))-AVERAGE(OFFSET($H$3,0,0,'Données projet'!$E$11+1,1))</f>
        <v>584.62172669166989</v>
      </c>
      <c r="BJ61" s="59">
        <f t="shared" si="38"/>
        <v>141.28992520553197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55.423787991132784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55.423787991132784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326.09691594978824</v>
      </c>
      <c r="CE61" s="59">
        <f t="shared" si="40"/>
        <v>605.43570457920714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77.203705713443568</v>
      </c>
      <c r="CL61" s="21">
        <f>EXP(-LN(2)/25)*CL60+(1-EXP(-LN(2)/25))/(LN(2)/25)*Calculateur!CG61*Calculateur!CI61*VLOOKUP('Données projet'!$B$12,Paramètres!$A$1:$I$89,3,0)*0.475*44/12</f>
        <v>16.020707915337013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93.224413628780582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10.118749999999999</v>
      </c>
      <c r="CS61" s="12">
        <f t="array" ref="CS61">INDEX(CR:CR,MIN(IF(ISNUMBER(CR61:CR257),ROW(CR61:CR257),"")))</f>
        <v>10.118749999999999</v>
      </c>
      <c r="CT61" s="12">
        <f>IF('Données projet'!$A$140&gt;35,CT60+CS61-DB60,IF(A61&lt;'Données projet'!$A$140,$CQ$205^A61,IF(A61='Données projet'!$A$140,'Données projet'!$B$140,CT60+CS61-DB60)))</f>
        <v>253.70000000000002</v>
      </c>
      <c r="CU61" s="17">
        <f>CT61*VLOOKUP('Données projet'!$B$13,Paramètres!$A$1:$I$89,3,0)*VLOOKUP('Données projet'!$B$13,Paramètres!$A$1:$I$89,5,0)</f>
        <v>229.54775999999998</v>
      </c>
      <c r="CV61" s="13">
        <f t="shared" si="41"/>
        <v>56.184885471425709</v>
      </c>
      <c r="CW61" s="20">
        <f t="shared" si="13"/>
        <v>497.65102419606643</v>
      </c>
      <c r="CX61" s="59">
        <f t="shared" si="14"/>
        <v>790.98435752939974</v>
      </c>
      <c r="CY61" s="59">
        <f ca="1">AVERAGE(OFFSET($CX$3,0,0,'Données projet'!$E$13+1,1))-AVERAGE(OFFSET($H$3,0,0,'Données projet'!$E$13+1,1))</f>
        <v>465.85201723917186</v>
      </c>
      <c r="CZ61" s="59">
        <f t="shared" si="42"/>
        <v>110.67325285686417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0.43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45.922567192652878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45.922567192652878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</v>
      </c>
      <c r="AI62" s="13">
        <f>IF('Données projet'!$A$62&gt;35,AI61+AH62-AQ61,IF(A62&lt;'Données projet'!$A$62,$AF$205^A62,IF(A62='Données projet'!$A$62,'Données projet'!$B$62,AI61+AH62-AQ61)))</f>
        <v>191.60000000000008</v>
      </c>
      <c r="AJ62" s="13">
        <f>AI62*VLOOKUP('Données projet'!$B$10,Paramètres!$A$1:$I$89,3,0)*VLOOKUP('Données projet'!$B$10,Paramètres!$A$1:$I$89,5,0)</f>
        <v>155.42592000000008</v>
      </c>
      <c r="AK62" s="13">
        <f t="shared" si="35"/>
        <v>39.809083793032812</v>
      </c>
      <c r="AL62" s="20">
        <f t="shared" si="4"/>
        <v>340.03429827286561</v>
      </c>
      <c r="AM62" s="59">
        <f t="shared" si="5"/>
        <v>633.36763160619898</v>
      </c>
      <c r="AN62" s="59">
        <f ca="1">AVERAGE(OFFSET($AM$3,0,0,'Données projet'!$E$10+1,1))-AVERAGE(OFFSET($H$3,0,0,'Données projet'!$E$10+1,1))</f>
        <v>181.20458942529478</v>
      </c>
      <c r="AO62" s="59">
        <f t="shared" si="36"/>
        <v>144.05254691566421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19.913408240150424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19.913408240150424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218.52000000000004</v>
      </c>
      <c r="BE62" s="13">
        <f>BD62*VLOOKUP('Données projet'!$B$11,Paramètres!$A$1:$I$89,3,0)*VLOOKUP('Données projet'!$B$11,Paramètres!$A$1:$I$89,5,0)</f>
        <v>238.62384000000006</v>
      </c>
      <c r="BF62" s="13">
        <f t="shared" si="37"/>
        <v>58.143343932941299</v>
      </c>
      <c r="BG62" s="20">
        <f t="shared" si="7"/>
        <v>516.86951201653949</v>
      </c>
      <c r="BH62" s="59">
        <f t="shared" si="8"/>
        <v>810.20284534987286</v>
      </c>
      <c r="BI62" s="59">
        <f ca="1">AVERAGE(OFFSET($BH$3,0,0,'Données projet'!$E$11+1,1))-AVERAGE(OFFSET($H$3,0,0,'Données projet'!$E$11+1,1))</f>
        <v>584.62172669166989</v>
      </c>
      <c r="BJ62" s="59">
        <f t="shared" si="38"/>
        <v>141.28992520553197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54.336961313799364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54.336961313799364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326.09691594978824</v>
      </c>
      <c r="CE62" s="59">
        <f t="shared" si="40"/>
        <v>605.43570457920714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75.68978813401371</v>
      </c>
      <c r="CL62" s="21">
        <f>EXP(-LN(2)/25)*CL61+(1-EXP(-LN(2)/25))/(LN(2)/25)*Calculateur!CG62*Calculateur!CI62*VLOOKUP('Données projet'!$B$12,Paramètres!$A$1:$I$89,3,0)*0.475*44/12</f>
        <v>15.582620814899709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91.272408948913423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9.75</v>
      </c>
      <c r="CT62" s="12">
        <f>IF('Données projet'!$A$140&gt;35,CT61+CS62-DB61,IF(A62&lt;'Données projet'!$A$140,$CQ$205^A62,IF(A62='Données projet'!$A$140,'Données projet'!$B$140,CT61+CS62-DB61)))</f>
        <v>218.52000000000004</v>
      </c>
      <c r="CU62" s="17">
        <f>CT62*VLOOKUP('Données projet'!$B$13,Paramètres!$A$1:$I$89,3,0)*VLOOKUP('Données projet'!$B$13,Paramètres!$A$1:$I$89,5,0)</f>
        <v>197.71689600000005</v>
      </c>
      <c r="CV62" s="13">
        <f t="shared" si="41"/>
        <v>49.242075785054176</v>
      </c>
      <c r="CW62" s="20">
        <f t="shared" si="13"/>
        <v>430.12020919230275</v>
      </c>
      <c r="CX62" s="59">
        <f t="shared" si="14"/>
        <v>723.45354252563607</v>
      </c>
      <c r="CY62" s="59">
        <f ca="1">AVERAGE(OFFSET($CX$3,0,0,'Données projet'!$E$13+1,1))-AVERAGE(OFFSET($H$3,0,0,'Données projet'!$E$13+1,1))</f>
        <v>465.85201723917186</v>
      </c>
      <c r="CZ62" s="59">
        <f t="shared" si="42"/>
        <v>110.67325285686417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45.022053660005184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45.022053660005184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197</v>
      </c>
      <c r="AG63" s="12">
        <f>VLOOKUP(A63,'Données projet'!$A$61:$I$81,9,0)</f>
        <v>5.4</v>
      </c>
      <c r="AH63" s="12">
        <f t="array" ref="AH63">INDEX(AG:AG,MIN(IF(ISNUMBER(AG63:AG259),ROW(AG63:AG259),"")))</f>
        <v>5.4</v>
      </c>
      <c r="AI63" s="13">
        <f>IF('Données projet'!$A$62&gt;35,AI62+AH63-AQ62,IF(A63&lt;'Données projet'!$A$62,$AF$205^A63,IF(A63='Données projet'!$A$62,'Données projet'!$B$62,AI62+AH63-AQ62)))</f>
        <v>197.00000000000009</v>
      </c>
      <c r="AJ63" s="13">
        <f>AI63*VLOOKUP('Données projet'!$B$10,Paramètres!$A$1:$I$89,3,0)*VLOOKUP('Données projet'!$B$10,Paramètres!$A$1:$I$89,5,0)</f>
        <v>159.80640000000008</v>
      </c>
      <c r="AK63" s="13">
        <f t="shared" si="35"/>
        <v>40.798845309789208</v>
      </c>
      <c r="AL63" s="20">
        <f t="shared" si="4"/>
        <v>349.38746891454963</v>
      </c>
      <c r="AM63" s="59">
        <f t="shared" si="5"/>
        <v>642.72080224788294</v>
      </c>
      <c r="AN63" s="59">
        <f ca="1">AVERAGE(OFFSET($AM$3,0,0,'Données projet'!$E$10+1,1))-AVERAGE(OFFSET($H$3,0,0,'Données projet'!$E$10+1,1))</f>
        <v>181.20458942529478</v>
      </c>
      <c r="AO63" s="59">
        <f t="shared" si="36"/>
        <v>144.05254691566421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24.921399033241105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24.921399033241105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228.27000000000004</v>
      </c>
      <c r="BE63" s="13">
        <f>BD63*VLOOKUP('Données projet'!$B$11,Paramètres!$A$1:$I$89,3,0)*VLOOKUP('Données projet'!$B$11,Paramètres!$A$1:$I$89,5,0)</f>
        <v>249.27084000000002</v>
      </c>
      <c r="BF63" s="13">
        <f t="shared" si="37"/>
        <v>60.429775679574341</v>
      </c>
      <c r="BG63" s="20">
        <f t="shared" si="7"/>
        <v>539.39523897525862</v>
      </c>
      <c r="BH63" s="59">
        <f t="shared" si="8"/>
        <v>832.72857230859199</v>
      </c>
      <c r="BI63" s="59">
        <f ca="1">AVERAGE(OFFSET($BH$3,0,0,'Données projet'!$E$11+1,1))-AVERAGE(OFFSET($H$3,0,0,'Données projet'!$E$11+1,1))</f>
        <v>584.62172669166989</v>
      </c>
      <c r="BJ63" s="59">
        <f t="shared" si="38"/>
        <v>141.28992520553197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53.271446644709634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53.271446644709634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326.09691594978824</v>
      </c>
      <c r="CE63" s="59">
        <f t="shared" si="40"/>
        <v>605.43570457920714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74.205557554917931</v>
      </c>
      <c r="CL63" s="21">
        <f>EXP(-LN(2)/25)*CL62+(1-EXP(-LN(2)/25))/(LN(2)/25)*Calculateur!CG63*Calculateur!CI63*VLOOKUP('Données projet'!$B$12,Paramètres!$A$1:$I$89,3,0)*0.475*44/12</f>
        <v>15.156513229261863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89.362070784179792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</v>
      </c>
      <c r="CT63" s="12">
        <f>IF('Données projet'!$A$140&gt;35,CT62+CS63-DB62,IF(A63&lt;'Données projet'!$A$140,$CQ$205^A63,IF(A63='Données projet'!$A$140,'Données projet'!$B$140,CT62+CS63-DB62)))</f>
        <v>228.27000000000004</v>
      </c>
      <c r="CU63" s="17">
        <f>CT63*VLOOKUP('Données projet'!$B$13,Paramètres!$A$1:$I$89,3,0)*VLOOKUP('Données projet'!$B$13,Paramètres!$A$1:$I$89,5,0)</f>
        <v>206.53869600000002</v>
      </c>
      <c r="CV63" s="13">
        <f t="shared" si="41"/>
        <v>51.178473620632914</v>
      </c>
      <c r="CW63" s="20">
        <f t="shared" si="13"/>
        <v>448.85740375593576</v>
      </c>
      <c r="CX63" s="59">
        <f t="shared" si="14"/>
        <v>742.19073708926908</v>
      </c>
      <c r="CY63" s="59">
        <f ca="1">AVERAGE(OFFSET($CX$3,0,0,'Données projet'!$E$13+1,1))-AVERAGE(OFFSET($H$3,0,0,'Données projet'!$E$13+1,1))</f>
        <v>465.85201723917186</v>
      </c>
      <c r="CZ63" s="59">
        <f t="shared" si="42"/>
        <v>110.67325285686417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44.139198648473695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44.139198648473695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</v>
      </c>
      <c r="AI64" s="13">
        <f>IF('Données projet'!$A$62&gt;35,AI63+AH64-AQ63,IF(A64&lt;'Données projet'!$A$62,$AF$205^A64,IF(A64='Données projet'!$A$62,'Données projet'!$B$62,AI63+AH64-AQ63)))</f>
        <v>188.00000000000009</v>
      </c>
      <c r="AJ64" s="13">
        <f>AI64*VLOOKUP('Données projet'!$B$10,Paramètres!$A$1:$I$89,3,0)*VLOOKUP('Données projet'!$B$10,Paramètres!$A$1:$I$89,5,0)</f>
        <v>152.50560000000007</v>
      </c>
      <c r="AK64" s="13">
        <f t="shared" si="35"/>
        <v>39.147442061162252</v>
      </c>
      <c r="AL64" s="20">
        <f t="shared" si="4"/>
        <v>333.79571492319104</v>
      </c>
      <c r="AM64" s="59">
        <f t="shared" si="5"/>
        <v>627.12904825652436</v>
      </c>
      <c r="AN64" s="59">
        <f ca="1">AVERAGE(OFFSET($AM$3,0,0,'Données projet'!$E$10+1,1))-AVERAGE(OFFSET($H$3,0,0,'Données projet'!$E$10+1,1))</f>
        <v>181.20458942529478</v>
      </c>
      <c r="AO64" s="59">
        <f t="shared" si="36"/>
        <v>144.05254691566421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24.432705598751728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24.432705598751728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</v>
      </c>
      <c r="BD64" s="12">
        <f>IF('Données projet'!$A$88&gt;35,BD63+BC64-BL63,IF(A64&lt;'Données projet'!$A$88,$BA$205^A64,IF(A64='Données projet'!$A$88,'Données projet'!$B$88,BD63+BC64-BL63)))</f>
        <v>238.02000000000004</v>
      </c>
      <c r="BE64" s="13">
        <f>BD64*VLOOKUP('Données projet'!$B$11,Paramètres!$A$1:$I$89,3,0)*VLOOKUP('Données projet'!$B$11,Paramètres!$A$1:$I$89,5,0)</f>
        <v>259.91784000000001</v>
      </c>
      <c r="BF64" s="13">
        <f t="shared" si="37"/>
        <v>62.704864442196971</v>
      </c>
      <c r="BG64" s="20">
        <f t="shared" si="7"/>
        <v>561.90121023682639</v>
      </c>
      <c r="BH64" s="59">
        <f t="shared" si="8"/>
        <v>855.23454357015976</v>
      </c>
      <c r="BI64" s="59">
        <f ca="1">AVERAGE(OFFSET($BH$3,0,0,'Données projet'!$E$11+1,1))-AVERAGE(OFFSET($H$3,0,0,'Données projet'!$E$11+1,1))</f>
        <v>584.62172669166989</v>
      </c>
      <c r="BJ64" s="59">
        <f t="shared" si="38"/>
        <v>141.28992520553197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52.226826068380973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52.226826068380973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326.09691594978824</v>
      </c>
      <c r="CE64" s="59">
        <f t="shared" si="40"/>
        <v>605.43570457920714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72.750431832186948</v>
      </c>
      <c r="CL64" s="21">
        <f>EXP(-LN(2)/25)*CL63+(1-EXP(-LN(2)/25))/(LN(2)/25)*Calculateur!CG64*Calculateur!CI64*VLOOKUP('Données projet'!$B$12,Paramètres!$A$1:$I$89,3,0)*0.475*44/12</f>
        <v>14.742057577961308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87.492489410148252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</v>
      </c>
      <c r="CT64" s="12">
        <f>IF('Données projet'!$A$140&gt;35,CT63+CS64-DB63,IF(A64&lt;'Données projet'!$A$140,$CQ$205^A64,IF(A64='Données projet'!$A$140,'Données projet'!$B$140,CT63+CS64-DB63)))</f>
        <v>238.02000000000004</v>
      </c>
      <c r="CU64" s="17">
        <f>CT64*VLOOKUP('Données projet'!$B$13,Paramètres!$A$1:$I$89,3,0)*VLOOKUP('Données projet'!$B$13,Paramètres!$A$1:$I$89,5,0)</f>
        <v>215.36049600000001</v>
      </c>
      <c r="CV64" s="13">
        <f t="shared" si="41"/>
        <v>53.105264989839284</v>
      </c>
      <c r="CW64" s="20">
        <f t="shared" si="13"/>
        <v>467.57786705730337</v>
      </c>
      <c r="CX64" s="59">
        <f t="shared" si="14"/>
        <v>760.91120039063662</v>
      </c>
      <c r="CY64" s="59">
        <f ca="1">AVERAGE(OFFSET($CX$3,0,0,'Données projet'!$E$13+1,1))-AVERAGE(OFFSET($H$3,0,0,'Données projet'!$E$13+1,1))</f>
        <v>465.85201723917186</v>
      </c>
      <c r="CZ64" s="59">
        <f t="shared" si="42"/>
        <v>110.67325285686417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43.27365588522995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43.27365588522995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</v>
      </c>
      <c r="AI65" s="13">
        <f>IF('Données projet'!$A$62&gt;35,AI64+AH65-AQ64,IF(A65&lt;'Données projet'!$A$62,$AF$205^A65,IF(A65='Données projet'!$A$62,'Données projet'!$B$62,AI64+AH65-AQ64)))</f>
        <v>193.00000000000009</v>
      </c>
      <c r="AJ65" s="13">
        <f>AI65*VLOOKUP('Données projet'!$B$10,Paramètres!$A$1:$I$89,3,0)*VLOOKUP('Données projet'!$B$10,Paramètres!$A$1:$I$89,5,0)</f>
        <v>156.56160000000008</v>
      </c>
      <c r="AK65" s="13">
        <f t="shared" si="35"/>
        <v>40.065996859746512</v>
      </c>
      <c r="AL65" s="20">
        <f t="shared" si="4"/>
        <v>342.45973119739205</v>
      </c>
      <c r="AM65" s="59">
        <f t="shared" si="5"/>
        <v>635.79306453072536</v>
      </c>
      <c r="AN65" s="59">
        <f ca="1">AVERAGE(OFFSET($AM$3,0,0,'Données projet'!$E$10+1,1))-AVERAGE(OFFSET($H$3,0,0,'Données projet'!$E$10+1,1))</f>
        <v>181.20458942529478</v>
      </c>
      <c r="AO65" s="59">
        <f t="shared" si="36"/>
        <v>144.05254691566421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23.953595144439124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23.953595144439124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9.75</v>
      </c>
      <c r="BD65" s="12">
        <f>IF('Données projet'!$A$88&gt;35,BD64+BC65-BL64,IF(A65&lt;'Données projet'!$A$88,$BA$205^A65,IF(A65='Données projet'!$A$88,'Données projet'!$B$88,BD64+BC65-BL64)))</f>
        <v>247.77000000000004</v>
      </c>
      <c r="BE65" s="13">
        <f>BD65*VLOOKUP('Données projet'!$B$11,Paramètres!$A$1:$I$89,3,0)*VLOOKUP('Données projet'!$B$11,Paramètres!$A$1:$I$89,5,0)</f>
        <v>270.56484000000006</v>
      </c>
      <c r="BF65" s="13">
        <f t="shared" si="37"/>
        <v>64.969128007691353</v>
      </c>
      <c r="BG65" s="20">
        <f t="shared" si="7"/>
        <v>584.38832761339597</v>
      </c>
      <c r="BH65" s="59">
        <f t="shared" si="8"/>
        <v>877.72166094672934</v>
      </c>
      <c r="BI65" s="59">
        <f ca="1">AVERAGE(OFFSET($BH$3,0,0,'Données projet'!$E$11+1,1))-AVERAGE(OFFSET($H$3,0,0,'Données projet'!$E$11+1,1))</f>
        <v>584.62172669166989</v>
      </c>
      <c r="BJ65" s="59">
        <f t="shared" si="38"/>
        <v>141.28992520553197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51.202689864398479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51.202689864398479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326.09691594978824</v>
      </c>
      <c r="CE65" s="59">
        <f t="shared" si="40"/>
        <v>605.43570457920714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71.323840237339667</v>
      </c>
      <c r="CL65" s="21">
        <f>EXP(-LN(2)/25)*CL64+(1-EXP(-LN(2)/25))/(LN(2)/25)*Calculateur!CG65*Calculateur!CI65*VLOOKUP('Données projet'!$B$12,Paramètres!$A$1:$I$89,3,0)*0.475*44/12</f>
        <v>14.338935238240841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85.662775475580503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</v>
      </c>
      <c r="CT65" s="12">
        <f>IF('Données projet'!$A$140&gt;35,CT64+CS65-DB64,IF(A65&lt;'Données projet'!$A$140,$CQ$205^A65,IF(A65='Données projet'!$A$140,'Données projet'!$B$140,CT64+CS65-DB64)))</f>
        <v>247.77000000000004</v>
      </c>
      <c r="CU65" s="17">
        <f>CT65*VLOOKUP('Données projet'!$B$13,Paramètres!$A$1:$I$89,3,0)*VLOOKUP('Données projet'!$B$13,Paramètres!$A$1:$I$89,5,0)</f>
        <v>224.18229600000001</v>
      </c>
      <c r="CV65" s="13">
        <f t="shared" si="41"/>
        <v>55.022888410638771</v>
      </c>
      <c r="CW65" s="20">
        <f t="shared" si="13"/>
        <v>486.28236284852915</v>
      </c>
      <c r="CX65" s="59">
        <f t="shared" si="14"/>
        <v>779.6156961818624</v>
      </c>
      <c r="CY65" s="59">
        <f ca="1">AVERAGE(OFFSET($CX$3,0,0,'Données projet'!$E$13+1,1))-AVERAGE(OFFSET($H$3,0,0,'Données projet'!$E$13+1,1))</f>
        <v>465.85201723917186</v>
      </c>
      <c r="CZ65" s="59">
        <f t="shared" si="42"/>
        <v>110.67325285686417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42.425085887644457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42.425085887644457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</v>
      </c>
      <c r="AI66" s="13">
        <f>IF('Données projet'!$A$62&gt;35,AI65+AH66-AQ65,IF(A66&lt;'Données projet'!$A$62,$AF$205^A66,IF(A66='Données projet'!$A$62,'Données projet'!$B$62,AI65+AH66-AQ65)))</f>
        <v>198.00000000000009</v>
      </c>
      <c r="AJ66" s="13">
        <f>AI66*VLOOKUP('Données projet'!$B$10,Paramètres!$A$1:$I$89,3,0)*VLOOKUP('Données projet'!$B$10,Paramètres!$A$1:$I$89,5,0)</f>
        <v>160.6176000000001</v>
      </c>
      <c r="AK66" s="13">
        <f t="shared" si="35"/>
        <v>40.981785561145109</v>
      </c>
      <c r="AL66" s="20">
        <f t="shared" si="4"/>
        <v>351.11892985232788</v>
      </c>
      <c r="AM66" s="59">
        <f t="shared" si="5"/>
        <v>644.4522631856612</v>
      </c>
      <c r="AN66" s="59">
        <f ca="1">AVERAGE(OFFSET($AM$3,0,0,'Données projet'!$E$10+1,1))-AVERAGE(OFFSET($H$3,0,0,'Données projet'!$E$10+1,1))</f>
        <v>181.20458942529478</v>
      </c>
      <c r="AO66" s="59">
        <f t="shared" si="36"/>
        <v>144.05254691566421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23.483879753907068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23.483879753907068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9.75</v>
      </c>
      <c r="BD66" s="12">
        <f>IF('Données projet'!$A$88&gt;35,BD65+BC66-BL65,IF(A66&lt;'Données projet'!$A$88,$BA$205^A66,IF(A66='Données projet'!$A$88,'Données projet'!$B$88,BD65+BC66-BL65)))</f>
        <v>257.52000000000004</v>
      </c>
      <c r="BE66" s="13">
        <f>BD66*VLOOKUP('Données projet'!$B$11,Paramètres!$A$1:$I$89,3,0)*VLOOKUP('Données projet'!$B$11,Paramètres!$A$1:$I$89,5,0)</f>
        <v>281.21184000000005</v>
      </c>
      <c r="BF66" s="13">
        <f t="shared" si="37"/>
        <v>67.223041104966697</v>
      </c>
      <c r="BG66" s="20">
        <f t="shared" si="7"/>
        <v>606.85741792448368</v>
      </c>
      <c r="BH66" s="59">
        <f t="shared" si="8"/>
        <v>900.19075125781706</v>
      </c>
      <c r="BI66" s="59">
        <f ca="1">AVERAGE(OFFSET($BH$3,0,0,'Données projet'!$E$11+1,1))-AVERAGE(OFFSET($H$3,0,0,'Données projet'!$E$11+1,1))</f>
        <v>584.62172669166989</v>
      </c>
      <c r="BJ66" s="59">
        <f t="shared" si="38"/>
        <v>141.28992520553197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50.198636346714679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50.198636346714679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326.09691594978824</v>
      </c>
      <c r="CE66" s="59">
        <f t="shared" si="40"/>
        <v>605.43570457920714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69.925223233532392</v>
      </c>
      <c r="CL66" s="21">
        <f>EXP(-LN(2)/25)*CL65+(1-EXP(-LN(2)/25))/(LN(2)/25)*Calculateur!CG66*Calculateur!CI66*VLOOKUP('Données projet'!$B$12,Paramètres!$A$1:$I$89,3,0)*0.475*44/12</f>
        <v>13.946836300099314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83.872059533631699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</v>
      </c>
      <c r="CT66" s="12">
        <f>IF('Données projet'!$A$140&gt;35,CT65+CS66-DB65,IF(A66&lt;'Données projet'!$A$140,$CQ$205^A66,IF(A66='Données projet'!$A$140,'Données projet'!$B$140,CT65+CS66-DB65)))</f>
        <v>257.52000000000004</v>
      </c>
      <c r="CU66" s="17">
        <f>CT66*VLOOKUP('Données projet'!$B$13,Paramètres!$A$1:$I$89,3,0)*VLOOKUP('Données projet'!$B$13,Paramètres!$A$1:$I$89,5,0)</f>
        <v>233.00409600000003</v>
      </c>
      <c r="CV66" s="13">
        <f t="shared" si="41"/>
        <v>56.931745934845914</v>
      </c>
      <c r="CW66" s="20">
        <f t="shared" si="13"/>
        <v>504.9715913698567</v>
      </c>
      <c r="CX66" s="59">
        <f t="shared" si="14"/>
        <v>798.30492470318995</v>
      </c>
      <c r="CY66" s="59">
        <f ca="1">AVERAGE(OFFSET($CX$3,0,0,'Données projet'!$E$13+1,1))-AVERAGE(OFFSET($H$3,0,0,'Données projet'!$E$13+1,1))</f>
        <v>465.85201723917186</v>
      </c>
      <c r="CZ66" s="59">
        <f t="shared" si="42"/>
        <v>110.67325285686417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41.593155830135025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41.593155830135025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</v>
      </c>
      <c r="AI67" s="13">
        <f>IF('Données projet'!$A$62&gt;35,AI66+AH67-AQ66,IF(A67&lt;'Données projet'!$A$62,$AF$205^A67,IF(A67='Données projet'!$A$62,'Données projet'!$B$62,AI66+AH67-AQ66)))</f>
        <v>203.00000000000009</v>
      </c>
      <c r="AJ67" s="13">
        <f>AI67*VLOOKUP('Données projet'!$B$10,Paramètres!$A$1:$I$89,3,0)*VLOOKUP('Données projet'!$B$10,Paramètres!$A$1:$I$89,5,0)</f>
        <v>164.67360000000008</v>
      </c>
      <c r="AK67" s="13">
        <f t="shared" si="35"/>
        <v>41.894886049197019</v>
      </c>
      <c r="AL67" s="20">
        <f t="shared" si="4"/>
        <v>359.77344653568497</v>
      </c>
      <c r="AM67" s="59">
        <f t="shared" si="5"/>
        <v>653.10677986901828</v>
      </c>
      <c r="AN67" s="59">
        <f ca="1">AVERAGE(OFFSET($AM$3,0,0,'Données projet'!$E$10+1,1))-AVERAGE(OFFSET($H$3,0,0,'Données projet'!$E$10+1,1))</f>
        <v>181.20458942529478</v>
      </c>
      <c r="AO67" s="59">
        <f t="shared" si="36"/>
        <v>144.05254691566421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23.023375195685247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23.023375195685247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9.75</v>
      </c>
      <c r="BD67" s="12">
        <f>IF('Données projet'!$A$88&gt;35,BD66+BC67-BL66,IF(A67&lt;'Données projet'!$A$88,$BA$205^A67,IF(A67='Données projet'!$A$88,'Données projet'!$B$88,BD66+BC67-BL66)))</f>
        <v>267.27000000000004</v>
      </c>
      <c r="BE67" s="13">
        <f>BD67*VLOOKUP('Données projet'!$B$11,Paramètres!$A$1:$I$89,3,0)*VLOOKUP('Données projet'!$B$11,Paramètres!$A$1:$I$89,5,0)</f>
        <v>291.85884000000004</v>
      </c>
      <c r="BF67" s="13">
        <f t="shared" si="37"/>
        <v>69.467040479203376</v>
      </c>
      <c r="BG67" s="20">
        <f t="shared" si="7"/>
        <v>629.30924183461252</v>
      </c>
      <c r="BH67" s="59">
        <f t="shared" si="8"/>
        <v>922.64257516794578</v>
      </c>
      <c r="BI67" s="59">
        <f ca="1">AVERAGE(OFFSET($BH$3,0,0,'Données projet'!$E$11+1,1))-AVERAGE(OFFSET($H$3,0,0,'Données projet'!$E$11+1,1))</f>
        <v>584.62172669166989</v>
      </c>
      <c r="BJ67" s="59">
        <f t="shared" si="38"/>
        <v>141.28992520553197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49.214271706100483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49.214271706100483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326.09691594978824</v>
      </c>
      <c r="CE67" s="59">
        <f t="shared" si="40"/>
        <v>605.43570457920714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68.554032256097642</v>
      </c>
      <c r="CL67" s="21">
        <f>EXP(-LN(2)/25)*CL66+(1-EXP(-LN(2)/25))/(LN(2)/25)*Calculateur!CG67*Calculateur!CI67*VLOOKUP('Données projet'!$B$12,Paramètres!$A$1:$I$89,3,0)*0.475*44/12</f>
        <v>13.565459328040852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82.119491584138501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</v>
      </c>
      <c r="CT67" s="12">
        <f>IF('Données projet'!$A$140&gt;35,CT66+CS67-DB66,IF(A67&lt;'Données projet'!$A$140,$CQ$205^A67,IF(A67='Données projet'!$A$140,'Données projet'!$B$140,CT66+CS67-DB66)))</f>
        <v>267.27000000000004</v>
      </c>
      <c r="CU67" s="17">
        <f>CT67*VLOOKUP('Données projet'!$B$13,Paramètres!$A$1:$I$89,3,0)*VLOOKUP('Données projet'!$B$13,Paramètres!$A$1:$I$89,5,0)</f>
        <v>241.82589600000003</v>
      </c>
      <c r="CV67" s="13">
        <f t="shared" si="41"/>
        <v>58.832207445542991</v>
      </c>
      <c r="CW67" s="20">
        <f t="shared" si="13"/>
        <v>523.64619683432079</v>
      </c>
      <c r="CX67" s="59">
        <f t="shared" si="14"/>
        <v>816.97953016765405</v>
      </c>
      <c r="CY67" s="59">
        <f ca="1">AVERAGE(OFFSET($CX$3,0,0,'Données projet'!$E$13+1,1))-AVERAGE(OFFSET($H$3,0,0,'Données projet'!$E$13+1,1))</f>
        <v>465.85201723917186</v>
      </c>
      <c r="CZ67" s="59">
        <f t="shared" si="42"/>
        <v>110.67325285686417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40.777539413626123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40.777539413626123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208</v>
      </c>
      <c r="AG68" s="12">
        <f>VLOOKUP(A68,'Données projet'!$A$61:$I$81,9,0)</f>
        <v>5</v>
      </c>
      <c r="AH68" s="12">
        <f t="array" ref="AH68">INDEX(AG:AG,MIN(IF(ISNUMBER(AG68:AG264),ROW(AG68:AG264),"")))</f>
        <v>5</v>
      </c>
      <c r="AI68" s="13">
        <f>IF('Données projet'!$A$62&gt;35,AI67+AH68-AQ67,IF(A68&lt;'Données projet'!$A$62,$AF$205^A68,IF(A68='Données projet'!$A$62,'Données projet'!$B$62,AI67+AH68-AQ67)))</f>
        <v>208.00000000000009</v>
      </c>
      <c r="AJ68" s="13">
        <f>AI68*VLOOKUP('Données projet'!$B$10,Paramètres!$A$1:$I$89,3,0)*VLOOKUP('Données projet'!$B$10,Paramètres!$A$1:$I$89,5,0)</f>
        <v>168.72960000000009</v>
      </c>
      <c r="AK68" s="13">
        <f t="shared" si="35"/>
        <v>42.805372152385111</v>
      </c>
      <c r="AL68" s="20">
        <f t="shared" ref="AL68:AL131" si="58">(AJ68+AK68)*0.475*44/12</f>
        <v>368.42340983207083</v>
      </c>
      <c r="AM68" s="59">
        <f t="shared" ref="AM68:AM131" si="59">AL68+(AD68+AE68)*44/12</f>
        <v>661.75674316540415</v>
      </c>
      <c r="AN68" s="59">
        <f ca="1">AVERAGE(OFFSET($AM$3,0,0,'Données projet'!$E$10+1,1))-AVERAGE(OFFSET($H$3,0,0,'Données projet'!$E$10+1,1))</f>
        <v>181.20458942529478</v>
      </c>
      <c r="AO68" s="59">
        <f t="shared" si="36"/>
        <v>144.05254691566421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14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27.970381433670429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27.970381433670429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9.75</v>
      </c>
      <c r="BD68" s="12">
        <f>IF('Données projet'!$A$88&gt;35,BD67+BC68-BL67,IF(A68&lt;'Données projet'!$A$88,$BA$205^A68,IF(A68='Données projet'!$A$88,'Données projet'!$B$88,BD67+BC68-BL67)))</f>
        <v>277.02000000000004</v>
      </c>
      <c r="BE68" s="13">
        <f>BD68*VLOOKUP('Données projet'!$B$11,Paramètres!$A$1:$I$89,3,0)*VLOOKUP('Données projet'!$B$11,Paramètres!$A$1:$I$89,5,0)</f>
        <v>302.50584000000003</v>
      </c>
      <c r="BF68" s="13">
        <f t="shared" si="37"/>
        <v>71.70152920485296</v>
      </c>
      <c r="BG68" s="20">
        <f t="shared" ref="BG68:BG131" si="61">(BE68+BF68)*0.475*44/12</f>
        <v>651.74450136511894</v>
      </c>
      <c r="BH68" s="59">
        <f t="shared" ref="BH68:BH131" si="62">BG68+(AY68+AZ68)*44/12</f>
        <v>945.07783469845231</v>
      </c>
      <c r="BI68" s="59">
        <f ca="1">AVERAGE(OFFSET($BH$3,0,0,'Données projet'!$E$11+1,1))-AVERAGE(OFFSET($H$3,0,0,'Données projet'!$E$11+1,1))</f>
        <v>584.62172669166989</v>
      </c>
      <c r="BJ68" s="59">
        <f t="shared" si="38"/>
        <v>141.28992520553197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48.249209855685585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48.249209855685585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326.09691594978824</v>
      </c>
      <c r="CE68" s="59">
        <f t="shared" si="40"/>
        <v>605.43570457920714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67.209729497386476</v>
      </c>
      <c r="CL68" s="21">
        <f>EXP(-LN(2)/25)*CL67+(1-EXP(-LN(2)/25))/(LN(2)/25)*Calculateur!CG68*Calculateur!CI68*VLOOKUP('Données projet'!$B$12,Paramètres!$A$1:$I$89,3,0)*0.475*44/12</f>
        <v>13.194511129339073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80.404240626725553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</v>
      </c>
      <c r="CT68" s="12">
        <f>IF('Données projet'!$A$140&gt;35,CT67+CS68-DB67,IF(A68&lt;'Données projet'!$A$140,$CQ$205^A68,IF(A68='Données projet'!$A$140,'Données projet'!$B$140,CT67+CS68-DB67)))</f>
        <v>277.02000000000004</v>
      </c>
      <c r="CU68" s="17">
        <f>CT68*VLOOKUP('Données projet'!$B$13,Paramètres!$A$1:$I$89,3,0)*VLOOKUP('Données projet'!$B$13,Paramètres!$A$1:$I$89,5,0)</f>
        <v>250.64769600000002</v>
      </c>
      <c r="CV68" s="13">
        <f t="shared" si="41"/>
        <v>60.724614309795427</v>
      </c>
      <c r="CW68" s="20">
        <f t="shared" ref="CW68:CW131" si="67">(CU68+CV68)*0.475*44/12</f>
        <v>542.30677378956045</v>
      </c>
      <c r="CX68" s="59">
        <f t="shared" ref="CX68:CX131" si="68">CW68+(CO68+CP68)*44/12</f>
        <v>835.64010712289382</v>
      </c>
      <c r="CY68" s="59">
        <f ca="1">AVERAGE(OFFSET($CX$3,0,0,'Données projet'!$E$13+1,1))-AVERAGE(OFFSET($H$3,0,0,'Données projet'!$E$13+1,1))</f>
        <v>465.85201723917186</v>
      </c>
      <c r="CZ68" s="59">
        <f t="shared" si="42"/>
        <v>110.67325285686417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39.977916737568066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39.977916737568066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198.8000000000001</v>
      </c>
      <c r="AJ69" s="13">
        <f>AI69*VLOOKUP('Données projet'!$B$10,Paramètres!$A$1:$I$89,3,0)*VLOOKUP('Données projet'!$B$10,Paramètres!$A$1:$I$89,5,0)</f>
        <v>161.26656000000008</v>
      </c>
      <c r="AK69" s="13">
        <f t="shared" ref="AK69:AK132" si="89">EXP(-1.0587+0.8836*LN(AJ69)+0.284)</f>
        <v>41.128060321982552</v>
      </c>
      <c r="AL69" s="20">
        <f t="shared" si="58"/>
        <v>352.50396372745308</v>
      </c>
      <c r="AM69" s="59">
        <f t="shared" si="59"/>
        <v>645.83729706078634</v>
      </c>
      <c r="AN69" s="59">
        <f ca="1">AVERAGE(OFFSET($AM$3,0,0,'Données projet'!$E$10+1,1))-AVERAGE(OFFSET($H$3,0,0,'Données projet'!$E$10+1,1))</f>
        <v>181.20458942529478</v>
      </c>
      <c r="AO69" s="59">
        <f t="shared" ref="AO69:AO132" si="90">$AO$3</f>
        <v>144.05254691566421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27.421899314004268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27.421899314004268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9.75</v>
      </c>
      <c r="BC69" s="12">
        <f t="array" ref="BC69">INDEX(BB:BB,MIN(IF(ISNUMBER(BB69:BB265),ROW(BB69:BB265),"")))</f>
        <v>9.75</v>
      </c>
      <c r="BD69" s="12">
        <f>IF('Données projet'!$A$88&gt;35,BD68+BC69-BL68,IF(A69&lt;'Données projet'!$A$88,$BA$205^A69,IF(A69='Données projet'!$A$88,'Données projet'!$B$88,BD68+BC69-BL68)))</f>
        <v>286.77000000000004</v>
      </c>
      <c r="BE69" s="13">
        <f>BD69*VLOOKUP('Données projet'!$B$11,Paramètres!$A$1:$I$89,3,0)*VLOOKUP('Données projet'!$B$11,Paramètres!$A$1:$I$89,5,0)</f>
        <v>313.15284000000003</v>
      </c>
      <c r="BF69" s="13">
        <f t="shared" ref="BF69:BF132" si="91">EXP(-1.0587+0.8836*LN(BE69)+0.284)</f>
        <v>73.926880374375301</v>
      </c>
      <c r="BG69" s="20">
        <f t="shared" si="61"/>
        <v>674.16384631870358</v>
      </c>
      <c r="BH69" s="59">
        <f t="shared" si="62"/>
        <v>967.49717965203695</v>
      </c>
      <c r="BI69" s="59">
        <f ca="1">AVERAGE(OFFSET($BH$3,0,0,'Données projet'!$E$11+1,1))-AVERAGE(OFFSET($H$3,0,0,'Données projet'!$E$11+1,1))</f>
        <v>584.62172669166989</v>
      </c>
      <c r="BJ69" s="59">
        <f t="shared" ref="BJ69:BJ132" si="92">$BJ$3</f>
        <v>141.28992520553197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0.43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73.210588229775112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73.210588229775112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326.09691594978824</v>
      </c>
      <c r="CE69" s="59">
        <f t="shared" ref="CE69:CE132" si="94">$CE$3</f>
        <v>605.43570457920714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65.891787695829905</v>
      </c>
      <c r="CL69" s="21">
        <f>EXP(-LN(2)/25)*CL68+(1-EXP(-LN(2)/25))/(LN(2)/25)*Calculateur!CG69*Calculateur!CI69*VLOOKUP('Données projet'!$B$12,Paramètres!$A$1:$I$89,3,0)*0.475*44/12</f>
        <v>12.833706528638112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78.725494224468022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9.75</v>
      </c>
      <c r="CS69" s="12">
        <f t="array" ref="CS69">INDEX(CR:CR,MIN(IF(ISNUMBER(CR69:CR265),ROW(CR69:CR265),"")))</f>
        <v>9.75</v>
      </c>
      <c r="CT69" s="12">
        <f>IF('Données projet'!$A$140&gt;35,CT68+CS69-DB68,IF(A69&lt;'Données projet'!$A$140,$CQ$205^A69,IF(A69='Données projet'!$A$140,'Données projet'!$B$140,CT68+CS69-DB68)))</f>
        <v>286.77000000000004</v>
      </c>
      <c r="CU69" s="17">
        <f>CT69*VLOOKUP('Données projet'!$B$13,Paramètres!$A$1:$I$89,3,0)*VLOOKUP('Données projet'!$B$13,Paramètres!$A$1:$I$89,5,0)</f>
        <v>259.46949600000005</v>
      </c>
      <c r="CV69" s="13">
        <f t="shared" ref="CV69:CV132" si="95">EXP(-1.0587+0.8836*LN(CU69)+0.284)</f>
        <v>62.609282502673445</v>
      </c>
      <c r="CW69" s="20">
        <f t="shared" si="67"/>
        <v>560.95387255882304</v>
      </c>
      <c r="CX69" s="59">
        <f t="shared" si="68"/>
        <v>854.28720589215641</v>
      </c>
      <c r="CY69" s="59">
        <f ca="1">AVERAGE(OFFSET($CX$3,0,0,'Données projet'!$E$13+1,1))-AVERAGE(OFFSET($H$3,0,0,'Données projet'!$E$13+1,1))</f>
        <v>465.85201723917186</v>
      </c>
      <c r="CZ69" s="59">
        <f t="shared" ref="CZ69:CZ132" si="96">$CZ$3</f>
        <v>110.67325285686417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0.43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60.660201676099391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60.660201676099391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203.60000000000011</v>
      </c>
      <c r="AJ70" s="13">
        <f>AI70*VLOOKUP('Données projet'!$B$10,Paramètres!$A$1:$I$89,3,0)*VLOOKUP('Données projet'!$B$10,Paramètres!$A$1:$I$89,5,0)</f>
        <v>165.1603200000001</v>
      </c>
      <c r="AK70" s="13">
        <f t="shared" si="89"/>
        <v>42.004281006119641</v>
      </c>
      <c r="AL70" s="20">
        <f t="shared" si="58"/>
        <v>360.81168008565851</v>
      </c>
      <c r="AM70" s="59">
        <f t="shared" si="59"/>
        <v>654.14501341899177</v>
      </c>
      <c r="AN70" s="59">
        <f ca="1">AVERAGE(OFFSET($AM$3,0,0,'Données projet'!$E$10+1,1))-AVERAGE(OFFSET($H$3,0,0,'Données projet'!$E$10+1,1))</f>
        <v>181.20458942529478</v>
      </c>
      <c r="AO70" s="59">
        <f t="shared" si="90"/>
        <v>144.05254691566421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26.884172594163701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26.884172594163701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9.2624999999999993</v>
      </c>
      <c r="BD70" s="12">
        <f>IF('Données projet'!$A$88&gt;35,BD69+BC70-BL69,IF(A70&lt;'Données projet'!$A$88,$BA$205^A70,IF(A70='Données projet'!$A$88,'Données projet'!$B$88,BD69+BC70-BL69)))</f>
        <v>246.12250000000003</v>
      </c>
      <c r="BE70" s="13">
        <f>BD70*VLOOKUP('Données projet'!$B$11,Paramètres!$A$1:$I$89,3,0)*VLOOKUP('Données projet'!$B$11,Paramètres!$A$1:$I$89,5,0)</f>
        <v>268.76577000000003</v>
      </c>
      <c r="BF70" s="13">
        <f t="shared" si="91"/>
        <v>64.587264726665225</v>
      </c>
      <c r="BG70" s="20">
        <f t="shared" si="61"/>
        <v>580.58986881560872</v>
      </c>
      <c r="BH70" s="59">
        <f t="shared" si="62"/>
        <v>873.92320214894198</v>
      </c>
      <c r="BI70" s="59">
        <f ca="1">AVERAGE(OFFSET($BH$3,0,0,'Données projet'!$E$11+1,1))-AVERAGE(OFFSET($H$3,0,0,'Données projet'!$E$11+1,1))</f>
        <v>584.62172669166989</v>
      </c>
      <c r="BJ70" s="59">
        <f t="shared" si="92"/>
        <v>141.28992520553197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71.774973248638815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71.774973248638815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326.09691594978824</v>
      </c>
      <c r="CE70" s="59">
        <f t="shared" si="94"/>
        <v>605.43570457920714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64.599689929136744</v>
      </c>
      <c r="CL70" s="21">
        <f>EXP(-LN(2)/25)*CL69+(1-EXP(-LN(2)/25))/(LN(2)/25)*Calculateur!CG70*Calculateur!CI70*VLOOKUP('Données projet'!$B$12,Paramètres!$A$1:$I$89,3,0)*0.475*44/12</f>
        <v>12.482768148717209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77.082458077853957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9.2624999999999993</v>
      </c>
      <c r="CT70" s="12">
        <f>IF('Données projet'!$A$140&gt;35,CT69+CS70-DB69,IF(A70&lt;'Données projet'!$A$140,$CQ$205^A70,IF(A70='Données projet'!$A$140,'Données projet'!$B$140,CT69+CS70-DB69)))</f>
        <v>246.12250000000003</v>
      </c>
      <c r="CU70" s="17">
        <f>CT70*VLOOKUP('Données projet'!$B$13,Paramètres!$A$1:$I$89,3,0)*VLOOKUP('Données projet'!$B$13,Paramètres!$A$1:$I$89,5,0)</f>
        <v>222.69163800000004</v>
      </c>
      <c r="CV70" s="13">
        <f t="shared" si="95"/>
        <v>54.699485259875743</v>
      </c>
      <c r="CW70" s="20">
        <f t="shared" si="67"/>
        <v>483.12287301095034</v>
      </c>
      <c r="CX70" s="59">
        <f t="shared" si="68"/>
        <v>776.4562063442836</v>
      </c>
      <c r="CY70" s="59">
        <f ca="1">AVERAGE(OFFSET($CX$3,0,0,'Données projet'!$E$13+1,1))-AVERAGE(OFFSET($H$3,0,0,'Données projet'!$E$13+1,1))</f>
        <v>465.85201723917186</v>
      </c>
      <c r="CZ70" s="59">
        <f t="shared" si="96"/>
        <v>110.67325285686417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59.470692120300747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59.470692120300747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208.40000000000012</v>
      </c>
      <c r="AJ71" s="13">
        <f>AI71*VLOOKUP('Données projet'!$B$10,Paramètres!$A$1:$I$89,3,0)*VLOOKUP('Données projet'!$B$10,Paramètres!$A$1:$I$89,5,0)</f>
        <v>169.05408000000011</v>
      </c>
      <c r="AK71" s="13">
        <f t="shared" si="89"/>
        <v>42.878100222794899</v>
      </c>
      <c r="AL71" s="20">
        <f t="shared" si="58"/>
        <v>369.1152138880347</v>
      </c>
      <c r="AM71" s="59">
        <f t="shared" si="59"/>
        <v>662.44854722136802</v>
      </c>
      <c r="AN71" s="59">
        <f ca="1">AVERAGE(OFFSET($AM$3,0,0,'Données projet'!$E$10+1,1))-AVERAGE(OFFSET($H$3,0,0,'Données projet'!$E$10+1,1))</f>
        <v>181.20458942529478</v>
      </c>
      <c r="AO71" s="59">
        <f t="shared" si="90"/>
        <v>144.05254691566421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26.356990367318293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26.356990367318293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9.2624999999999993</v>
      </c>
      <c r="BD71" s="12">
        <f>IF('Données projet'!$A$88&gt;35,BD70+BC71-BL70,IF(A71&lt;'Données projet'!$A$88,$BA$205^A71,IF(A71='Données projet'!$A$88,'Données projet'!$B$88,BD70+BC71-BL70)))</f>
        <v>255.38500000000002</v>
      </c>
      <c r="BE71" s="13">
        <f>BD71*VLOOKUP('Données projet'!$B$11,Paramètres!$A$1:$I$89,3,0)*VLOOKUP('Données projet'!$B$11,Paramètres!$A$1:$I$89,5,0)</f>
        <v>278.88042000000002</v>
      </c>
      <c r="BF71" s="13">
        <f t="shared" si="91"/>
        <v>66.730354301196869</v>
      </c>
      <c r="BG71" s="20">
        <f t="shared" si="61"/>
        <v>601.9387652412513</v>
      </c>
      <c r="BH71" s="59">
        <f t="shared" si="62"/>
        <v>895.27209857458456</v>
      </c>
      <c r="BI71" s="59">
        <f ca="1">AVERAGE(OFFSET($BH$3,0,0,'Données projet'!$E$11+1,1))-AVERAGE(OFFSET($H$3,0,0,'Données projet'!$E$11+1,1))</f>
        <v>584.62172669166989</v>
      </c>
      <c r="BJ71" s="59">
        <f t="shared" si="92"/>
        <v>141.28992520553197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70.367509801643934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70.367509801643934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326.09691594978824</v>
      </c>
      <c r="CE71" s="59">
        <f t="shared" si="94"/>
        <v>605.43570457920714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63.332929411546615</v>
      </c>
      <c r="CL71" s="21">
        <f>EXP(-LN(2)/25)*CL70+(1-EXP(-LN(2)/25))/(LN(2)/25)*Calculateur!CG71*Calculateur!CI71*VLOOKUP('Données projet'!$B$12,Paramètres!$A$1:$I$89,3,0)*0.475*44/12</f>
        <v>12.14142619725029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75.474355608796913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9.2624999999999993</v>
      </c>
      <c r="CT71" s="12">
        <f>IF('Données projet'!$A$140&gt;35,CT70+CS71-DB70,IF(A71&lt;'Données projet'!$A$140,$CQ$205^A71,IF(A71='Données projet'!$A$140,'Données projet'!$B$140,CT70+CS71-DB70)))</f>
        <v>255.38500000000002</v>
      </c>
      <c r="CU71" s="17">
        <f>CT71*VLOOKUP('Données projet'!$B$13,Paramètres!$A$1:$I$89,3,0)*VLOOKUP('Données projet'!$B$13,Paramètres!$A$1:$I$89,5,0)</f>
        <v>231.07234800000001</v>
      </c>
      <c r="CV71" s="13">
        <f t="shared" si="95"/>
        <v>56.514485431949744</v>
      </c>
      <c r="CW71" s="20">
        <f t="shared" si="67"/>
        <v>500.88040156064579</v>
      </c>
      <c r="CX71" s="59">
        <f t="shared" si="68"/>
        <v>794.21373489397911</v>
      </c>
      <c r="CY71" s="59">
        <f ca="1">AVERAGE(OFFSET($CX$3,0,0,'Données projet'!$E$13+1,1))-AVERAGE(OFFSET($H$3,0,0,'Données projet'!$E$13+1,1))</f>
        <v>465.85201723917186</v>
      </c>
      <c r="CZ71" s="59">
        <f t="shared" si="96"/>
        <v>110.67325285686417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58.304508121362126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58.304508121362126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213.20000000000013</v>
      </c>
      <c r="AJ72" s="13">
        <f>AI72*VLOOKUP('Données projet'!$B$10,Paramètres!$A$1:$I$89,3,0)*VLOOKUP('Données projet'!$B$10,Paramètres!$A$1:$I$89,5,0)</f>
        <v>172.94784000000013</v>
      </c>
      <c r="AK72" s="13">
        <f t="shared" si="89"/>
        <v>43.749579650768077</v>
      </c>
      <c r="AL72" s="20">
        <f t="shared" si="58"/>
        <v>377.41467255842127</v>
      </c>
      <c r="AM72" s="59">
        <f t="shared" si="59"/>
        <v>670.74800589175459</v>
      </c>
      <c r="AN72" s="59">
        <f ca="1">AVERAGE(OFFSET($AM$3,0,0,'Données projet'!$E$10+1,1))-AVERAGE(OFFSET($H$3,0,0,'Données projet'!$E$10+1,1))</f>
        <v>181.20458942529478</v>
      </c>
      <c r="AO72" s="59">
        <f t="shared" si="90"/>
        <v>144.05254691566421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25.840145862391914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25.840145862391914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9.2624999999999993</v>
      </c>
      <c r="BD72" s="12">
        <f>IF('Données projet'!$A$88&gt;35,BD71+BC72-BL71,IF(A72&lt;'Données projet'!$A$88,$BA$205^A72,IF(A72='Données projet'!$A$88,'Données projet'!$B$88,BD71+BC72-BL71)))</f>
        <v>264.64750000000004</v>
      </c>
      <c r="BE72" s="13">
        <f>BD72*VLOOKUP('Données projet'!$B$11,Paramètres!$A$1:$I$89,3,0)*VLOOKUP('Données projet'!$B$11,Paramètres!$A$1:$I$89,5,0)</f>
        <v>288.99507</v>
      </c>
      <c r="BF72" s="13">
        <f t="shared" si="91"/>
        <v>68.864413406421249</v>
      </c>
      <c r="BG72" s="20">
        <f t="shared" si="61"/>
        <v>623.27193359951696</v>
      </c>
      <c r="BH72" s="59">
        <f t="shared" si="62"/>
        <v>916.60526693285033</v>
      </c>
      <c r="BI72" s="59">
        <f ca="1">AVERAGE(OFFSET($BH$3,0,0,'Données projet'!$E$11+1,1))-AVERAGE(OFFSET($H$3,0,0,'Données projet'!$E$11+1,1))</f>
        <v>584.62172669166989</v>
      </c>
      <c r="BJ72" s="59">
        <f t="shared" si="92"/>
        <v>141.28992520553197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68.98764585437668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68.98764585437668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326.09691594978824</v>
      </c>
      <c r="CE72" s="59">
        <f t="shared" si="94"/>
        <v>605.43570457920714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62.091009295058804</v>
      </c>
      <c r="CL72" s="21">
        <f>EXP(-LN(2)/25)*CL71+(1-EXP(-LN(2)/25))/(LN(2)/25)*Calculateur!CG72*Calculateur!CI72*VLOOKUP('Données projet'!$B$12,Paramètres!$A$1:$I$89,3,0)*0.475*44/12</f>
        <v>11.809418259396626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73.900427554455433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9.2624999999999993</v>
      </c>
      <c r="CT72" s="12">
        <f>IF('Données projet'!$A$140&gt;35,CT71+CS72-DB71,IF(A72&lt;'Données projet'!$A$140,$CQ$205^A72,IF(A72='Données projet'!$A$140,'Données projet'!$B$140,CT71+CS72-DB71)))</f>
        <v>264.64750000000004</v>
      </c>
      <c r="CU72" s="17">
        <f>CT72*VLOOKUP('Données projet'!$B$13,Paramètres!$A$1:$I$89,3,0)*VLOOKUP('Données projet'!$B$13,Paramètres!$A$1:$I$89,5,0)</f>
        <v>239.45305800000003</v>
      </c>
      <c r="CV72" s="13">
        <f t="shared" si="95"/>
        <v>58.321837625357126</v>
      </c>
      <c r="CW72" s="20">
        <f t="shared" si="67"/>
        <v>518.62460988083035</v>
      </c>
      <c r="CX72" s="59">
        <f t="shared" si="68"/>
        <v>811.95794321416361</v>
      </c>
      <c r="CY72" s="59">
        <f ca="1">AVERAGE(OFFSET($CX$3,0,0,'Données projet'!$E$13+1,1))-AVERAGE(OFFSET($H$3,0,0,'Données projet'!$E$13+1,1))</f>
        <v>465.85201723917186</v>
      </c>
      <c r="CZ72" s="59">
        <f t="shared" si="96"/>
        <v>110.67325285686417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57.161192279340689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57.161192279340689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218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218.00000000000014</v>
      </c>
      <c r="AJ73" s="13">
        <f>AI73*VLOOKUP('Données projet'!$B$10,Paramètres!$A$1:$I$89,3,0)*VLOOKUP('Données projet'!$B$10,Paramètres!$A$1:$I$89,5,0)</f>
        <v>176.84160000000014</v>
      </c>
      <c r="AK73" s="13">
        <f t="shared" si="89"/>
        <v>44.618778032982952</v>
      </c>
      <c r="AL73" s="20">
        <f t="shared" si="58"/>
        <v>385.71015840744553</v>
      </c>
      <c r="AM73" s="59">
        <f t="shared" si="59"/>
        <v>679.04349174077879</v>
      </c>
      <c r="AN73" s="59">
        <f ca="1">AVERAGE(OFFSET($AM$3,0,0,'Données projet'!$E$10+1,1))-AVERAGE(OFFSET($H$3,0,0,'Données projet'!$E$10+1,1))</f>
        <v>181.20458942529478</v>
      </c>
      <c r="AO73" s="59">
        <f t="shared" si="90"/>
        <v>144.05254691566421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14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30.731916945663443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30.731916945663443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9.2624999999999993</v>
      </c>
      <c r="BD73" s="12">
        <f>IF('Données projet'!$A$88&gt;35,BD72+BC73-BL72,IF(A73&lt;'Données projet'!$A$88,$BA$205^A73,IF(A73='Données projet'!$A$88,'Données projet'!$B$88,BD72+BC73-BL72)))</f>
        <v>273.91000000000003</v>
      </c>
      <c r="BE73" s="13">
        <f>BD73*VLOOKUP('Données projet'!$B$11,Paramètres!$A$1:$I$89,3,0)*VLOOKUP('Données projet'!$B$11,Paramètres!$A$1:$I$89,5,0)</f>
        <v>299.10971999999998</v>
      </c>
      <c r="BF73" s="13">
        <f t="shared" si="91"/>
        <v>70.989794321139428</v>
      </c>
      <c r="BG73" s="20">
        <f t="shared" si="61"/>
        <v>644.58998744265102</v>
      </c>
      <c r="BH73" s="59">
        <f t="shared" si="62"/>
        <v>937.92332077598439</v>
      </c>
      <c r="BI73" s="59">
        <f ca="1">AVERAGE(OFFSET($BH$3,0,0,'Données projet'!$E$11+1,1))-AVERAGE(OFFSET($H$3,0,0,'Données projet'!$E$11+1,1))</f>
        <v>584.62172669166989</v>
      </c>
      <c r="BJ73" s="59">
        <f t="shared" si="92"/>
        <v>141.28992520553197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67.634840197481438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67.634840197481438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326.09691594978824</v>
      </c>
      <c r="CE73" s="59">
        <f t="shared" si="94"/>
        <v>605.43570457920714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60.873442474558843</v>
      </c>
      <c r="CL73" s="21">
        <f>EXP(-LN(2)/25)*CL72+(1-EXP(-LN(2)/25))/(LN(2)/25)*Calculateur!CG73*Calculateur!CI73*VLOOKUP('Données projet'!$B$12,Paramètres!$A$1:$I$89,3,0)*0.475*44/12</f>
        <v>11.48648909606311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72.359931570621953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9.2624999999999993</v>
      </c>
      <c r="CT73" s="12">
        <f>IF('Données projet'!$A$140&gt;35,CT72+CS73-DB72,IF(A73&lt;'Données projet'!$A$140,$CQ$205^A73,IF(A73='Données projet'!$A$140,'Données projet'!$B$140,CT72+CS73-DB72)))</f>
        <v>273.91000000000003</v>
      </c>
      <c r="CU73" s="17">
        <f>CT73*VLOOKUP('Données projet'!$B$13,Paramètres!$A$1:$I$89,3,0)*VLOOKUP('Données projet'!$B$13,Paramètres!$A$1:$I$89,5,0)</f>
        <v>247.83376800000002</v>
      </c>
      <c r="CV73" s="13">
        <f t="shared" si="95"/>
        <v>60.121840187909477</v>
      </c>
      <c r="CW73" s="20">
        <f t="shared" si="67"/>
        <v>536.3560175939424</v>
      </c>
      <c r="CX73" s="59">
        <f t="shared" si="68"/>
        <v>829.68935092727565</v>
      </c>
      <c r="CY73" s="59">
        <f ca="1">AVERAGE(OFFSET($CX$3,0,0,'Données projet'!$E$13+1,1))-AVERAGE(OFFSET($H$3,0,0,'Données projet'!$E$13+1,1))</f>
        <v>465.85201723917186</v>
      </c>
      <c r="CZ73" s="59">
        <f t="shared" si="96"/>
        <v>110.67325285686417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56.040296163627488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56.040296163627488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4.5999999999999996</v>
      </c>
      <c r="AI74" s="13">
        <f>IF('Données projet'!$A$62&gt;35,AI73+AH74-AQ73,IF(A74&lt;'Données projet'!$A$62,$AF$205^A74,IF(A74='Données projet'!$A$62,'Données projet'!$B$62,AI73+AH74-AQ73)))</f>
        <v>208.60000000000014</v>
      </c>
      <c r="AJ74" s="13">
        <f>AI74*VLOOKUP('Données projet'!$B$10,Paramètres!$A$1:$I$89,3,0)*VLOOKUP('Données projet'!$B$10,Paramètres!$A$1:$I$89,5,0)</f>
        <v>169.21632000000014</v>
      </c>
      <c r="AK74" s="13">
        <f t="shared" si="89"/>
        <v>42.91445816325745</v>
      </c>
      <c r="AL74" s="20">
        <f t="shared" si="58"/>
        <v>369.46110530100697</v>
      </c>
      <c r="AM74" s="59">
        <f t="shared" si="59"/>
        <v>662.79443863434028</v>
      </c>
      <c r="AN74" s="59">
        <f ca="1">AVERAGE(OFFSET($AM$3,0,0,'Données projet'!$E$10+1,1))-AVERAGE(OFFSET($H$3,0,0,'Données projet'!$E$10+1,1))</f>
        <v>181.20458942529478</v>
      </c>
      <c r="AO74" s="59">
        <f t="shared" si="90"/>
        <v>144.05254691566421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30.129282798977442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30.129282798977442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9.2624999999999993</v>
      </c>
      <c r="BD74" s="12">
        <f>IF('Données projet'!$A$88&gt;35,BD73+BC74-BL73,IF(A74&lt;'Données projet'!$A$88,$BA$205^A74,IF(A74='Données projet'!$A$88,'Données projet'!$B$88,BD73+BC74-BL73)))</f>
        <v>283.17250000000001</v>
      </c>
      <c r="BE74" s="13">
        <f>BD74*VLOOKUP('Données projet'!$B$11,Paramètres!$A$1:$I$89,3,0)*VLOOKUP('Données projet'!$B$11,Paramètres!$A$1:$I$89,5,0)</f>
        <v>309.22437000000002</v>
      </c>
      <c r="BF74" s="13">
        <f t="shared" si="91"/>
        <v>73.106824147265044</v>
      </c>
      <c r="BG74" s="20">
        <f t="shared" si="61"/>
        <v>665.89349647315339</v>
      </c>
      <c r="BH74" s="59">
        <f t="shared" si="62"/>
        <v>959.22682980648665</v>
      </c>
      <c r="BI74" s="59">
        <f ca="1">AVERAGE(OFFSET($BH$3,0,0,'Données projet'!$E$11+1,1))-AVERAGE(OFFSET($H$3,0,0,'Données projet'!$E$11+1,1))</f>
        <v>584.62172669166989</v>
      </c>
      <c r="BJ74" s="59">
        <f t="shared" si="92"/>
        <v>141.28992520553197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66.308562234387935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66.308562234387935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326.09691594978824</v>
      </c>
      <c r="CE74" s="59">
        <f t="shared" si="94"/>
        <v>605.43570457920714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59.679751396766456</v>
      </c>
      <c r="CL74" s="21">
        <f>EXP(-LN(2)/25)*CL73+(1-EXP(-LN(2)/25))/(LN(2)/25)*Calculateur!CG74*Calculateur!CI74*VLOOKUP('Données projet'!$B$12,Paramètres!$A$1:$I$89,3,0)*0.475*44/12</f>
        <v>11.172390447683055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70.852141844449505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9.2624999999999993</v>
      </c>
      <c r="CT74" s="12">
        <f>IF('Données projet'!$A$140&gt;35,CT73+CS74-DB73,IF(A74&lt;'Données projet'!$A$140,$CQ$205^A74,IF(A74='Données projet'!$A$140,'Données projet'!$B$140,CT73+CS74-DB73)))</f>
        <v>283.17250000000001</v>
      </c>
      <c r="CU74" s="17">
        <f>CT74*VLOOKUP('Données projet'!$B$13,Paramètres!$A$1:$I$89,3,0)*VLOOKUP('Données projet'!$B$13,Paramètres!$A$1:$I$89,5,0)</f>
        <v>256.21447799999999</v>
      </c>
      <c r="CV74" s="13">
        <f t="shared" si="95"/>
        <v>61.914770144905688</v>
      </c>
      <c r="CW74" s="20">
        <f t="shared" si="67"/>
        <v>554.07510718571075</v>
      </c>
      <c r="CX74" s="59">
        <f t="shared" si="68"/>
        <v>847.40844051904401</v>
      </c>
      <c r="CY74" s="59">
        <f ca="1">AVERAGE(OFFSET($CX$3,0,0,'Données projet'!$E$13+1,1))-AVERAGE(OFFSET($H$3,0,0,'Données projet'!$E$13+1,1))</f>
        <v>465.85201723917186</v>
      </c>
      <c r="CZ74" s="59">
        <f t="shared" si="96"/>
        <v>110.67325285686417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54.9413801370643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54.9413801370643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4.5999999999999996</v>
      </c>
      <c r="AI75" s="13">
        <f>IF('Données projet'!$A$62&gt;35,AI74+AH75-AQ74,IF(A75&lt;'Données projet'!$A$62,$AF$205^A75,IF(A75='Données projet'!$A$62,'Données projet'!$B$62,AI74+AH75-AQ74)))</f>
        <v>213.20000000000013</v>
      </c>
      <c r="AJ75" s="13">
        <f>AI75*VLOOKUP('Données projet'!$B$10,Paramètres!$A$1:$I$89,3,0)*VLOOKUP('Données projet'!$B$10,Paramètres!$A$1:$I$89,5,0)</f>
        <v>172.94784000000013</v>
      </c>
      <c r="AK75" s="13">
        <f t="shared" si="89"/>
        <v>43.749579650768077</v>
      </c>
      <c r="AL75" s="20">
        <f t="shared" si="58"/>
        <v>377.41467255842127</v>
      </c>
      <c r="AM75" s="59">
        <f t="shared" si="59"/>
        <v>670.74800589175459</v>
      </c>
      <c r="AN75" s="59">
        <f ca="1">AVERAGE(OFFSET($AM$3,0,0,'Données projet'!$E$10+1,1))-AVERAGE(OFFSET($H$3,0,0,'Données projet'!$E$10+1,1))</f>
        <v>181.20458942529478</v>
      </c>
      <c r="AO75" s="59">
        <f t="shared" si="90"/>
        <v>144.05254691566421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29.538465940337421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29.538465940337421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9.2624999999999993</v>
      </c>
      <c r="BD75" s="12">
        <f>IF('Données projet'!$A$88&gt;35,BD74+BC75-BL74,IF(A75&lt;'Données projet'!$A$88,$BA$205^A75,IF(A75='Données projet'!$A$88,'Données projet'!$B$88,BD74+BC75-BL74)))</f>
        <v>292.435</v>
      </c>
      <c r="BE75" s="13">
        <f>BD75*VLOOKUP('Données projet'!$B$11,Paramètres!$A$1:$I$89,3,0)*VLOOKUP('Données projet'!$B$11,Paramètres!$A$1:$I$89,5,0)</f>
        <v>319.33902</v>
      </c>
      <c r="BF75" s="13">
        <f t="shared" si="91"/>
        <v>75.215807373259352</v>
      </c>
      <c r="BG75" s="20">
        <f t="shared" si="61"/>
        <v>687.18299100842671</v>
      </c>
      <c r="BH75" s="59">
        <f t="shared" si="62"/>
        <v>980.51632434176008</v>
      </c>
      <c r="BI75" s="59">
        <f ca="1">AVERAGE(OFFSET($BH$3,0,0,'Données projet'!$E$11+1,1))-AVERAGE(OFFSET($H$3,0,0,'Données projet'!$E$11+1,1))</f>
        <v>584.62172669166989</v>
      </c>
      <c r="BJ75" s="59">
        <f t="shared" si="92"/>
        <v>141.28992520553197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65.008291773201009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65.008291773201009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326.09691594978824</v>
      </c>
      <c r="CE75" s="59">
        <f t="shared" si="94"/>
        <v>605.43570457920714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58.50946787292991</v>
      </c>
      <c r="CL75" s="21">
        <f>EXP(-LN(2)/25)*CL74+(1-EXP(-LN(2)/25))/(LN(2)/25)*Calculateur!CG75*Calculateur!CI75*VLOOKUP('Données projet'!$B$12,Paramètres!$A$1:$I$89,3,0)*0.475*44/12</f>
        <v>10.866880843360683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69.376348716290593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9.2624999999999993</v>
      </c>
      <c r="CT75" s="12">
        <f>IF('Données projet'!$A$140&gt;35,CT74+CS75-DB74,IF(A75&lt;'Données projet'!$A$140,$CQ$205^A75,IF(A75='Données projet'!$A$140,'Données projet'!$B$140,CT74+CS75-DB74)))</f>
        <v>292.435</v>
      </c>
      <c r="CU75" s="17">
        <f>CT75*VLOOKUP('Données projet'!$B$13,Paramètres!$A$1:$I$89,3,0)*VLOOKUP('Données projet'!$B$13,Paramètres!$A$1:$I$89,5,0)</f>
        <v>264.59518799999995</v>
      </c>
      <c r="CV75" s="13">
        <f t="shared" si="95"/>
        <v>63.700885370125405</v>
      </c>
      <c r="CW75" s="20">
        <f t="shared" si="67"/>
        <v>571.78232778630161</v>
      </c>
      <c r="CX75" s="59">
        <f t="shared" si="68"/>
        <v>865.11566111963498</v>
      </c>
      <c r="CY75" s="59">
        <f ca="1">AVERAGE(OFFSET($CX$3,0,0,'Données projet'!$E$13+1,1))-AVERAGE(OFFSET($H$3,0,0,'Données projet'!$E$13+1,1))</f>
        <v>465.85201723917186</v>
      </c>
      <c r="CZ75" s="59">
        <f t="shared" si="96"/>
        <v>110.67325285686417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53.864013183509421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53.864013183509421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4.5999999999999996</v>
      </c>
      <c r="AI76" s="13">
        <f>IF('Données projet'!$A$62&gt;35,AI75+AH76-AQ75,IF(A76&lt;'Données projet'!$A$62,$AF$205^A76,IF(A76='Données projet'!$A$62,'Données projet'!$B$62,AI75+AH76-AQ75)))</f>
        <v>217.80000000000013</v>
      </c>
      <c r="AJ76" s="13">
        <f>AI76*VLOOKUP('Données projet'!$B$10,Paramètres!$A$1:$I$89,3,0)*VLOOKUP('Données projet'!$B$10,Paramètres!$A$1:$I$89,5,0)</f>
        <v>176.67936000000012</v>
      </c>
      <c r="AK76" s="13">
        <f t="shared" si="89"/>
        <v>44.5826062365838</v>
      </c>
      <c r="AL76" s="20">
        <f t="shared" si="58"/>
        <v>385.36459119538364</v>
      </c>
      <c r="AM76" s="59">
        <f t="shared" si="59"/>
        <v>678.69792452871695</v>
      </c>
      <c r="AN76" s="59">
        <f ca="1">AVERAGE(OFFSET($AM$3,0,0,'Données projet'!$E$10+1,1))-AVERAGE(OFFSET($H$3,0,0,'Données projet'!$E$10+1,1))</f>
        <v>181.20458942529478</v>
      </c>
      <c r="AO76" s="59">
        <f t="shared" si="90"/>
        <v>144.05254691566421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28.959234639932628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28.959234639932628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9.2624999999999993</v>
      </c>
      <c r="BD76" s="12">
        <f>IF('Données projet'!$A$88&gt;35,BD75+BC76-BL75,IF(A76&lt;'Données projet'!$A$88,$BA$205^A76,IF(A76='Données projet'!$A$88,'Données projet'!$B$88,BD75+BC76-BL75)))</f>
        <v>301.69749999999999</v>
      </c>
      <c r="BE76" s="13">
        <f>BD76*VLOOKUP('Données projet'!$B$11,Paramètres!$A$1:$I$89,3,0)*VLOOKUP('Données projet'!$B$11,Paramètres!$A$1:$I$89,5,0)</f>
        <v>329.45366999999999</v>
      </c>
      <c r="BF76" s="13">
        <f t="shared" si="91"/>
        <v>77.317028103667624</v>
      </c>
      <c r="BG76" s="20">
        <f t="shared" si="61"/>
        <v>708.45896586388778</v>
      </c>
      <c r="BH76" s="59">
        <f t="shared" si="62"/>
        <v>1001.7922991972212</v>
      </c>
      <c r="BI76" s="59">
        <f ca="1">AVERAGE(OFFSET($BH$3,0,0,'Données projet'!$E$11+1,1))-AVERAGE(OFFSET($H$3,0,0,'Données projet'!$E$11+1,1))</f>
        <v>584.62172669166989</v>
      </c>
      <c r="BJ76" s="59">
        <f t="shared" si="92"/>
        <v>141.28992520553197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63.733518822671293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63.733518822671293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326.09691594978824</v>
      </c>
      <c r="CE76" s="59">
        <f t="shared" si="94"/>
        <v>605.43570457920714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57.362132895193334</v>
      </c>
      <c r="CL76" s="21">
        <f>EXP(-LN(2)/25)*CL75+(1-EXP(-LN(2)/25))/(LN(2)/25)*Calculateur!CG76*Calculateur!CI76*VLOOKUP('Données projet'!$B$12,Paramètres!$A$1:$I$89,3,0)*0.475*44/12</f>
        <v>10.569725415234558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67.931858310427884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9.2624999999999993</v>
      </c>
      <c r="CT76" s="12">
        <f>IF('Données projet'!$A$140&gt;35,CT75+CS76-DB75,IF(A76&lt;'Données projet'!$A$140,$CQ$205^A76,IF(A76='Données projet'!$A$140,'Données projet'!$B$140,CT75+CS76-DB75)))</f>
        <v>301.69749999999999</v>
      </c>
      <c r="CU76" s="17">
        <f>CT76*VLOOKUP('Données projet'!$B$13,Paramètres!$A$1:$I$89,3,0)*VLOOKUP('Données projet'!$B$13,Paramètres!$A$1:$I$89,5,0)</f>
        <v>272.97589799999997</v>
      </c>
      <c r="CV76" s="13">
        <f t="shared" si="95"/>
        <v>65.480426474043128</v>
      </c>
      <c r="CW76" s="20">
        <f t="shared" si="67"/>
        <v>589.47809845895836</v>
      </c>
      <c r="CX76" s="59">
        <f t="shared" si="68"/>
        <v>882.81143179229161</v>
      </c>
      <c r="CY76" s="59">
        <f ca="1">AVERAGE(OFFSET($CX$3,0,0,'Données projet'!$E$13+1,1))-AVERAGE(OFFSET($H$3,0,0,'Données projet'!$E$13+1,1))</f>
        <v>465.85201723917186</v>
      </c>
      <c r="CZ76" s="59">
        <f t="shared" si="96"/>
        <v>110.67325285686417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52.807772738784799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52.807772738784799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4.5999999999999996</v>
      </c>
      <c r="AI77" s="13">
        <f>IF('Données projet'!$A$62&gt;35,AI76+AH77-AQ76,IF(A77&lt;'Données projet'!$A$62,$AF$205^A77,IF(A77='Données projet'!$A$62,'Données projet'!$B$62,AI76+AH77-AQ76)))</f>
        <v>222.40000000000012</v>
      </c>
      <c r="AJ77" s="13">
        <f>AI77*VLOOKUP('Données projet'!$B$10,Paramètres!$A$1:$I$89,3,0)*VLOOKUP('Données projet'!$B$10,Paramètres!$A$1:$I$89,5,0)</f>
        <v>180.41088000000011</v>
      </c>
      <c r="AK77" s="13">
        <f t="shared" si="89"/>
        <v>45.413587262495575</v>
      </c>
      <c r="AL77" s="20">
        <f t="shared" si="58"/>
        <v>393.31094714884665</v>
      </c>
      <c r="AM77" s="59">
        <f t="shared" si="59"/>
        <v>686.64428048217997</v>
      </c>
      <c r="AN77" s="59">
        <f ca="1">AVERAGE(OFFSET($AM$3,0,0,'Données projet'!$E$10+1,1))-AVERAGE(OFFSET($H$3,0,0,'Données projet'!$E$10+1,1))</f>
        <v>181.20458942529478</v>
      </c>
      <c r="AO77" s="59">
        <f t="shared" si="90"/>
        <v>144.05254691566421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28.391361712032566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28.391361712032566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9.2624999999999993</v>
      </c>
      <c r="BC77" s="12">
        <f t="array" ref="BC77">INDEX(BB:BB,MIN(IF(ISNUMBER(BB77:BB273),ROW(BB77:BB273),"")))</f>
        <v>9.2624999999999993</v>
      </c>
      <c r="BD77" s="12">
        <f>IF('Données projet'!$A$88&gt;35,BD76+BC77-BL76,IF(A77&lt;'Données projet'!$A$88,$BA$205^A77,IF(A77='Données projet'!$A$88,'Données projet'!$B$88,BD76+BC77-BL76)))</f>
        <v>310.95999999999998</v>
      </c>
      <c r="BE77" s="13">
        <f>BD77*VLOOKUP('Données projet'!$B$11,Paramètres!$A$1:$I$89,3,0)*VLOOKUP('Données projet'!$B$11,Paramètres!$A$1:$I$89,5,0)</f>
        <v>339.56831999999997</v>
      </c>
      <c r="BF77" s="13">
        <f t="shared" si="91"/>
        <v>79.410752007166707</v>
      </c>
      <c r="BG77" s="20">
        <f t="shared" si="61"/>
        <v>729.72188374581526</v>
      </c>
      <c r="BH77" s="59">
        <f t="shared" si="62"/>
        <v>1023.0552170791486</v>
      </c>
      <c r="BI77" s="59">
        <f ca="1">AVERAGE(OFFSET($BH$3,0,0,'Données projet'!$E$11+1,1))-AVERAGE(OFFSET($H$3,0,0,'Données projet'!$E$11+1,1))</f>
        <v>584.62172669166989</v>
      </c>
      <c r="BJ77" s="59">
        <f t="shared" si="92"/>
        <v>141.28992520553197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0.43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87.088356817166257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87.088356817166257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326.09691594978824</v>
      </c>
      <c r="CE77" s="59">
        <f t="shared" si="94"/>
        <v>605.43570457920714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56.237296456564934</v>
      </c>
      <c r="CL77" s="21">
        <f>EXP(-LN(2)/25)*CL76+(1-EXP(-LN(2)/25))/(LN(2)/25)*Calculateur!CG77*Calculateur!CI77*VLOOKUP('Données projet'!$B$12,Paramètres!$A$1:$I$89,3,0)*0.475*44/12</f>
        <v>10.280695717917267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66.517992174482202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9.2624999999999993</v>
      </c>
      <c r="CS77" s="12">
        <f t="array" ref="CS77">INDEX(CR:CR,MIN(IF(ISNUMBER(CR77:CR273),ROW(CR77:CR273),"")))</f>
        <v>9.2624999999999993</v>
      </c>
      <c r="CT77" s="12">
        <f>IF('Données projet'!$A$140&gt;35,CT76+CS77-DB76,IF(A77&lt;'Données projet'!$A$140,$CQ$205^A77,IF(A77='Données projet'!$A$140,'Données projet'!$B$140,CT76+CS77-DB76)))</f>
        <v>310.95999999999998</v>
      </c>
      <c r="CU77" s="17">
        <f>CT77*VLOOKUP('Données projet'!$B$13,Paramètres!$A$1:$I$89,3,0)*VLOOKUP('Données projet'!$B$13,Paramètres!$A$1:$I$89,5,0)</f>
        <v>281.35660799999994</v>
      </c>
      <c r="CV77" s="13">
        <f t="shared" si="95"/>
        <v>67.253618453644194</v>
      </c>
      <c r="CW77" s="20">
        <f t="shared" si="67"/>
        <v>607.16281107343025</v>
      </c>
      <c r="CX77" s="59">
        <f t="shared" si="68"/>
        <v>900.49614440676351</v>
      </c>
      <c r="CY77" s="59">
        <f ca="1">AVERAGE(OFFSET($CX$3,0,0,'Données projet'!$E$13+1,1))-AVERAGE(OFFSET($H$3,0,0,'Données projet'!$E$13+1,1))</f>
        <v>465.85201723917186</v>
      </c>
      <c r="CZ77" s="59">
        <f t="shared" si="96"/>
        <v>110.67325285686417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0.43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72.158924219937774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72.158924219937774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227</v>
      </c>
      <c r="AG78" s="12">
        <f>VLOOKUP(A78,'Données projet'!$A$61:$I$81,9,0)</f>
        <v>4.5999999999999996</v>
      </c>
      <c r="AH78" s="12">
        <f t="array" ref="AH78">INDEX(AG:AG,MIN(IF(ISNUMBER(AG78:AG274),ROW(AG78:AG274),"")))</f>
        <v>4.5999999999999996</v>
      </c>
      <c r="AI78" s="13">
        <f>IF('Données projet'!$A$62&gt;35,AI77+AH78-AQ77,IF(A78&lt;'Données projet'!$A$62,$AF$205^A78,IF(A78='Données projet'!$A$62,'Données projet'!$B$62,AI77+AH78-AQ77)))</f>
        <v>227.00000000000011</v>
      </c>
      <c r="AJ78" s="13">
        <f>AI78*VLOOKUP('Données projet'!$B$10,Paramètres!$A$1:$I$89,3,0)*VLOOKUP('Données projet'!$B$10,Paramètres!$A$1:$I$89,5,0)</f>
        <v>184.14240000000009</v>
      </c>
      <c r="AK78" s="13">
        <f t="shared" si="89"/>
        <v>46.242569912520345</v>
      </c>
      <c r="AL78" s="20">
        <f t="shared" si="58"/>
        <v>401.25382259763973</v>
      </c>
      <c r="AM78" s="59">
        <f t="shared" si="59"/>
        <v>694.58715593097304</v>
      </c>
      <c r="AN78" s="59">
        <f ca="1">AVERAGE(OFFSET($AM$3,0,0,'Données projet'!$E$10+1,1))-AVERAGE(OFFSET($H$3,0,0,'Données projet'!$E$10+1,1))</f>
        <v>181.20458942529478</v>
      </c>
      <c r="AO78" s="59">
        <f t="shared" si="90"/>
        <v>144.05254691566421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14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33.233105008580658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33.233105008580658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9.1529999999999969</v>
      </c>
      <c r="BD78" s="12">
        <f>IF('Données projet'!$A$88&gt;35,BD77+BC78-BL77,IF(A78&lt;'Données projet'!$A$88,$BA$205^A78,IF(A78='Données projet'!$A$88,'Données projet'!$B$88,BD77+BC78-BL77)))</f>
        <v>272.71300000000002</v>
      </c>
      <c r="BE78" s="13">
        <f>BD78*VLOOKUP('Données projet'!$B$11,Paramètres!$A$1:$I$89,3,0)*VLOOKUP('Données projet'!$B$11,Paramètres!$A$1:$I$89,5,0)</f>
        <v>297.80259599999999</v>
      </c>
      <c r="BF78" s="13">
        <f t="shared" si="91"/>
        <v>70.715606278898662</v>
      </c>
      <c r="BG78" s="20">
        <f t="shared" si="61"/>
        <v>641.83586896908184</v>
      </c>
      <c r="BH78" s="59">
        <f t="shared" si="62"/>
        <v>935.16920230241521</v>
      </c>
      <c r="BI78" s="59">
        <f ca="1">AVERAGE(OFFSET($BH$3,0,0,'Données projet'!$E$11+1,1))-AVERAGE(OFFSET($H$3,0,0,'Données projet'!$E$11+1,1))</f>
        <v>584.62172669166989</v>
      </c>
      <c r="BJ78" s="59">
        <f t="shared" si="92"/>
        <v>141.28992520553197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85.380607258634257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85.380607258634257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326.09691594978824</v>
      </c>
      <c r="CE78" s="59">
        <f t="shared" si="94"/>
        <v>605.43570457920714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55.134517374415559</v>
      </c>
      <c r="CL78" s="21">
        <f>EXP(-LN(2)/25)*CL77+(1-EXP(-LN(2)/25))/(LN(2)/25)*Calculateur!CG78*Calculateur!CI78*VLOOKUP('Données projet'!$B$12,Paramètres!$A$1:$I$89,3,0)*0.475*44/12</f>
        <v>9.9995695528725275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65.134086927288081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9.1529999999999969</v>
      </c>
      <c r="CT78" s="12">
        <f>IF('Données projet'!$A$140&gt;35,CT77+CS78-DB77,IF(A78&lt;'Données projet'!$A$140,$CQ$205^A78,IF(A78='Données projet'!$A$140,'Données projet'!$B$140,CT77+CS78-DB77)))</f>
        <v>272.71300000000002</v>
      </c>
      <c r="CU78" s="17">
        <f>CT78*VLOOKUP('Données projet'!$B$13,Paramètres!$A$1:$I$89,3,0)*VLOOKUP('Données projet'!$B$13,Paramètres!$A$1:$I$89,5,0)</f>
        <v>246.7507224</v>
      </c>
      <c r="CV78" s="13">
        <f t="shared" si="95"/>
        <v>59.889628081723359</v>
      </c>
      <c r="CW78" s="20">
        <f t="shared" si="67"/>
        <v>534.0652770890016</v>
      </c>
      <c r="CX78" s="59">
        <f t="shared" si="68"/>
        <v>827.39861042233497</v>
      </c>
      <c r="CY78" s="59">
        <f ca="1">AVERAGE(OFFSET($CX$3,0,0,'Données projet'!$E$13+1,1))-AVERAGE(OFFSET($H$3,0,0,'Données projet'!$E$13+1,1))</f>
        <v>465.85201723917186</v>
      </c>
      <c r="CZ78" s="59">
        <f t="shared" si="96"/>
        <v>110.67325285686417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70.74393172858268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70.74393172858268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4.2</v>
      </c>
      <c r="AI79" s="13">
        <f>IF('Données projet'!$A$62&gt;35,AI78+AH79-AQ78,IF(A79&lt;'Données projet'!$A$62,$AF$205^A79,IF(A79='Données projet'!$A$62,'Données projet'!$B$62,AI78+AH79-AQ78)))</f>
        <v>217.2000000000001</v>
      </c>
      <c r="AJ79" s="13">
        <f>AI79*VLOOKUP('Données projet'!$B$10,Paramètres!$A$1:$I$89,3,0)*VLOOKUP('Données projet'!$B$10,Paramètres!$A$1:$I$89,5,0)</f>
        <v>176.1926400000001</v>
      </c>
      <c r="AK79" s="13">
        <f t="shared" si="89"/>
        <v>44.474067632484541</v>
      </c>
      <c r="AL79" s="20">
        <f t="shared" si="58"/>
        <v>384.32784912657735</v>
      </c>
      <c r="AM79" s="59">
        <f t="shared" si="59"/>
        <v>677.66118245991061</v>
      </c>
      <c r="AN79" s="59">
        <f ca="1">AVERAGE(OFFSET($AM$3,0,0,'Données projet'!$E$10+1,1))-AVERAGE(OFFSET($H$3,0,0,'Données projet'!$E$10+1,1))</f>
        <v>181.20458942529478</v>
      </c>
      <c r="AO79" s="59">
        <f t="shared" si="90"/>
        <v>144.05254691566421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32.581424089554929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32.581424089554929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9.1529999999999969</v>
      </c>
      <c r="BD79" s="12">
        <f>IF('Données projet'!$A$88&gt;35,BD78+BC79-BL78,IF(A79&lt;'Données projet'!$A$88,$BA$205^A79,IF(A79='Données projet'!$A$88,'Données projet'!$B$88,BD78+BC79-BL78)))</f>
        <v>281.86600000000004</v>
      </c>
      <c r="BE79" s="13">
        <f>BD79*VLOOKUP('Données projet'!$B$11,Paramètres!$A$1:$I$89,3,0)*VLOOKUP('Données projet'!$B$11,Paramètres!$A$1:$I$89,5,0)</f>
        <v>307.79767200000003</v>
      </c>
      <c r="BF79" s="13">
        <f t="shared" si="91"/>
        <v>72.808705757166109</v>
      </c>
      <c r="BG79" s="20">
        <f t="shared" si="61"/>
        <v>662.88944126039769</v>
      </c>
      <c r="BH79" s="59">
        <f t="shared" si="62"/>
        <v>956.22277459373095</v>
      </c>
      <c r="BI79" s="59">
        <f ca="1">AVERAGE(OFFSET($BH$3,0,0,'Données projet'!$E$11+1,1))-AVERAGE(OFFSET($H$3,0,0,'Données projet'!$E$11+1,1))</f>
        <v>584.62172669166989</v>
      </c>
      <c r="BJ79" s="59">
        <f t="shared" si="92"/>
        <v>141.28992520553197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83.706345627320687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83.706345627320687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326.09691594978824</v>
      </c>
      <c r="CE79" s="59">
        <f t="shared" si="94"/>
        <v>605.43570457920714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54.053363117438309</v>
      </c>
      <c r="CL79" s="21">
        <f>EXP(-LN(2)/25)*CL78+(1-EXP(-LN(2)/25))/(LN(2)/25)*Calculateur!CG79*Calculateur!CI79*VLOOKUP('Données projet'!$B$12,Paramètres!$A$1:$I$89,3,0)*0.475*44/12</f>
        <v>9.7261307975947204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63.779493915033029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9.1529999999999969</v>
      </c>
      <c r="CT79" s="12">
        <f>IF('Données projet'!$A$140&gt;35,CT78+CS79-DB78,IF(A79&lt;'Données projet'!$A$140,$CQ$205^A79,IF(A79='Données projet'!$A$140,'Données projet'!$B$140,CT78+CS79-DB78)))</f>
        <v>281.86600000000004</v>
      </c>
      <c r="CU79" s="17">
        <f>CT79*VLOOKUP('Données projet'!$B$13,Paramètres!$A$1:$I$89,3,0)*VLOOKUP('Données projet'!$B$13,Paramètres!$A$1:$I$89,5,0)</f>
        <v>255.0323568</v>
      </c>
      <c r="CV79" s="13">
        <f t="shared" si="95"/>
        <v>61.662291230464433</v>
      </c>
      <c r="CW79" s="20">
        <f t="shared" si="67"/>
        <v>551.57651198639223</v>
      </c>
      <c r="CX79" s="59">
        <f t="shared" si="68"/>
        <v>844.90984531972549</v>
      </c>
      <c r="CY79" s="59">
        <f ca="1">AVERAGE(OFFSET($CX$3,0,0,'Données projet'!$E$13+1,1))-AVERAGE(OFFSET($H$3,0,0,'Données projet'!$E$13+1,1))</f>
        <v>465.85201723917186</v>
      </c>
      <c r="CZ79" s="59">
        <f t="shared" si="96"/>
        <v>110.67325285686417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69.356686376922866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69.356686376922866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4.2</v>
      </c>
      <c r="AI80" s="13">
        <f>IF('Données projet'!$A$62&gt;35,AI79+AH80-AQ79,IF(A80&lt;'Données projet'!$A$62,$AF$205^A80,IF(A80='Données projet'!$A$62,'Données projet'!$B$62,AI79+AH80-AQ79)))</f>
        <v>221.40000000000009</v>
      </c>
      <c r="AJ80" s="13">
        <f>AI80*VLOOKUP('Données projet'!$B$10,Paramètres!$A$1:$I$89,3,0)*VLOOKUP('Données projet'!$B$10,Paramètres!$A$1:$I$89,5,0)</f>
        <v>179.59968000000009</v>
      </c>
      <c r="AK80" s="13">
        <f t="shared" si="89"/>
        <v>45.233110804333748</v>
      </c>
      <c r="AL80" s="20">
        <f t="shared" si="58"/>
        <v>391.58377731754808</v>
      </c>
      <c r="AM80" s="59">
        <f t="shared" si="59"/>
        <v>684.91711065088134</v>
      </c>
      <c r="AN80" s="59">
        <f ca="1">AVERAGE(OFFSET($AM$3,0,0,'Données projet'!$E$10+1,1))-AVERAGE(OFFSET($H$3,0,0,'Données projet'!$E$10+1,1))</f>
        <v>181.20458942529478</v>
      </c>
      <c r="AO80" s="59">
        <f t="shared" si="90"/>
        <v>144.05254691566421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31.942522235865184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31.942522235865184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9.1529999999999969</v>
      </c>
      <c r="BD80" s="12">
        <f>IF('Données projet'!$A$88&gt;35,BD79+BC80-BL79,IF(A80&lt;'Données projet'!$A$88,$BA$205^A80,IF(A80='Données projet'!$A$88,'Données projet'!$B$88,BD79+BC80-BL79)))</f>
        <v>291.01900000000006</v>
      </c>
      <c r="BE80" s="13">
        <f>BD80*VLOOKUP('Données projet'!$B$11,Paramètres!$A$1:$I$89,3,0)*VLOOKUP('Données projet'!$B$11,Paramètres!$A$1:$I$89,5,0)</f>
        <v>317.79274800000007</v>
      </c>
      <c r="BF80" s="13">
        <f t="shared" si="91"/>
        <v>74.893907115214873</v>
      </c>
      <c r="BG80" s="20">
        <f t="shared" si="61"/>
        <v>683.92925765899929</v>
      </c>
      <c r="BH80" s="59">
        <f t="shared" si="62"/>
        <v>977.26259099233266</v>
      </c>
      <c r="BI80" s="59">
        <f ca="1">AVERAGE(OFFSET($BH$3,0,0,'Données projet'!$E$11+1,1))-AVERAGE(OFFSET($H$3,0,0,'Données projet'!$E$11+1,1))</f>
        <v>584.62172669166989</v>
      </c>
      <c r="BJ80" s="59">
        <f t="shared" si="92"/>
        <v>141.28992520553197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82.06491524539841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82.06491524539841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326.09691594978824</v>
      </c>
      <c r="CE80" s="59">
        <f t="shared" si="94"/>
        <v>605.43570457920714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52.993409636001395</v>
      </c>
      <c r="CL80" s="21">
        <f>EXP(-LN(2)/25)*CL79+(1-EXP(-LN(2)/25))/(LN(2)/25)*Calculateur!CG80*Calculateur!CI80*VLOOKUP('Données projet'!$B$12,Paramètres!$A$1:$I$89,3,0)*0.475*44/12</f>
        <v>9.4601692394595034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62.453578875460899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9.1529999999999969</v>
      </c>
      <c r="CT80" s="12">
        <f>IF('Données projet'!$A$140&gt;35,CT79+CS80-DB79,IF(A80&lt;'Données projet'!$A$140,$CQ$205^A80,IF(A80='Données projet'!$A$140,'Données projet'!$B$140,CT79+CS80-DB79)))</f>
        <v>291.01900000000006</v>
      </c>
      <c r="CU80" s="17">
        <f>CT80*VLOOKUP('Données projet'!$B$13,Paramètres!$A$1:$I$89,3,0)*VLOOKUP('Données projet'!$B$13,Paramètres!$A$1:$I$89,5,0)</f>
        <v>263.31399120000003</v>
      </c>
      <c r="CV80" s="13">
        <f t="shared" si="95"/>
        <v>63.428265396287479</v>
      </c>
      <c r="CW80" s="20">
        <f t="shared" si="67"/>
        <v>569.07609690520076</v>
      </c>
      <c r="CX80" s="59">
        <f t="shared" si="68"/>
        <v>862.40943023853401</v>
      </c>
      <c r="CY80" s="59">
        <f ca="1">AVERAGE(OFFSET($CX$3,0,0,'Données projet'!$E$13+1,1))-AVERAGE(OFFSET($H$3,0,0,'Données projet'!$E$13+1,1))</f>
        <v>465.85201723917186</v>
      </c>
      <c r="CZ80" s="59">
        <f t="shared" si="96"/>
        <v>110.67325285686417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67.996644060472988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67.996644060472988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4.2</v>
      </c>
      <c r="AI81" s="13">
        <f>IF('Données projet'!$A$62&gt;35,AI80+AH81-AQ80,IF(A81&lt;'Données projet'!$A$62,$AF$205^A81,IF(A81='Données projet'!$A$62,'Données projet'!$B$62,AI80+AH81-AQ80)))</f>
        <v>225.60000000000008</v>
      </c>
      <c r="AJ81" s="13">
        <f>AI81*VLOOKUP('Données projet'!$B$10,Paramètres!$A$1:$I$89,3,0)*VLOOKUP('Données projet'!$B$10,Paramètres!$A$1:$I$89,5,0)</f>
        <v>183.00672000000006</v>
      </c>
      <c r="AK81" s="13">
        <f t="shared" si="89"/>
        <v>45.990479653087696</v>
      </c>
      <c r="AL81" s="20">
        <f t="shared" si="58"/>
        <v>398.83678939579448</v>
      </c>
      <c r="AM81" s="59">
        <f t="shared" si="59"/>
        <v>692.1701227291278</v>
      </c>
      <c r="AN81" s="59">
        <f ca="1">AVERAGE(OFFSET($AM$3,0,0,'Données projet'!$E$10+1,1))-AVERAGE(OFFSET($H$3,0,0,'Données projet'!$E$10+1,1))</f>
        <v>181.20458942529478</v>
      </c>
      <c r="AO81" s="59">
        <f t="shared" si="90"/>
        <v>144.05254691566421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31.316148857834644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31.316148857834644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9.1529999999999969</v>
      </c>
      <c r="BD81" s="12">
        <f>IF('Données projet'!$A$88&gt;35,BD80+BC81-BL80,IF(A81&lt;'Données projet'!$A$88,$BA$205^A81,IF(A81='Données projet'!$A$88,'Données projet'!$B$88,BD80+BC81-BL80)))</f>
        <v>300.17200000000008</v>
      </c>
      <c r="BE81" s="13">
        <f>BD81*VLOOKUP('Données projet'!$B$11,Paramètres!$A$1:$I$89,3,0)*VLOOKUP('Données projet'!$B$11,Paramètres!$A$1:$I$89,5,0)</f>
        <v>327.78782400000006</v>
      </c>
      <c r="BF81" s="13">
        <f t="shared" si="91"/>
        <v>76.971487261543487</v>
      </c>
      <c r="BG81" s="20">
        <f t="shared" si="61"/>
        <v>704.95580044718827</v>
      </c>
      <c r="BH81" s="59">
        <f t="shared" si="62"/>
        <v>998.28913378052152</v>
      </c>
      <c r="BI81" s="59">
        <f ca="1">AVERAGE(OFFSET($BH$3,0,0,'Données projet'!$E$11+1,1))-AVERAGE(OFFSET($H$3,0,0,'Données projet'!$E$11+1,1))</f>
        <v>584.62172669166989</v>
      </c>
      <c r="BJ81" s="59">
        <f t="shared" si="92"/>
        <v>141.28992520553197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80.455672312091963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80.455672312091963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326.09691594978824</v>
      </c>
      <c r="CE81" s="59">
        <f t="shared" si="94"/>
        <v>605.43570457920714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51.954241195827677</v>
      </c>
      <c r="CL81" s="21">
        <f>EXP(-LN(2)/25)*CL80+(1-EXP(-LN(2)/25))/(LN(2)/25)*Calculateur!CG81*Calculateur!CI81*VLOOKUP('Données projet'!$B$12,Paramètres!$A$1:$I$89,3,0)*0.475*44/12</f>
        <v>9.201480414117805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61.155721609945481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9.1529999999999969</v>
      </c>
      <c r="CT81" s="12">
        <f>IF('Données projet'!$A$140&gt;35,CT80+CS81-DB80,IF(A81&lt;'Données projet'!$A$140,$CQ$205^A81,IF(A81='Données projet'!$A$140,'Données projet'!$B$140,CT80+CS81-DB80)))</f>
        <v>300.17200000000008</v>
      </c>
      <c r="CU81" s="17">
        <f>CT81*VLOOKUP('Données projet'!$B$13,Paramètres!$A$1:$I$89,3,0)*VLOOKUP('Données projet'!$B$13,Paramètres!$A$1:$I$89,5,0)</f>
        <v>271.59562560000006</v>
      </c>
      <c r="CV81" s="13">
        <f t="shared" si="95"/>
        <v>65.187785095275302</v>
      </c>
      <c r="CW81" s="20">
        <f t="shared" si="67"/>
        <v>586.56444029427121</v>
      </c>
      <c r="CX81" s="59">
        <f t="shared" si="68"/>
        <v>879.89777362760447</v>
      </c>
      <c r="CY81" s="59">
        <f ca="1">AVERAGE(OFFSET($CX$3,0,0,'Données projet'!$E$13+1,1))-AVERAGE(OFFSET($H$3,0,0,'Données projet'!$E$13+1,1))</f>
        <v>465.85201723917186</v>
      </c>
      <c r="CZ81" s="59">
        <f t="shared" si="96"/>
        <v>110.67325285686417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66.663271344304789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66.663271344304789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4.2</v>
      </c>
      <c r="AI82" s="13">
        <f>IF('Données projet'!$A$62&gt;35,AI81+AH82-AQ81,IF(A82&lt;'Données projet'!$A$62,$AF$205^A82,IF(A82='Données projet'!$A$62,'Données projet'!$B$62,AI81+AH82-AQ81)))</f>
        <v>229.80000000000007</v>
      </c>
      <c r="AJ82" s="13">
        <f>AI82*VLOOKUP('Données projet'!$B$10,Paramètres!$A$1:$I$89,3,0)*VLOOKUP('Données projet'!$B$10,Paramètres!$A$1:$I$89,5,0)</f>
        <v>186.41376000000005</v>
      </c>
      <c r="AK82" s="13">
        <f t="shared" si="89"/>
        <v>46.746208944321332</v>
      </c>
      <c r="AL82" s="20">
        <f t="shared" si="58"/>
        <v>406.08694591135969</v>
      </c>
      <c r="AM82" s="59">
        <f t="shared" si="59"/>
        <v>699.42027924469301</v>
      </c>
      <c r="AN82" s="59">
        <f ca="1">AVERAGE(OFFSET($AM$3,0,0,'Données projet'!$E$10+1,1))-AVERAGE(OFFSET($H$3,0,0,'Données projet'!$E$10+1,1))</f>
        <v>181.20458942529478</v>
      </c>
      <c r="AO82" s="59">
        <f t="shared" si="90"/>
        <v>144.05254691566421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30.702058279697248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30.702058279697248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9.1529999999999969</v>
      </c>
      <c r="BD82" s="12">
        <f>IF('Données projet'!$A$88&gt;35,BD81+BC82-BL81,IF(A82&lt;'Données projet'!$A$88,$BA$205^A82,IF(A82='Données projet'!$A$88,'Données projet'!$B$88,BD81+BC82-BL81)))</f>
        <v>309.3250000000001</v>
      </c>
      <c r="BE82" s="13">
        <f>BD82*VLOOKUP('Données projet'!$B$11,Paramètres!$A$1:$I$89,3,0)*VLOOKUP('Données projet'!$B$11,Paramètres!$A$1:$I$89,5,0)</f>
        <v>337.7829000000001</v>
      </c>
      <c r="BF82" s="13">
        <f t="shared" si="91"/>
        <v>79.041705257827374</v>
      </c>
      <c r="BG82" s="20">
        <f t="shared" si="61"/>
        <v>725.96952082404948</v>
      </c>
      <c r="BH82" s="59">
        <f t="shared" si="62"/>
        <v>1019.3028541573829</v>
      </c>
      <c r="BI82" s="59">
        <f ca="1">AVERAGE(OFFSET($BH$3,0,0,'Données projet'!$E$11+1,1))-AVERAGE(OFFSET($H$3,0,0,'Données projet'!$E$11+1,1))</f>
        <v>584.62172669166989</v>
      </c>
      <c r="BJ82" s="59">
        <f t="shared" si="92"/>
        <v>141.28992520553197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78.877985651166384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78.877985651166384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326.09691594978824</v>
      </c>
      <c r="CE82" s="59">
        <f t="shared" si="94"/>
        <v>605.43570457920714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50.935450214935599</v>
      </c>
      <c r="CL82" s="21">
        <f>EXP(-LN(2)/25)*CL81+(1-EXP(-LN(2)/25))/(LN(2)/25)*Calculateur!CG82*Calculateur!CI82*VLOOKUP('Données projet'!$B$12,Paramètres!$A$1:$I$89,3,0)*0.475*44/12</f>
        <v>8.9498654483089286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59.885315663244526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9.1529999999999969</v>
      </c>
      <c r="CT82" s="12">
        <f>IF('Données projet'!$A$140&gt;35,CT81+CS82-DB81,IF(A82&lt;'Données projet'!$A$140,$CQ$205^A82,IF(A82='Données projet'!$A$140,'Données projet'!$B$140,CT81+CS82-DB81)))</f>
        <v>309.3250000000001</v>
      </c>
      <c r="CU82" s="17">
        <f>CT82*VLOOKUP('Données projet'!$B$13,Paramètres!$A$1:$I$89,3,0)*VLOOKUP('Données projet'!$B$13,Paramètres!$A$1:$I$89,5,0)</f>
        <v>279.87726000000009</v>
      </c>
      <c r="CV82" s="13">
        <f t="shared" si="95"/>
        <v>66.941069728889886</v>
      </c>
      <c r="CW82" s="20">
        <f t="shared" si="67"/>
        <v>604.04192427781663</v>
      </c>
      <c r="CX82" s="59">
        <f t="shared" si="68"/>
        <v>897.37525761114989</v>
      </c>
      <c r="CY82" s="59">
        <f ca="1">AVERAGE(OFFSET($CX$3,0,0,'Données projet'!$E$13+1,1))-AVERAGE(OFFSET($H$3,0,0,'Données projet'!$E$13+1,1))</f>
        <v>465.85201723917186</v>
      </c>
      <c r="CZ82" s="59">
        <f t="shared" si="96"/>
        <v>110.67325285686417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65.356045253823595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65.356045253823595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234</v>
      </c>
      <c r="AG83" s="12">
        <f>VLOOKUP(A83,'Données projet'!$A$61:$I$81,9,0)</f>
        <v>4.2</v>
      </c>
      <c r="AH83" s="12">
        <f t="array" ref="AH83">INDEX(AG:AG,MIN(IF(ISNUMBER(AG83:AG279),ROW(AG83:AG279),"")))</f>
        <v>4.2</v>
      </c>
      <c r="AI83" s="13">
        <f>IF('Données projet'!$A$62&gt;35,AI82+AH83-AQ82,IF(A83&lt;'Données projet'!$A$62,$AF$205^A83,IF(A83='Données projet'!$A$62,'Données projet'!$B$62,AI82+AH83-AQ82)))</f>
        <v>234.00000000000006</v>
      </c>
      <c r="AJ83" s="13">
        <f>AI83*VLOOKUP('Données projet'!$B$10,Paramètres!$A$1:$I$89,3,0)*VLOOKUP('Données projet'!$B$10,Paramètres!$A$1:$I$89,5,0)</f>
        <v>189.82080000000005</v>
      </c>
      <c r="AK83" s="13">
        <f t="shared" si="89"/>
        <v>47.500332100049796</v>
      </c>
      <c r="AL83" s="20">
        <f t="shared" si="58"/>
        <v>413.33430507425345</v>
      </c>
      <c r="AM83" s="59">
        <f t="shared" si="59"/>
        <v>706.66763840758676</v>
      </c>
      <c r="AN83" s="59">
        <f ca="1">AVERAGE(OFFSET($AM$3,0,0,'Données projet'!$E$10+1,1))-AVERAGE(OFFSET($H$3,0,0,'Données projet'!$E$10+1,1))</f>
        <v>181.20458942529478</v>
      </c>
      <c r="AO83" s="59">
        <f t="shared" si="90"/>
        <v>144.05254691566421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35.112884470032007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35.112884470032007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9.1529999999999969</v>
      </c>
      <c r="BD83" s="12">
        <f>IF('Données projet'!$A$88&gt;35,BD82+BC83-BL82,IF(A83&lt;'Données projet'!$A$88,$BA$205^A83,IF(A83='Données projet'!$A$88,'Données projet'!$B$88,BD82+BC83-BL82)))</f>
        <v>318.47800000000012</v>
      </c>
      <c r="BE83" s="13">
        <f>BD83*VLOOKUP('Données projet'!$B$11,Paramètres!$A$1:$I$89,3,0)*VLOOKUP('Données projet'!$B$11,Paramètres!$A$1:$I$89,5,0)</f>
        <v>347.77797600000014</v>
      </c>
      <c r="BF83" s="13">
        <f t="shared" si="91"/>
        <v>81.104803962808134</v>
      </c>
      <c r="BG83" s="20">
        <f t="shared" si="61"/>
        <v>746.97084176855776</v>
      </c>
      <c r="BH83" s="59">
        <f t="shared" si="62"/>
        <v>1040.3041751018911</v>
      </c>
      <c r="BI83" s="59">
        <f ca="1">AVERAGE(OFFSET($BH$3,0,0,'Données projet'!$E$11+1,1))-AVERAGE(OFFSET($H$3,0,0,'Données projet'!$E$11+1,1))</f>
        <v>584.62172669166989</v>
      </c>
      <c r="BJ83" s="59">
        <f t="shared" si="92"/>
        <v>141.28992520553197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77.331236463367702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77.331236463367702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326.09691594978824</v>
      </c>
      <c r="CE83" s="59">
        <f t="shared" si="94"/>
        <v>605.43570457920714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49.936637103777677</v>
      </c>
      <c r="CL83" s="21">
        <f>EXP(-LN(2)/25)*CL82+(1-EXP(-LN(2)/25))/(LN(2)/25)*Calculateur!CG83*Calculateur!CI83*VLOOKUP('Données projet'!$B$12,Paramètres!$A$1:$I$89,3,0)*0.475*44/12</f>
        <v>8.7051309069719522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58.64176801074963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9.1529999999999969</v>
      </c>
      <c r="CT83" s="12">
        <f>IF('Données projet'!$A$140&gt;35,CT82+CS83-DB82,IF(A83&lt;'Données projet'!$A$140,$CQ$205^A83,IF(A83='Données projet'!$A$140,'Données projet'!$B$140,CT82+CS83-DB82)))</f>
        <v>318.47800000000012</v>
      </c>
      <c r="CU83" s="17">
        <f>CT83*VLOOKUP('Données projet'!$B$13,Paramètres!$A$1:$I$89,3,0)*VLOOKUP('Données projet'!$B$13,Paramètres!$A$1:$I$89,5,0)</f>
        <v>288.15889440000012</v>
      </c>
      <c r="CV83" s="13">
        <f t="shared" si="95"/>
        <v>68.688324976195204</v>
      </c>
      <c r="CW83" s="20">
        <f t="shared" si="67"/>
        <v>621.50890708020677</v>
      </c>
      <c r="CX83" s="59">
        <f t="shared" si="68"/>
        <v>914.84224041354014</v>
      </c>
      <c r="CY83" s="59">
        <f ca="1">AVERAGE(OFFSET($CX$3,0,0,'Données projet'!$E$13+1,1))-AVERAGE(OFFSET($H$3,0,0,'Données projet'!$E$13+1,1))</f>
        <v>465.85201723917186</v>
      </c>
      <c r="CZ83" s="59">
        <f t="shared" si="96"/>
        <v>110.67325285686417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64.074453069647546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64.074453069647546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</v>
      </c>
      <c r="AI84" s="13">
        <f>IF('Données projet'!$A$62&gt;35,AI83+AH84-AQ83,IF(A84&lt;'Données projet'!$A$62,$AF$205^A84,IF(A84='Données projet'!$A$62,'Données projet'!$B$62,AI83+AH84-AQ83)))</f>
        <v>225.00000000000006</v>
      </c>
      <c r="AJ84" s="13">
        <f>AI84*VLOOKUP('Données projet'!$B$10,Paramètres!$A$1:$I$89,3,0)*VLOOKUP('Données projet'!$B$10,Paramètres!$A$1:$I$89,5,0)</f>
        <v>182.52000000000004</v>
      </c>
      <c r="AK84" s="13">
        <f t="shared" si="89"/>
        <v>45.882385280285632</v>
      </c>
      <c r="AL84" s="20">
        <f t="shared" si="58"/>
        <v>397.80082102983084</v>
      </c>
      <c r="AM84" s="59">
        <f t="shared" si="59"/>
        <v>691.13415436316416</v>
      </c>
      <c r="AN84" s="59">
        <f ca="1">AVERAGE(OFFSET($AM$3,0,0,'Données projet'!$E$10+1,1))-AVERAGE(OFFSET($H$3,0,0,'Données projet'!$E$10+1,1))</f>
        <v>181.20458942529478</v>
      </c>
      <c r="AO84" s="59">
        <f t="shared" si="90"/>
        <v>144.05254691566421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34.424342222319481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34.424342222319481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9.1529999999999969</v>
      </c>
      <c r="BD84" s="12">
        <f>IF('Données projet'!$A$88&gt;35,BD83+BC84-BL83,IF(A84&lt;'Données projet'!$A$88,$BA$205^A84,IF(A84='Données projet'!$A$88,'Données projet'!$B$88,BD83+BC84-BL83)))</f>
        <v>327.63100000000014</v>
      </c>
      <c r="BE84" s="13">
        <f>BD84*VLOOKUP('Données projet'!$B$11,Paramètres!$A$1:$I$89,3,0)*VLOOKUP('Données projet'!$B$11,Paramètres!$A$1:$I$89,5,0)</f>
        <v>357.77305200000018</v>
      </c>
      <c r="BF84" s="13">
        <f t="shared" si="91"/>
        <v>83.161011481890242</v>
      </c>
      <c r="BG84" s="20">
        <f t="shared" si="61"/>
        <v>767.96016056429244</v>
      </c>
      <c r="BH84" s="59">
        <f t="shared" si="62"/>
        <v>1061.2934938976257</v>
      </c>
      <c r="BI84" s="59">
        <f ca="1">AVERAGE(OFFSET($BH$3,0,0,'Données projet'!$E$11+1,1))-AVERAGE(OFFSET($H$3,0,0,'Données projet'!$E$11+1,1))</f>
        <v>584.62172669166989</v>
      </c>
      <c r="BJ84" s="59">
        <f t="shared" si="92"/>
        <v>141.28992520553197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75.81481808371791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75.81481808371791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326.09691594978824</v>
      </c>
      <c r="CE84" s="59">
        <f t="shared" si="94"/>
        <v>605.43570457920714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48.95741010851372</v>
      </c>
      <c r="CL84" s="21">
        <f>EXP(-LN(2)/25)*CL83+(1-EXP(-LN(2)/25))/(LN(2)/25)*Calculateur!CG84*Calculateur!CI84*VLOOKUP('Données projet'!$B$12,Paramètres!$A$1:$I$89,3,0)*0.475*44/12</f>
        <v>8.4670886445378652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57.424498753051587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9.1529999999999969</v>
      </c>
      <c r="CT84" s="12">
        <f>IF('Données projet'!$A$140&gt;35,CT83+CS84-DB83,IF(A84&lt;'Données projet'!$A$140,$CQ$205^A84,IF(A84='Données projet'!$A$140,'Données projet'!$B$140,CT83+CS84-DB83)))</f>
        <v>327.63100000000014</v>
      </c>
      <c r="CU84" s="17">
        <f>CT84*VLOOKUP('Données projet'!$B$13,Paramètres!$A$1:$I$89,3,0)*VLOOKUP('Données projet'!$B$13,Paramètres!$A$1:$I$89,5,0)</f>
        <v>296.4405288000001</v>
      </c>
      <c r="CV84" s="13">
        <f t="shared" si="95"/>
        <v>70.42974402153277</v>
      </c>
      <c r="CW84" s="20">
        <f t="shared" si="67"/>
        <v>638.96572516416973</v>
      </c>
      <c r="CX84" s="59">
        <f t="shared" si="68"/>
        <v>932.29905849750298</v>
      </c>
      <c r="CY84" s="59">
        <f ca="1">AVERAGE(OFFSET($CX$3,0,0,'Données projet'!$E$13+1,1))-AVERAGE(OFFSET($H$3,0,0,'Données projet'!$E$13+1,1))</f>
        <v>465.85201723917186</v>
      </c>
      <c r="CZ84" s="59">
        <f t="shared" si="96"/>
        <v>110.67325285686417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62.817992126509147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62.817992126509147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</v>
      </c>
      <c r="AI85" s="13">
        <f>IF('Données projet'!$A$62&gt;35,AI84+AH85-AQ84,IF(A85&lt;'Données projet'!$A$62,$AF$205^A85,IF(A85='Données projet'!$A$62,'Données projet'!$B$62,AI84+AH85-AQ84)))</f>
        <v>229.00000000000006</v>
      </c>
      <c r="AJ85" s="13">
        <f>AI85*VLOOKUP('Données projet'!$B$10,Paramètres!$A$1:$I$89,3,0)*VLOOKUP('Données projet'!$B$10,Paramètres!$A$1:$I$89,5,0)</f>
        <v>185.76480000000004</v>
      </c>
      <c r="AK85" s="13">
        <f t="shared" si="89"/>
        <v>46.602385341463361</v>
      </c>
      <c r="AL85" s="20">
        <f t="shared" si="58"/>
        <v>404.7061811363821</v>
      </c>
      <c r="AM85" s="59">
        <f t="shared" si="59"/>
        <v>698.03951446971541</v>
      </c>
      <c r="AN85" s="59">
        <f ca="1">AVERAGE(OFFSET($AM$3,0,0,'Données projet'!$E$10+1,1))-AVERAGE(OFFSET($H$3,0,0,'Données projet'!$E$10+1,1))</f>
        <v>181.20458942529478</v>
      </c>
      <c r="AO85" s="59">
        <f t="shared" si="90"/>
        <v>144.05254691566421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33.749301868115289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33.749301868115289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9.1529999999999969</v>
      </c>
      <c r="BD85" s="12">
        <f>IF('Données projet'!$A$88&gt;35,BD84+BC85-BL84,IF(A85&lt;'Données projet'!$A$88,$BA$205^A85,IF(A85='Données projet'!$A$88,'Données projet'!$B$88,BD84+BC85-BL84)))</f>
        <v>336.78400000000016</v>
      </c>
      <c r="BE85" s="13">
        <f>BD85*VLOOKUP('Données projet'!$B$11,Paramètres!$A$1:$I$89,3,0)*VLOOKUP('Données projet'!$B$11,Paramètres!$A$1:$I$89,5,0)</f>
        <v>367.76812800000016</v>
      </c>
      <c r="BF85" s="13">
        <f t="shared" si="91"/>
        <v>85.210542450195291</v>
      </c>
      <c r="BG85" s="20">
        <f t="shared" si="61"/>
        <v>788.93785103409027</v>
      </c>
      <c r="BH85" s="59">
        <f t="shared" si="62"/>
        <v>1082.2711843674235</v>
      </c>
      <c r="BI85" s="59">
        <f ca="1">AVERAGE(OFFSET($BH$3,0,0,'Données projet'!$E$11+1,1))-AVERAGE(OFFSET($H$3,0,0,'Données projet'!$E$11+1,1))</f>
        <v>584.62172669166989</v>
      </c>
      <c r="BJ85" s="59">
        <f t="shared" si="92"/>
        <v>141.28992520553197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74.328135743569163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74.328135743569163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326.09691594978824</v>
      </c>
      <c r="CE85" s="59">
        <f t="shared" si="94"/>
        <v>605.43570457920714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47.9973851573574</v>
      </c>
      <c r="CL85" s="21">
        <f>EXP(-LN(2)/25)*CL84+(1-EXP(-LN(2)/25))/(LN(2)/25)*Calculateur!CG85*Calculateur!CI85*VLOOKUP('Données projet'!$B$12,Paramètres!$A$1:$I$89,3,0)*0.475*44/12</f>
        <v>8.2355556602881368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56.232940817645535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9.1529999999999969</v>
      </c>
      <c r="CT85" s="12">
        <f>IF('Données projet'!$A$140&gt;35,CT84+CS85-DB84,IF(A85&lt;'Données projet'!$A$140,$CQ$205^A85,IF(A85='Données projet'!$A$140,'Données projet'!$B$140,CT84+CS85-DB84)))</f>
        <v>336.78400000000016</v>
      </c>
      <c r="CU85" s="17">
        <f>CT85*VLOOKUP('Données projet'!$B$13,Paramètres!$A$1:$I$89,3,0)*VLOOKUP('Données projet'!$B$13,Paramètres!$A$1:$I$89,5,0)</f>
        <v>304.72216320000013</v>
      </c>
      <c r="CV85" s="13">
        <f t="shared" si="95"/>
        <v>72.165508641151035</v>
      </c>
      <c r="CW85" s="20">
        <f t="shared" si="67"/>
        <v>656.41269512333827</v>
      </c>
      <c r="CX85" s="59">
        <f t="shared" si="68"/>
        <v>949.74602845667164</v>
      </c>
      <c r="CY85" s="59">
        <f ca="1">AVERAGE(OFFSET($CX$3,0,0,'Données projet'!$E$13+1,1))-AVERAGE(OFFSET($H$3,0,0,'Données projet'!$E$13+1,1))</f>
        <v>465.85201723917186</v>
      </c>
      <c r="CZ85" s="59">
        <f t="shared" si="96"/>
        <v>110.67325285686417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61.586169616100186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61.586169616100186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</v>
      </c>
      <c r="AI86" s="13">
        <f>IF('Données projet'!$A$62&gt;35,AI85+AH86-AQ85,IF(A86&lt;'Données projet'!$A$62,$AF$205^A86,IF(A86='Données projet'!$A$62,'Données projet'!$B$62,AI85+AH86-AQ85)))</f>
        <v>233.00000000000006</v>
      </c>
      <c r="AJ86" s="13">
        <f>AI86*VLOOKUP('Données projet'!$B$10,Paramètres!$A$1:$I$89,3,0)*VLOOKUP('Données projet'!$B$10,Paramètres!$A$1:$I$89,5,0)</f>
        <v>189.00960000000006</v>
      </c>
      <c r="AK86" s="13">
        <f t="shared" si="89"/>
        <v>47.320922915876508</v>
      </c>
      <c r="AL86" s="20">
        <f t="shared" si="58"/>
        <v>411.60899407848501</v>
      </c>
      <c r="AM86" s="59">
        <f t="shared" si="59"/>
        <v>704.94232741181827</v>
      </c>
      <c r="AN86" s="59">
        <f ca="1">AVERAGE(OFFSET($AM$3,0,0,'Données projet'!$E$10+1,1))-AVERAGE(OFFSET($H$3,0,0,'Données projet'!$E$10+1,1))</f>
        <v>181.20458942529478</v>
      </c>
      <c r="AO86" s="59">
        <f t="shared" si="90"/>
        <v>144.05254691566421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33.087498643523084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33.087498643523084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9.1529999999999969</v>
      </c>
      <c r="BD86" s="12">
        <f>IF('Données projet'!$A$88&gt;35,BD85+BC86-BL85,IF(A86&lt;'Données projet'!$A$88,$BA$205^A86,IF(A86='Données projet'!$A$88,'Données projet'!$B$88,BD85+BC86-BL85)))</f>
        <v>345.93700000000018</v>
      </c>
      <c r="BE86" s="13">
        <f>BD86*VLOOKUP('Données projet'!$B$11,Paramètres!$A$1:$I$89,3,0)*VLOOKUP('Données projet'!$B$11,Paramètres!$A$1:$I$89,5,0)</f>
        <v>377.7632040000002</v>
      </c>
      <c r="BF86" s="13">
        <f t="shared" si="91"/>
        <v>87.253599172212361</v>
      </c>
      <c r="BG86" s="20">
        <f t="shared" si="61"/>
        <v>809.90426552493693</v>
      </c>
      <c r="BH86" s="59">
        <f t="shared" si="62"/>
        <v>1103.2375988582703</v>
      </c>
      <c r="BI86" s="59">
        <f ca="1">AVERAGE(OFFSET($BH$3,0,0,'Données projet'!$E$11+1,1))-AVERAGE(OFFSET($H$3,0,0,'Données projet'!$E$11+1,1))</f>
        <v>584.62172669166989</v>
      </c>
      <c r="BJ86" s="59">
        <f t="shared" si="92"/>
        <v>141.28992520553197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72.870606337324048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72.870606337324048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326.09691594978824</v>
      </c>
      <c r="CE86" s="59">
        <f t="shared" si="94"/>
        <v>605.43570457920714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47.056185709935853</v>
      </c>
      <c r="CL86" s="21">
        <f>EXP(-LN(2)/25)*CL85+(1-EXP(-LN(2)/25))/(LN(2)/25)*Calculateur!CG86*Calculateur!CI86*VLOOKUP('Données projet'!$B$12,Paramètres!$A$1:$I$89,3,0)*0.475*44/12</f>
        <v>8.0103539576685083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55.06653966760436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9.1529999999999969</v>
      </c>
      <c r="CT86" s="12">
        <f>IF('Données projet'!$A$140&gt;35,CT85+CS86-DB85,IF(A86&lt;'Données projet'!$A$140,$CQ$205^A86,IF(A86='Données projet'!$A$140,'Données projet'!$B$140,CT85+CS86-DB85)))</f>
        <v>345.93700000000018</v>
      </c>
      <c r="CU86" s="17">
        <f>CT86*VLOOKUP('Données projet'!$B$13,Paramètres!$A$1:$I$89,3,0)*VLOOKUP('Données projet'!$B$13,Paramètres!$A$1:$I$89,5,0)</f>
        <v>313.00379760000015</v>
      </c>
      <c r="CV86" s="13">
        <f t="shared" si="95"/>
        <v>73.895790168384082</v>
      </c>
      <c r="CW86" s="20">
        <f t="shared" si="67"/>
        <v>673.85011536326908</v>
      </c>
      <c r="CX86" s="59">
        <f t="shared" si="68"/>
        <v>967.18344869660245</v>
      </c>
      <c r="CY86" s="59">
        <f ca="1">AVERAGE(OFFSET($CX$3,0,0,'Données projet'!$E$13+1,1))-AVERAGE(OFFSET($H$3,0,0,'Données projet'!$E$13+1,1))</f>
        <v>465.85201723917186</v>
      </c>
      <c r="CZ86" s="59">
        <f t="shared" si="96"/>
        <v>110.67325285686417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60.378502393782803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60.378502393782803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</v>
      </c>
      <c r="AI87" s="13">
        <f>IF('Données projet'!$A$62&gt;35,AI86+AH87-AQ86,IF(A87&lt;'Données projet'!$A$62,$AF$205^A87,IF(A87='Données projet'!$A$62,'Données projet'!$B$62,AI86+AH87-AQ86)))</f>
        <v>237.00000000000006</v>
      </c>
      <c r="AJ87" s="13">
        <f>AI87*VLOOKUP('Données projet'!$B$10,Paramètres!$A$1:$I$89,3,0)*VLOOKUP('Données projet'!$B$10,Paramètres!$A$1:$I$89,5,0)</f>
        <v>192.25440000000006</v>
      </c>
      <c r="AK87" s="13">
        <f t="shared" si="89"/>
        <v>48.038026007842433</v>
      </c>
      <c r="AL87" s="20">
        <f t="shared" si="58"/>
        <v>418.50930863032568</v>
      </c>
      <c r="AM87" s="59">
        <f t="shared" si="59"/>
        <v>711.84264196365893</v>
      </c>
      <c r="AN87" s="59">
        <f ca="1">AVERAGE(OFFSET($AM$3,0,0,'Données projet'!$E$10+1,1))-AVERAGE(OFFSET($H$3,0,0,'Données projet'!$E$10+1,1))</f>
        <v>181.20458942529478</v>
      </c>
      <c r="AO87" s="59">
        <f t="shared" si="90"/>
        <v>144.05254691566421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32.438672976505025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32.438672976505025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9.1529999999999969</v>
      </c>
      <c r="BC87" s="12">
        <f t="array" ref="BC87">INDEX(BB:BB,MIN(IF(ISNUMBER(BB87:BB283),ROW(BB87:BB283),"")))</f>
        <v>9.1529999999999969</v>
      </c>
      <c r="BD87" s="12">
        <f>IF('Données projet'!$A$88&gt;35,BD86+BC87-BL86,IF(A87&lt;'Données projet'!$A$88,$BA$205^A87,IF(A87='Données projet'!$A$88,'Données projet'!$B$88,BD86+BC87-BL86)))</f>
        <v>355.0900000000002</v>
      </c>
      <c r="BE87" s="13">
        <f>BD87*VLOOKUP('Données projet'!$B$11,Paramètres!$A$1:$I$89,3,0)*VLOOKUP('Données projet'!$B$11,Paramètres!$A$1:$I$89,5,0)</f>
        <v>387.75828000000024</v>
      </c>
      <c r="BF87" s="13">
        <f t="shared" si="91"/>
        <v>89.29037263744118</v>
      </c>
      <c r="BG87" s="20">
        <f t="shared" si="61"/>
        <v>830.85973667687711</v>
      </c>
      <c r="BH87" s="59">
        <f t="shared" si="62"/>
        <v>1124.1930700102105</v>
      </c>
      <c r="BI87" s="59">
        <f ca="1">AVERAGE(OFFSET($BH$3,0,0,'Données projet'!$E$11+1,1))-AVERAGE(OFFSET($H$3,0,0,'Données projet'!$E$11+1,1))</f>
        <v>584.62172669166989</v>
      </c>
      <c r="BJ87" s="59">
        <f t="shared" si="92"/>
        <v>141.28992520553197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103.34979294551759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103.34979294551759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326.09691594978824</v>
      </c>
      <c r="CE87" s="59">
        <f t="shared" si="94"/>
        <v>605.43570457920714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46.133442609603264</v>
      </c>
      <c r="CL87" s="21">
        <f>EXP(-LN(2)/25)*CL86+(1-EXP(-LN(2)/25))/(LN(2)/25)*Calculateur!CG87*Calculateur!CI87*VLOOKUP('Données projet'!$B$12,Paramètres!$A$1:$I$89,3,0)*0.475*44/12</f>
        <v>7.7913104074498563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53.924753017053121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9.1529999999999969</v>
      </c>
      <c r="CS87" s="12">
        <f t="array" ref="CS87">INDEX(CR:CR,MIN(IF(ISNUMBER(CR87:CR283),ROW(CR87:CR283),"")))</f>
        <v>9.1529999999999969</v>
      </c>
      <c r="CT87" s="12">
        <f>IF('Données projet'!$A$140&gt;35,CT86+CS87-DB86,IF(A87&lt;'Données projet'!$A$140,$CQ$205^A87,IF(A87='Données projet'!$A$140,'Données projet'!$B$140,CT86+CS87-DB86)))</f>
        <v>355.0900000000002</v>
      </c>
      <c r="CU87" s="17">
        <f>CT87*VLOOKUP('Données projet'!$B$13,Paramètres!$A$1:$I$89,3,0)*VLOOKUP('Données projet'!$B$13,Paramètres!$A$1:$I$89,5,0)</f>
        <v>321.28543200000013</v>
      </c>
      <c r="CV87" s="13">
        <f t="shared" si="95"/>
        <v>75.620750353808873</v>
      </c>
      <c r="CW87" s="20">
        <f t="shared" si="67"/>
        <v>691.27826759955076</v>
      </c>
      <c r="CX87" s="59">
        <f t="shared" si="68"/>
        <v>984.61160093288413</v>
      </c>
      <c r="CY87" s="59">
        <f ca="1">AVERAGE(OFFSET($CX$3,0,0,'Données projet'!$E$13+1,1))-AVERAGE(OFFSET($H$3,0,0,'Données projet'!$E$13+1,1))</f>
        <v>465.85201723917186</v>
      </c>
      <c r="CZ87" s="59">
        <f t="shared" si="96"/>
        <v>110.67325285686417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0.43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85.632685583428881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85.632685583428881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241</v>
      </c>
      <c r="AG88" s="12">
        <f>VLOOKUP(A88,'Données projet'!$A$61:$I$81,9,0)</f>
        <v>4</v>
      </c>
      <c r="AH88" s="12">
        <f t="array" ref="AH88">INDEX(AG:AG,MIN(IF(ISNUMBER(AG88:AG284),ROW(AG88:AG284),"")))</f>
        <v>4</v>
      </c>
      <c r="AI88" s="13">
        <f>IF('Données projet'!$A$62&gt;35,AI87+AH88-AQ87,IF(A88&lt;'Données projet'!$A$62,$AF$205^A88,IF(A88='Données projet'!$A$62,'Données projet'!$B$62,AI87+AH88-AQ87)))</f>
        <v>241.00000000000006</v>
      </c>
      <c r="AJ88" s="13">
        <f>AI88*VLOOKUP('Données projet'!$B$10,Paramètres!$A$1:$I$89,3,0)*VLOOKUP('Données projet'!$B$10,Paramètres!$A$1:$I$89,5,0)</f>
        <v>195.49920000000006</v>
      </c>
      <c r="AK88" s="13">
        <f t="shared" si="89"/>
        <v>48.753721622209305</v>
      </c>
      <c r="AL88" s="20">
        <f t="shared" si="58"/>
        <v>425.40717182534792</v>
      </c>
      <c r="AM88" s="59">
        <f t="shared" si="59"/>
        <v>718.74050515868123</v>
      </c>
      <c r="AN88" s="59">
        <f ca="1">AVERAGE(OFFSET($AM$3,0,0,'Données projet'!$E$10+1,1))-AVERAGE(OFFSET($H$3,0,0,'Données projet'!$E$10+1,1))</f>
        <v>181.20458942529478</v>
      </c>
      <c r="AO88" s="59">
        <f t="shared" si="90"/>
        <v>144.05254691566421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13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36.815445211865757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36.815445211865757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8.6509999999999998</v>
      </c>
      <c r="BD88" s="12">
        <f>IF('Données projet'!$A$88&gt;35,BD87+BC88-BL87,IF(A88&lt;'Données projet'!$A$88,$BA$205^A88,IF(A88='Données projet'!$A$88,'Données projet'!$B$88,BD87+BC88-BL87)))</f>
        <v>302.27100000000019</v>
      </c>
      <c r="BE88" s="13">
        <f>BD88*VLOOKUP('Données projet'!$B$11,Paramètres!$A$1:$I$89,3,0)*VLOOKUP('Données projet'!$B$11,Paramètres!$A$1:$I$89,5,0)</f>
        <v>330.07993200000016</v>
      </c>
      <c r="BF88" s="13">
        <f t="shared" si="91"/>
        <v>77.446878881162505</v>
      </c>
      <c r="BG88" s="20">
        <f t="shared" si="61"/>
        <v>709.77586228469147</v>
      </c>
      <c r="BH88" s="59">
        <f t="shared" si="62"/>
        <v>1003.1091956180248</v>
      </c>
      <c r="BI88" s="59">
        <f ca="1">AVERAGE(OFFSET($BH$3,0,0,'Données projet'!$E$11+1,1))-AVERAGE(OFFSET($H$3,0,0,'Données projet'!$E$11+1,1))</f>
        <v>584.62172669166989</v>
      </c>
      <c r="BJ88" s="59">
        <f t="shared" si="92"/>
        <v>141.28992520553197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101.32316654300529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101.32316654300529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326.09691594978824</v>
      </c>
      <c r="CE88" s="59">
        <f t="shared" si="94"/>
        <v>605.43570457920714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45.228793938650476</v>
      </c>
      <c r="CL88" s="21">
        <f>EXP(-LN(2)/25)*CL87+(1-EXP(-LN(2)/25))/(LN(2)/25)*Calculateur!CG88*Calculateur!CI88*VLOOKUP('Données projet'!$B$12,Paramètres!$A$1:$I$89,3,0)*0.475*44/12</f>
        <v>7.5782566146309325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52.807050553281407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8.6509999999999998</v>
      </c>
      <c r="CT88" s="12">
        <f>IF('Données projet'!$A$140&gt;35,CT87+CS88-DB87,IF(A88&lt;'Données projet'!$A$140,$CQ$205^A88,IF(A88='Données projet'!$A$140,'Données projet'!$B$140,CT87+CS88-DB87)))</f>
        <v>302.27100000000019</v>
      </c>
      <c r="CU88" s="17">
        <f>CT88*VLOOKUP('Données projet'!$B$13,Paramètres!$A$1:$I$89,3,0)*VLOOKUP('Données projet'!$B$13,Paramètres!$A$1:$I$89,5,0)</f>
        <v>273.49480080000018</v>
      </c>
      <c r="CV88" s="13">
        <f t="shared" si="95"/>
        <v>65.590398164586517</v>
      </c>
      <c r="CW88" s="20">
        <f t="shared" si="67"/>
        <v>590.57338819665517</v>
      </c>
      <c r="CX88" s="59">
        <f t="shared" si="68"/>
        <v>883.90672152998854</v>
      </c>
      <c r="CY88" s="59">
        <f ca="1">AVERAGE(OFFSET($CX$3,0,0,'Données projet'!$E$13+1,1))-AVERAGE(OFFSET($H$3,0,0,'Données projet'!$E$13+1,1))</f>
        <v>465.85201723917186</v>
      </c>
      <c r="CZ88" s="59">
        <f t="shared" si="96"/>
        <v>110.67325285686417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83.953480849918691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83.953480849918691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3.6</v>
      </c>
      <c r="AI89" s="13">
        <f>IF('Données projet'!$A$62&gt;35,AI88+AH89-AQ88,IF(A89&lt;'Données projet'!$A$62,$AF$205^A89,IF(A89='Données projet'!$A$62,'Données projet'!$B$62,AI88+AH89-AQ88)))</f>
        <v>231.60000000000005</v>
      </c>
      <c r="AJ89" s="13">
        <f>AI89*VLOOKUP('Données projet'!$B$10,Paramètres!$A$1:$I$89,3,0)*VLOOKUP('Données projet'!$B$10,Paramètres!$A$1:$I$89,5,0)</f>
        <v>187.87392000000006</v>
      </c>
      <c r="AK89" s="13">
        <f t="shared" si="89"/>
        <v>47.069599349044694</v>
      </c>
      <c r="AL89" s="20">
        <f t="shared" si="58"/>
        <v>409.19329619958626</v>
      </c>
      <c r="AM89" s="59">
        <f t="shared" si="59"/>
        <v>702.52662953291951</v>
      </c>
      <c r="AN89" s="59">
        <f ca="1">AVERAGE(OFFSET($AM$3,0,0,'Données projet'!$E$10+1,1))-AVERAGE(OFFSET($H$3,0,0,'Données projet'!$E$10+1,1))</f>
        <v>181.20458942529478</v>
      </c>
      <c r="AO89" s="59">
        <f t="shared" si="90"/>
        <v>144.05254691566421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36.093516786465379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36.093516786465379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8.6509999999999998</v>
      </c>
      <c r="BD89" s="12">
        <f>IF('Données projet'!$A$88&gt;35,BD88+BC89-BL88,IF(A89&lt;'Données projet'!$A$88,$BA$205^A89,IF(A89='Données projet'!$A$88,'Données projet'!$B$88,BD88+BC89-BL88)))</f>
        <v>310.9220000000002</v>
      </c>
      <c r="BE89" s="13">
        <f>BD89*VLOOKUP('Données projet'!$B$11,Paramètres!$A$1:$I$89,3,0)*VLOOKUP('Données projet'!$B$11,Paramètres!$A$1:$I$89,5,0)</f>
        <v>339.5268240000002</v>
      </c>
      <c r="BF89" s="13">
        <f t="shared" si="91"/>
        <v>79.402177341928521</v>
      </c>
      <c r="BG89" s="20">
        <f t="shared" si="61"/>
        <v>729.63467733719244</v>
      </c>
      <c r="BH89" s="59">
        <f t="shared" si="62"/>
        <v>1022.9680106705257</v>
      </c>
      <c r="BI89" s="59">
        <f ca="1">AVERAGE(OFFSET($BH$3,0,0,'Données projet'!$E$11+1,1))-AVERAGE(OFFSET($H$3,0,0,'Données projet'!$E$11+1,1))</f>
        <v>584.62172669166989</v>
      </c>
      <c r="BJ89" s="59">
        <f t="shared" si="92"/>
        <v>141.28992520553197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99.336281048126196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99.336281048126196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326.09691594978824</v>
      </c>
      <c r="CE89" s="59">
        <f t="shared" si="94"/>
        <v>605.43570457920714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44.341884876353866</v>
      </c>
      <c r="CL89" s="21">
        <f>EXP(-LN(2)/25)*CL88+(1-EXP(-LN(2)/25))/(LN(2)/25)*Calculateur!CG89*Calculateur!CI89*VLOOKUP('Données projet'!$B$12,Paramètres!$A$1:$I$89,3,0)*0.475*44/12</f>
        <v>7.3710287889806549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51.712913665334518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8.6509999999999998</v>
      </c>
      <c r="CT89" s="12">
        <f>IF('Données projet'!$A$140&gt;35,CT88+CS89-DB88,IF(A89&lt;'Données projet'!$A$140,$CQ$205^A89,IF(A89='Données projet'!$A$140,'Données projet'!$B$140,CT88+CS89-DB88)))</f>
        <v>310.9220000000002</v>
      </c>
      <c r="CU89" s="17">
        <f>CT89*VLOOKUP('Données projet'!$B$13,Paramètres!$A$1:$I$89,3,0)*VLOOKUP('Données projet'!$B$13,Paramètres!$A$1:$I$89,5,0)</f>
        <v>281.32222560000019</v>
      </c>
      <c r="CV89" s="13">
        <f t="shared" si="95"/>
        <v>67.246356499189531</v>
      </c>
      <c r="CW89" s="20">
        <f t="shared" si="67"/>
        <v>607.09028048942207</v>
      </c>
      <c r="CX89" s="59">
        <f t="shared" si="68"/>
        <v>900.42361382275544</v>
      </c>
      <c r="CY89" s="59">
        <f ca="1">AVERAGE(OFFSET($CX$3,0,0,'Données projet'!$E$13+1,1))-AVERAGE(OFFSET($H$3,0,0,'Données projet'!$E$13+1,1))</f>
        <v>465.85201723917186</v>
      </c>
      <c r="CZ89" s="59">
        <f t="shared" si="96"/>
        <v>110.67325285686417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82.30720429701887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82.30720429701887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3.6</v>
      </c>
      <c r="AI90" s="13">
        <f>IF('Données projet'!$A$62&gt;35,AI89+AH90-AQ89,IF(A90&lt;'Données projet'!$A$62,$AF$205^A90,IF(A90='Données projet'!$A$62,'Données projet'!$B$62,AI89+AH90-AQ89)))</f>
        <v>235.20000000000005</v>
      </c>
      <c r="AJ90" s="13">
        <f>AI90*VLOOKUP('Données projet'!$B$10,Paramètres!$A$1:$I$89,3,0)*VLOOKUP('Données projet'!$B$10,Paramètres!$A$1:$I$89,5,0)</f>
        <v>190.79424000000006</v>
      </c>
      <c r="AK90" s="13">
        <f t="shared" si="89"/>
        <v>47.715505384501149</v>
      </c>
      <c r="AL90" s="20">
        <f t="shared" si="58"/>
        <v>415.40447321133956</v>
      </c>
      <c r="AM90" s="59">
        <f t="shared" si="59"/>
        <v>708.73780654467282</v>
      </c>
      <c r="AN90" s="59">
        <f ca="1">AVERAGE(OFFSET($AM$3,0,0,'Données projet'!$E$10+1,1))-AVERAGE(OFFSET($H$3,0,0,'Données projet'!$E$10+1,1))</f>
        <v>181.20458942529478</v>
      </c>
      <c r="AO90" s="59">
        <f t="shared" si="90"/>
        <v>144.05254691566421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35.385744937154243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35.385744937154243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8.6509999999999998</v>
      </c>
      <c r="BD90" s="12">
        <f>IF('Données projet'!$A$88&gt;35,BD89+BC90-BL89,IF(A90&lt;'Données projet'!$A$88,$BA$205^A90,IF(A90='Données projet'!$A$88,'Données projet'!$B$88,BD89+BC90-BL89)))</f>
        <v>319.57300000000021</v>
      </c>
      <c r="BE90" s="13">
        <f>BD90*VLOOKUP('Données projet'!$B$11,Paramètres!$A$1:$I$89,3,0)*VLOOKUP('Données projet'!$B$11,Paramètres!$A$1:$I$89,5,0)</f>
        <v>348.97371600000025</v>
      </c>
      <c r="BF90" s="13">
        <f t="shared" si="91"/>
        <v>81.351152601018768</v>
      </c>
      <c r="BG90" s="20">
        <f t="shared" si="61"/>
        <v>749.48247948010805</v>
      </c>
      <c r="BH90" s="59">
        <f t="shared" si="62"/>
        <v>1042.8158128134414</v>
      </c>
      <c r="BI90" s="59">
        <f ca="1">AVERAGE(OFFSET($BH$3,0,0,'Données projet'!$E$11+1,1))-AVERAGE(OFFSET($H$3,0,0,'Données projet'!$E$11+1,1))</f>
        <v>584.62172669166989</v>
      </c>
      <c r="BJ90" s="59">
        <f t="shared" si="92"/>
        <v>141.28992520553197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97.388357165921192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97.388357165921192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326.09691594978824</v>
      </c>
      <c r="CE90" s="59">
        <f t="shared" si="94"/>
        <v>605.43570457920714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43.472367559807786</v>
      </c>
      <c r="CL90" s="21">
        <f>EXP(-LN(2)/25)*CL89+(1-EXP(-LN(2)/25))/(LN(2)/25)*Calculateur!CG90*Calculateur!CI90*VLOOKUP('Données projet'!$B$12,Paramètres!$A$1:$I$89,3,0)*0.475*44/12</f>
        <v>7.1694676191204216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50.641835178928204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8.6509999999999998</v>
      </c>
      <c r="CT90" s="12">
        <f>IF('Données projet'!$A$140&gt;35,CT89+CS90-DB89,IF(A90&lt;'Données projet'!$A$140,$CQ$205^A90,IF(A90='Données projet'!$A$140,'Données projet'!$B$140,CT89+CS90-DB89)))</f>
        <v>319.57300000000021</v>
      </c>
      <c r="CU90" s="17">
        <f>CT90*VLOOKUP('Données projet'!$B$13,Paramètres!$A$1:$I$89,3,0)*VLOOKUP('Données projet'!$B$13,Paramètres!$A$1:$I$89,5,0)</f>
        <v>289.14965040000021</v>
      </c>
      <c r="CV90" s="13">
        <f t="shared" si="95"/>
        <v>68.896959662330573</v>
      </c>
      <c r="CW90" s="20">
        <f t="shared" si="67"/>
        <v>623.59784585855948</v>
      </c>
      <c r="CX90" s="59">
        <f t="shared" si="68"/>
        <v>916.93117919189285</v>
      </c>
      <c r="CY90" s="59">
        <f ca="1">AVERAGE(OFFSET($CX$3,0,0,'Données projet'!$E$13+1,1))-AVERAGE(OFFSET($H$3,0,0,'Données projet'!$E$13+1,1))</f>
        <v>465.85201723917186</v>
      </c>
      <c r="CZ90" s="59">
        <f t="shared" si="96"/>
        <v>110.67325285686417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80.693210223191869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80.693210223191869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3.6</v>
      </c>
      <c r="AI91" s="13">
        <f>IF('Données projet'!$A$62&gt;35,AI90+AH91-AQ90,IF(A91&lt;'Données projet'!$A$62,$AF$205^A91,IF(A91='Données projet'!$A$62,'Données projet'!$B$62,AI90+AH91-AQ90)))</f>
        <v>238.80000000000004</v>
      </c>
      <c r="AJ91" s="13">
        <f>AI91*VLOOKUP('Données projet'!$B$10,Paramètres!$A$1:$I$89,3,0)*VLOOKUP('Données projet'!$B$10,Paramètres!$A$1:$I$89,5,0)</f>
        <v>193.71456000000006</v>
      </c>
      <c r="AK91" s="13">
        <f t="shared" si="89"/>
        <v>48.360261629719496</v>
      </c>
      <c r="AL91" s="20">
        <f t="shared" si="58"/>
        <v>421.61364767176156</v>
      </c>
      <c r="AM91" s="59">
        <f t="shared" si="59"/>
        <v>714.94698100509481</v>
      </c>
      <c r="AN91" s="59">
        <f ca="1">AVERAGE(OFFSET($AM$3,0,0,'Données projet'!$E$10+1,1))-AVERAGE(OFFSET($H$3,0,0,'Données projet'!$E$10+1,1))</f>
        <v>181.20458942529478</v>
      </c>
      <c r="AO91" s="59">
        <f t="shared" si="90"/>
        <v>144.05254691566421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34.691852062109902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34.691852062109902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8.6509999999999998</v>
      </c>
      <c r="BD91" s="12">
        <f>IF('Données projet'!$A$88&gt;35,BD90+BC91-BL90,IF(A91&lt;'Données projet'!$A$88,$BA$205^A91,IF(A91='Données projet'!$A$88,'Données projet'!$B$88,BD90+BC91-BL90)))</f>
        <v>328.22400000000022</v>
      </c>
      <c r="BE91" s="13">
        <f>BD91*VLOOKUP('Données projet'!$B$11,Paramètres!$A$1:$I$89,3,0)*VLOOKUP('Données projet'!$B$11,Paramètres!$A$1:$I$89,5,0)</f>
        <v>358.42060800000024</v>
      </c>
      <c r="BF91" s="13">
        <f t="shared" si="91"/>
        <v>83.293995501534994</v>
      </c>
      <c r="BG91" s="20">
        <f t="shared" si="61"/>
        <v>769.31960109850718</v>
      </c>
      <c r="BH91" s="59">
        <f t="shared" si="62"/>
        <v>1062.6529344318405</v>
      </c>
      <c r="BI91" s="59">
        <f ca="1">AVERAGE(OFFSET($BH$3,0,0,'Données projet'!$E$11+1,1))-AVERAGE(OFFSET($H$3,0,0,'Données projet'!$E$11+1,1))</f>
        <v>584.62172669166989</v>
      </c>
      <c r="BJ91" s="59">
        <f t="shared" si="92"/>
        <v>141.28992520553197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95.478630882929991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95.478630882929991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326.09691594978824</v>
      </c>
      <c r="CE91" s="59">
        <f t="shared" si="94"/>
        <v>605.43570457920714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42.619900947485974</v>
      </c>
      <c r="CL91" s="21">
        <f>EXP(-LN(2)/25)*CL90+(1-EXP(-LN(2)/25))/(LN(2)/25)*Calculateur!CG91*Calculateur!CI91*VLOOKUP('Données projet'!$B$12,Paramètres!$A$1:$I$89,3,0)*0.475*44/12</f>
        <v>6.9734181500496577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49.593319097535634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8.6509999999999998</v>
      </c>
      <c r="CT91" s="12">
        <f>IF('Données projet'!$A$140&gt;35,CT90+CS91-DB90,IF(A91&lt;'Données projet'!$A$140,$CQ$205^A91,IF(A91='Données projet'!$A$140,'Données projet'!$B$140,CT90+CS91-DB90)))</f>
        <v>328.22400000000022</v>
      </c>
      <c r="CU91" s="17">
        <f>CT91*VLOOKUP('Données projet'!$B$13,Paramètres!$A$1:$I$89,3,0)*VLOOKUP('Données projet'!$B$13,Paramètres!$A$1:$I$89,5,0)</f>
        <v>296.97707520000017</v>
      </c>
      <c r="CV91" s="13">
        <f t="shared" si="95"/>
        <v>70.542369280601235</v>
      </c>
      <c r="CW91" s="20">
        <f t="shared" si="67"/>
        <v>640.09636580371409</v>
      </c>
      <c r="CX91" s="59">
        <f t="shared" si="68"/>
        <v>933.42969913704746</v>
      </c>
      <c r="CY91" s="59">
        <f ca="1">AVERAGE(OFFSET($CX$3,0,0,'Données projet'!$E$13+1,1))-AVERAGE(OFFSET($H$3,0,0,'Données projet'!$E$13+1,1))</f>
        <v>465.85201723917186</v>
      </c>
      <c r="CZ91" s="59">
        <f t="shared" si="96"/>
        <v>110.67325285686417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79.110865588713438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79.110865588713438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3.6</v>
      </c>
      <c r="AI92" s="13">
        <f>IF('Données projet'!$A$62&gt;35,AI91+AH92-AQ91,IF(A92&lt;'Données projet'!$A$62,$AF$205^A92,IF(A92='Données projet'!$A$62,'Données projet'!$B$62,AI91+AH92-AQ91)))</f>
        <v>242.40000000000003</v>
      </c>
      <c r="AJ92" s="13">
        <f>AI92*VLOOKUP('Données projet'!$B$10,Paramètres!$A$1:$I$89,3,0)*VLOOKUP('Données projet'!$B$10,Paramètres!$A$1:$I$89,5,0)</f>
        <v>196.63488000000004</v>
      </c>
      <c r="AK92" s="13">
        <f t="shared" si="89"/>
        <v>49.003887420349095</v>
      </c>
      <c r="AL92" s="20">
        <f t="shared" si="58"/>
        <v>427.82085325710801</v>
      </c>
      <c r="AM92" s="59">
        <f t="shared" si="59"/>
        <v>721.15418659044133</v>
      </c>
      <c r="AN92" s="59">
        <f ca="1">AVERAGE(OFFSET($AM$3,0,0,'Données projet'!$E$10+1,1))-AVERAGE(OFFSET($H$3,0,0,'Données projet'!$E$10+1,1))</f>
        <v>181.20458942529478</v>
      </c>
      <c r="AO92" s="59">
        <f t="shared" si="90"/>
        <v>144.05254691566421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34.011566003112314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34.011566003112314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8.6509999999999998</v>
      </c>
      <c r="BD92" s="12">
        <f>IF('Données projet'!$A$88&gt;35,BD91+BC92-BL91,IF(A92&lt;'Données projet'!$A$88,$BA$205^A92,IF(A92='Données projet'!$A$88,'Données projet'!$B$88,BD91+BC92-BL91)))</f>
        <v>336.87500000000023</v>
      </c>
      <c r="BE92" s="13">
        <f>BD92*VLOOKUP('Données projet'!$B$11,Paramètres!$A$1:$I$89,3,0)*VLOOKUP('Données projet'!$B$11,Paramètres!$A$1:$I$89,5,0)</f>
        <v>367.86750000000023</v>
      </c>
      <c r="BF92" s="13">
        <f t="shared" si="91"/>
        <v>85.230886253574951</v>
      </c>
      <c r="BG92" s="20">
        <f t="shared" si="61"/>
        <v>789.14635605831018</v>
      </c>
      <c r="BH92" s="59">
        <f t="shared" si="62"/>
        <v>1082.4796893916434</v>
      </c>
      <c r="BI92" s="59">
        <f ca="1">AVERAGE(OFFSET($BH$3,0,0,'Données projet'!$E$11+1,1))-AVERAGE(OFFSET($H$3,0,0,'Données projet'!$E$11+1,1))</f>
        <v>584.62172669166989</v>
      </c>
      <c r="BJ92" s="59">
        <f t="shared" si="92"/>
        <v>141.28992520553197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93.60635316753023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93.60635316753023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326.09691594978824</v>
      </c>
      <c r="CE92" s="59">
        <f t="shared" si="94"/>
        <v>605.43570457920714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41.784150685478501</v>
      </c>
      <c r="CL92" s="21">
        <f>EXP(-LN(2)/25)*CL91+(1-EXP(-LN(2)/25))/(LN(2)/25)*Calculateur!CG92*Calculateur!CI92*VLOOKUP('Données projet'!$B$12,Paramètres!$A$1:$I$89,3,0)*0.475*44/12</f>
        <v>6.7827296640204269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48.566880349498931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8.6509999999999998</v>
      </c>
      <c r="CT92" s="12">
        <f>IF('Données projet'!$A$140&gt;35,CT91+CS92-DB91,IF(A92&lt;'Données projet'!$A$140,$CQ$205^A92,IF(A92='Données projet'!$A$140,'Données projet'!$B$140,CT91+CS92-DB91)))</f>
        <v>336.87500000000023</v>
      </c>
      <c r="CU92" s="17">
        <f>CT92*VLOOKUP('Données projet'!$B$13,Paramètres!$A$1:$I$89,3,0)*VLOOKUP('Données projet'!$B$13,Paramètres!$A$1:$I$89,5,0)</f>
        <v>304.80450000000019</v>
      </c>
      <c r="CV92" s="13">
        <f t="shared" si="95"/>
        <v>72.182737975413843</v>
      </c>
      <c r="CW92" s="20">
        <f t="shared" si="67"/>
        <v>656.5861061405127</v>
      </c>
      <c r="CX92" s="59">
        <f t="shared" si="68"/>
        <v>949.91943947384607</v>
      </c>
      <c r="CY92" s="59">
        <f ca="1">AVERAGE(OFFSET($CX$3,0,0,'Données projet'!$E$13+1,1))-AVERAGE(OFFSET($H$3,0,0,'Données projet'!$E$13+1,1))</f>
        <v>465.85201723917186</v>
      </c>
      <c r="CZ92" s="59">
        <f t="shared" si="96"/>
        <v>110.67325285686417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77.559549767382208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77.559549767382208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246</v>
      </c>
      <c r="AG93" s="12">
        <f>VLOOKUP(A93,'Données projet'!$A$61:$I$81,9,0)</f>
        <v>3.6</v>
      </c>
      <c r="AH93" s="12">
        <f t="array" ref="AH93">INDEX(AG:AG,MIN(IF(ISNUMBER(AG93:AG289),ROW(AG93:AG289),"")))</f>
        <v>3.6</v>
      </c>
      <c r="AI93" s="13">
        <f>IF('Données projet'!$A$62&gt;35,AI92+AH93-AQ92,IF(A93&lt;'Données projet'!$A$62,$AF$205^A93,IF(A93='Données projet'!$A$62,'Données projet'!$B$62,AI92+AH93-AQ92)))</f>
        <v>246.00000000000003</v>
      </c>
      <c r="AJ93" s="13">
        <f>AI93*VLOOKUP('Données projet'!$B$10,Paramètres!$A$1:$I$89,3,0)*VLOOKUP('Données projet'!$B$10,Paramètres!$A$1:$I$89,5,0)</f>
        <v>199.55520000000004</v>
      </c>
      <c r="AK93" s="13">
        <f t="shared" si="89"/>
        <v>49.646401484745567</v>
      </c>
      <c r="AL93" s="20">
        <f t="shared" si="58"/>
        <v>434.02612258593189</v>
      </c>
      <c r="AM93" s="59">
        <f t="shared" si="59"/>
        <v>727.3594559192652</v>
      </c>
      <c r="AN93" s="59">
        <f ca="1">AVERAGE(OFFSET($AM$3,0,0,'Données projet'!$E$10+1,1))-AVERAGE(OFFSET($H$3,0,0,'Données projet'!$E$10+1,1))</f>
        <v>181.20458942529478</v>
      </c>
      <c r="AO93" s="59">
        <f t="shared" si="90"/>
        <v>144.05254691566421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12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37.971889009684133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37.971889009684133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8.6509999999999998</v>
      </c>
      <c r="BD93" s="12">
        <f>IF('Données projet'!$A$88&gt;35,BD92+BC93-BL92,IF(A93&lt;'Données projet'!$A$88,$BA$205^A93,IF(A93='Données projet'!$A$88,'Données projet'!$B$88,BD92+BC93-BL92)))</f>
        <v>345.52600000000024</v>
      </c>
      <c r="BE93" s="13">
        <f>BD93*VLOOKUP('Données projet'!$B$11,Paramètres!$A$1:$I$89,3,0)*VLOOKUP('Données projet'!$B$11,Paramètres!$A$1:$I$89,5,0)</f>
        <v>377.31439200000023</v>
      </c>
      <c r="BF93" s="13">
        <f t="shared" si="91"/>
        <v>87.161995284293411</v>
      </c>
      <c r="BG93" s="20">
        <f t="shared" si="61"/>
        <v>808.96304118681144</v>
      </c>
      <c r="BH93" s="59">
        <f t="shared" si="62"/>
        <v>1102.2963745201448</v>
      </c>
      <c r="BI93" s="59">
        <f ca="1">AVERAGE(OFFSET($BH$3,0,0,'Données projet'!$E$11+1,1))-AVERAGE(OFFSET($H$3,0,0,'Données projet'!$E$11+1,1))</f>
        <v>584.62172669166989</v>
      </c>
      <c r="BJ93" s="59">
        <f t="shared" si="92"/>
        <v>141.28992520553197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91.770789676152802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91.770789676152802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326.09691594978824</v>
      </c>
      <c r="CE93" s="59">
        <f t="shared" si="94"/>
        <v>605.43570457920714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40.96478897635167</v>
      </c>
      <c r="CL93" s="21">
        <f>EXP(-LN(2)/25)*CL92+(1-EXP(-LN(2)/25))/(LN(2)/25)*Calculateur!CG93*Calculateur!CI93*VLOOKUP('Données projet'!$B$12,Paramètres!$A$1:$I$89,3,0)*0.475*44/12</f>
        <v>6.5972555646695374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47.562044541021208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8.6509999999999998</v>
      </c>
      <c r="CT93" s="12">
        <f>IF('Données projet'!$A$140&gt;35,CT92+CS93-DB92,IF(A93&lt;'Données projet'!$A$140,$CQ$205^A93,IF(A93='Données projet'!$A$140,'Données projet'!$B$140,CT92+CS93-DB92)))</f>
        <v>345.52600000000024</v>
      </c>
      <c r="CU93" s="17">
        <f>CT93*VLOOKUP('Données projet'!$B$13,Paramètres!$A$1:$I$89,3,0)*VLOOKUP('Données projet'!$B$13,Paramètres!$A$1:$I$89,5,0)</f>
        <v>312.63192480000021</v>
      </c>
      <c r="CV93" s="13">
        <f t="shared" si="95"/>
        <v>73.818210082926498</v>
      </c>
      <c r="CW93" s="20">
        <f t="shared" si="67"/>
        <v>673.06731825443057</v>
      </c>
      <c r="CX93" s="59">
        <f t="shared" si="68"/>
        <v>966.40065158776383</v>
      </c>
      <c r="CY93" s="59">
        <f ca="1">AVERAGE(OFFSET($CX$3,0,0,'Données projet'!$E$13+1,1))-AVERAGE(OFFSET($H$3,0,0,'Données projet'!$E$13+1,1))</f>
        <v>465.85201723917186</v>
      </c>
      <c r="CZ93" s="59">
        <f t="shared" si="96"/>
        <v>110.67325285686417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76.038654303098056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76.038654303098056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234.00000000000003</v>
      </c>
      <c r="AJ94" s="13">
        <f>AI94*VLOOKUP('Données projet'!$B$10,Paramètres!$A$1:$I$89,3,0)*VLOOKUP('Données projet'!$B$10,Paramètres!$A$1:$I$89,5,0)</f>
        <v>189.82080000000005</v>
      </c>
      <c r="AK94" s="13">
        <f t="shared" si="89"/>
        <v>47.500332100049796</v>
      </c>
      <c r="AL94" s="20">
        <f t="shared" si="58"/>
        <v>413.33430507425345</v>
      </c>
      <c r="AM94" s="59">
        <f t="shared" si="59"/>
        <v>706.66763840758676</v>
      </c>
      <c r="AN94" s="59">
        <f ca="1">AVERAGE(OFFSET($AM$3,0,0,'Données projet'!$E$10+1,1))-AVERAGE(OFFSET($H$3,0,0,'Données projet'!$E$10+1,1))</f>
        <v>181.20458942529478</v>
      </c>
      <c r="AO94" s="59">
        <f t="shared" si="90"/>
        <v>144.05254691566421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37.22728342676961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37.22728342676961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8.6509999999999998</v>
      </c>
      <c r="BD94" s="12">
        <f>IF('Données projet'!$A$88&gt;35,BD93+BC94-BL93,IF(A94&lt;'Données projet'!$A$88,$BA$205^A94,IF(A94='Données projet'!$A$88,'Données projet'!$B$88,BD93+BC94-BL93)))</f>
        <v>354.17700000000025</v>
      </c>
      <c r="BE94" s="13">
        <f>BD94*VLOOKUP('Données projet'!$B$11,Paramètres!$A$1:$I$89,3,0)*VLOOKUP('Données projet'!$B$11,Paramètres!$A$1:$I$89,5,0)</f>
        <v>386.76128400000022</v>
      </c>
      <c r="BF94" s="13">
        <f t="shared" si="91"/>
        <v>89.087484000435779</v>
      </c>
      <c r="BG94" s="20">
        <f t="shared" si="61"/>
        <v>828.76993760075936</v>
      </c>
      <c r="BH94" s="59">
        <f t="shared" si="62"/>
        <v>1122.1032709340927</v>
      </c>
      <c r="BI94" s="59">
        <f ca="1">AVERAGE(OFFSET($BH$3,0,0,'Données projet'!$E$11+1,1))-AVERAGE(OFFSET($H$3,0,0,'Données projet'!$E$11+1,1))</f>
        <v>584.62172669166989</v>
      </c>
      <c r="BJ94" s="59">
        <f t="shared" si="92"/>
        <v>141.28992520553197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89.971220465258114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89.971220465258114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326.09691594978824</v>
      </c>
      <c r="CE94" s="59">
        <f t="shared" si="94"/>
        <v>605.43570457920714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40.161494450579525</v>
      </c>
      <c r="CL94" s="21">
        <f>EXP(-LN(2)/25)*CL93+(1-EXP(-LN(2)/25))/(LN(2)/25)*Calculateur!CG94*Calculateur!CI94*VLOOKUP('Données projet'!$B$12,Paramètres!$A$1:$I$89,3,0)*0.475*44/12</f>
        <v>6.416853264319057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46.578347714898584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8.6509999999999998</v>
      </c>
      <c r="CT94" s="12">
        <f>IF('Données projet'!$A$140&gt;35,CT93+CS94-DB93,IF(A94&lt;'Données projet'!$A$140,$CQ$205^A94,IF(A94='Données projet'!$A$140,'Données projet'!$B$140,CT93+CS94-DB93)))</f>
        <v>354.17700000000025</v>
      </c>
      <c r="CU94" s="17">
        <f>CT94*VLOOKUP('Données projet'!$B$13,Paramètres!$A$1:$I$89,3,0)*VLOOKUP('Données projet'!$B$13,Paramètres!$A$1:$I$89,5,0)</f>
        <v>320.45934960000022</v>
      </c>
      <c r="CV94" s="13">
        <f t="shared" si="95"/>
        <v>75.448922299838316</v>
      </c>
      <c r="CW94" s="20">
        <f t="shared" si="67"/>
        <v>689.54024022555211</v>
      </c>
      <c r="CX94" s="59">
        <f t="shared" si="68"/>
        <v>982.87357355888548</v>
      </c>
      <c r="CY94" s="59">
        <f ca="1">AVERAGE(OFFSET($CX$3,0,0,'Données projet'!$E$13+1,1))-AVERAGE(OFFSET($H$3,0,0,'Données projet'!$E$13+1,1))</f>
        <v>465.85201723917186</v>
      </c>
      <c r="CZ94" s="59">
        <f t="shared" si="96"/>
        <v>110.67325285686417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74.547582671213888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74.547582671213888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234.00000000000003</v>
      </c>
      <c r="AJ95" s="13">
        <f>AI95*VLOOKUP('Données projet'!$B$10,Paramètres!$A$1:$I$89,3,0)*VLOOKUP('Données projet'!$B$10,Paramètres!$A$1:$I$89,5,0)</f>
        <v>189.82080000000005</v>
      </c>
      <c r="AK95" s="13">
        <f t="shared" si="89"/>
        <v>47.500332100049796</v>
      </c>
      <c r="AL95" s="20">
        <f t="shared" si="58"/>
        <v>413.33430507425345</v>
      </c>
      <c r="AM95" s="59">
        <f t="shared" si="59"/>
        <v>706.66763840758676</v>
      </c>
      <c r="AN95" s="59">
        <f ca="1">AVERAGE(OFFSET($AM$3,0,0,'Données projet'!$E$10+1,1))-AVERAGE(OFFSET($H$3,0,0,'Données projet'!$E$10+1,1))</f>
        <v>181.20458942529478</v>
      </c>
      <c r="AO95" s="59">
        <f t="shared" si="90"/>
        <v>144.05254691566421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36.497279105171479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36.497279105171479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8.6509999999999998</v>
      </c>
      <c r="BD95" s="12">
        <f>IF('Données projet'!$A$88&gt;35,BD94+BC95-BL94,IF(A95&lt;'Données projet'!$A$88,$BA$205^A95,IF(A95='Données projet'!$A$88,'Données projet'!$B$88,BD94+BC95-BL94)))</f>
        <v>362.82800000000026</v>
      </c>
      <c r="BE95" s="13">
        <f>BD95*VLOOKUP('Données projet'!$B$11,Paramètres!$A$1:$I$89,3,0)*VLOOKUP('Données projet'!$B$11,Paramètres!$A$1:$I$89,5,0)</f>
        <v>396.20817600000026</v>
      </c>
      <c r="BF95" s="13">
        <f t="shared" si="91"/>
        <v>91.007505474271966</v>
      </c>
      <c r="BG95" s="20">
        <f t="shared" si="61"/>
        <v>848.56731190102403</v>
      </c>
      <c r="BH95" s="59">
        <f t="shared" si="62"/>
        <v>1141.9006452343574</v>
      </c>
      <c r="BI95" s="59">
        <f ca="1">AVERAGE(OFFSET($BH$3,0,0,'Données projet'!$E$11+1,1))-AVERAGE(OFFSET($H$3,0,0,'Données projet'!$E$11+1,1))</f>
        <v>584.62172669166989</v>
      </c>
      <c r="BJ95" s="59">
        <f t="shared" si="92"/>
        <v>141.28992520553197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88.206939708960235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88.206939708960235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326.09691594978824</v>
      </c>
      <c r="CE95" s="59">
        <f t="shared" si="94"/>
        <v>605.43570457920714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39.373952040496491</v>
      </c>
      <c r="CL95" s="21">
        <f>EXP(-LN(2)/25)*CL94+(1-EXP(-LN(2)/25))/(LN(2)/25)*Calculateur!CG95*Calculateur!CI95*VLOOKUP('Données projet'!$B$12,Paramètres!$A$1:$I$89,3,0)*0.475*44/12</f>
        <v>6.2413840743586055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45.615336114855097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8.6509999999999998</v>
      </c>
      <c r="CT95" s="12">
        <f>IF('Données projet'!$A$140&gt;35,CT94+CS95-DB94,IF(A95&lt;'Données projet'!$A$140,$CQ$205^A95,IF(A95='Données projet'!$A$140,'Données projet'!$B$140,CT94+CS95-DB94)))</f>
        <v>362.82800000000026</v>
      </c>
      <c r="CU95" s="17">
        <f>CT95*VLOOKUP('Données projet'!$B$13,Paramètres!$A$1:$I$89,3,0)*VLOOKUP('Données projet'!$B$13,Paramètres!$A$1:$I$89,5,0)</f>
        <v>328.28677440000024</v>
      </c>
      <c r="CV95" s="13">
        <f t="shared" si="95"/>
        <v>77.075004264312383</v>
      </c>
      <c r="CW95" s="20">
        <f t="shared" si="67"/>
        <v>706.00509784034432</v>
      </c>
      <c r="CX95" s="59">
        <f t="shared" si="68"/>
        <v>999.33843117367769</v>
      </c>
      <c r="CY95" s="59">
        <f ca="1">AVERAGE(OFFSET($CX$3,0,0,'Données projet'!$E$13+1,1))-AVERAGE(OFFSET($H$3,0,0,'Données projet'!$E$13+1,1))</f>
        <v>465.85201723917186</v>
      </c>
      <c r="CZ95" s="59">
        <f t="shared" si="96"/>
        <v>110.67325285686417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73.085750044567064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73.085750044567064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234.00000000000003</v>
      </c>
      <c r="AJ96" s="13">
        <f>AI96*VLOOKUP('Données projet'!$B$10,Paramètres!$A$1:$I$89,3,0)*VLOOKUP('Données projet'!$B$10,Paramètres!$A$1:$I$89,5,0)</f>
        <v>189.82080000000005</v>
      </c>
      <c r="AK96" s="13">
        <f t="shared" si="89"/>
        <v>47.500332100049796</v>
      </c>
      <c r="AL96" s="20">
        <f t="shared" si="58"/>
        <v>413.33430507425345</v>
      </c>
      <c r="AM96" s="59">
        <f t="shared" si="59"/>
        <v>706.66763840758676</v>
      </c>
      <c r="AN96" s="59">
        <f ca="1">AVERAGE(OFFSET($AM$3,0,0,'Données projet'!$E$10+1,1))-AVERAGE(OFFSET($H$3,0,0,'Données projet'!$E$10+1,1))</f>
        <v>181.20458942529478</v>
      </c>
      <c r="AO96" s="59">
        <f t="shared" si="90"/>
        <v>144.05254691566421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35.781589723061217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35.781589723061217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8.6509999999999998</v>
      </c>
      <c r="BD96" s="12">
        <f>IF('Données projet'!$A$88&gt;35,BD95+BC96-BL95,IF(A96&lt;'Données projet'!$A$88,$BA$205^A96,IF(A96='Données projet'!$A$88,'Données projet'!$B$88,BD95+BC96-BL95)))</f>
        <v>371.47900000000027</v>
      </c>
      <c r="BE96" s="13">
        <f>BD96*VLOOKUP('Données projet'!$B$11,Paramètres!$A$1:$I$89,3,0)*VLOOKUP('Données projet'!$B$11,Paramètres!$A$1:$I$89,5,0)</f>
        <v>405.65506800000031</v>
      </c>
      <c r="BF96" s="13">
        <f t="shared" si="91"/>
        <v>92.922205062267096</v>
      </c>
      <c r="BG96" s="20">
        <f t="shared" si="61"/>
        <v>868.35541725011569</v>
      </c>
      <c r="BH96" s="59">
        <f t="shared" si="62"/>
        <v>1161.6887505834491</v>
      </c>
      <c r="BI96" s="59">
        <f ca="1">AVERAGE(OFFSET($BH$3,0,0,'Données projet'!$E$11+1,1))-AVERAGE(OFFSET($H$3,0,0,'Données projet'!$E$11+1,1))</f>
        <v>584.62172669166989</v>
      </c>
      <c r="BJ96" s="59">
        <f t="shared" si="92"/>
        <v>141.28992520553197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86.47725542218835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86.47725542218835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326.09691594978824</v>
      </c>
      <c r="CE96" s="59">
        <f t="shared" si="94"/>
        <v>605.43570457920714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38.601852856721742</v>
      </c>
      <c r="CL96" s="21">
        <f>EXP(-LN(2)/25)*CL95+(1-EXP(-LN(2)/25))/(LN(2)/25)*Calculateur!CG96*Calculateur!CI96*VLOOKUP('Données projet'!$B$12,Paramètres!$A$1:$I$89,3,0)*0.475*44/12</f>
        <v>6.0707130986251459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44.67256595534689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8.6509999999999998</v>
      </c>
      <c r="CT96" s="12">
        <f>IF('Données projet'!$A$140&gt;35,CT95+CS96-DB95,IF(A96&lt;'Données projet'!$A$140,$CQ$205^A96,IF(A96='Données projet'!$A$140,'Données projet'!$B$140,CT95+CS96-DB95)))</f>
        <v>371.47900000000027</v>
      </c>
      <c r="CU96" s="17">
        <f>CT96*VLOOKUP('Données projet'!$B$13,Paramètres!$A$1:$I$89,3,0)*VLOOKUP('Données projet'!$B$13,Paramètres!$A$1:$I$89,5,0)</f>
        <v>336.11419920000026</v>
      </c>
      <c r="CV96" s="13">
        <f t="shared" si="95"/>
        <v>78.696579079933812</v>
      </c>
      <c r="CW96" s="20">
        <f t="shared" si="67"/>
        <v>722.46210550421847</v>
      </c>
      <c r="CX96" s="59">
        <f t="shared" si="68"/>
        <v>1015.7954388375517</v>
      </c>
      <c r="CY96" s="59">
        <f ca="1">AVERAGE(OFFSET($CX$3,0,0,'Données projet'!$E$13+1,1))-AVERAGE(OFFSET($H$3,0,0,'Données projet'!$E$13+1,1))</f>
        <v>465.85201723917186</v>
      </c>
      <c r="CZ96" s="59">
        <f t="shared" si="96"/>
        <v>110.67325285686417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71.652583064098934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71.652583064098934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234.00000000000003</v>
      </c>
      <c r="AJ97" s="13">
        <f>AI97*VLOOKUP('Données projet'!$B$10,Paramètres!$A$1:$I$89,3,0)*VLOOKUP('Données projet'!$B$10,Paramètres!$A$1:$I$89,5,0)</f>
        <v>189.82080000000005</v>
      </c>
      <c r="AK97" s="13">
        <f t="shared" si="89"/>
        <v>47.500332100049796</v>
      </c>
      <c r="AL97" s="20">
        <f t="shared" si="58"/>
        <v>413.33430507425345</v>
      </c>
      <c r="AM97" s="59">
        <f t="shared" si="59"/>
        <v>706.66763840758676</v>
      </c>
      <c r="AN97" s="59">
        <f ca="1">AVERAGE(OFFSET($AM$3,0,0,'Données projet'!$E$10+1,1))-AVERAGE(OFFSET($H$3,0,0,'Données projet'!$E$10+1,1))</f>
        <v>181.20458942529478</v>
      </c>
      <c r="AO97" s="59">
        <f t="shared" si="90"/>
        <v>144.05254691566421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35.079934573206714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35.079934573206714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8.6509999999999998</v>
      </c>
      <c r="BC97" s="12">
        <f t="array" ref="BC97">INDEX(BB:BB,MIN(IF(ISNUMBER(BB97:BB293),ROW(BB97:BB293),"")))</f>
        <v>8.6509999999999998</v>
      </c>
      <c r="BD97" s="12">
        <f>IF('Données projet'!$A$88&gt;35,BD96+BC97-BL96,IF(A97&lt;'Données projet'!$A$88,$BA$205^A97,IF(A97='Données projet'!$A$88,'Données projet'!$B$88,BD96+BC97-BL96)))</f>
        <v>380.13000000000028</v>
      </c>
      <c r="BE97" s="13">
        <f>BD97*VLOOKUP('Données projet'!$B$11,Paramètres!$A$1:$I$89,3,0)*VLOOKUP('Données projet'!$B$11,Paramètres!$A$1:$I$89,5,0)</f>
        <v>415.1019600000003</v>
      </c>
      <c r="BF97" s="13">
        <f t="shared" si="91"/>
        <v>94.831720964500249</v>
      </c>
      <c r="BG97" s="20">
        <f t="shared" si="61"/>
        <v>888.13449434650511</v>
      </c>
      <c r="BH97" s="59">
        <f t="shared" si="62"/>
        <v>1181.4678276798384</v>
      </c>
      <c r="BI97" s="59">
        <f ca="1">AVERAGE(OFFSET($BH$3,0,0,'Données projet'!$E$11+1,1))-AVERAGE(OFFSET($H$3,0,0,'Données projet'!$E$11+1,1))</f>
        <v>584.62172669166989</v>
      </c>
      <c r="BJ97" s="59">
        <f t="shared" si="92"/>
        <v>141.28992520553197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0.43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116.88687611620129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116.88687611620129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326.09691594978824</v>
      </c>
      <c r="CE97" s="59">
        <f t="shared" si="94"/>
        <v>605.43570457920714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37.844894067006813</v>
      </c>
      <c r="CL97" s="21">
        <f>EXP(-LN(2)/25)*CL96+(1-EXP(-LN(2)/25))/(LN(2)/25)*Calculateur!CG97*Calculateur!CI97*VLOOKUP('Données projet'!$B$12,Paramètres!$A$1:$I$89,3,0)*0.475*44/12</f>
        <v>5.9047091296983139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43.749603196705124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8.6509999999999998</v>
      </c>
      <c r="CS97" s="12">
        <f t="array" ref="CS97">INDEX(CR:CR,MIN(IF(ISNUMBER(CR97:CR293),ROW(CR97:CR293),"")))</f>
        <v>8.6509999999999998</v>
      </c>
      <c r="CT97" s="12">
        <f>IF('Données projet'!$A$140&gt;35,CT96+CS97-DB96,IF(A97&lt;'Données projet'!$A$140,$CQ$205^A97,IF(A97='Données projet'!$A$140,'Données projet'!$B$140,CT96+CS97-DB96)))</f>
        <v>380.13000000000028</v>
      </c>
      <c r="CU97" s="17">
        <f>CT97*VLOOKUP('Données projet'!$B$13,Paramètres!$A$1:$I$89,3,0)*VLOOKUP('Données projet'!$B$13,Paramètres!$A$1:$I$89,5,0)</f>
        <v>343.94162400000022</v>
      </c>
      <c r="CV97" s="13">
        <f t="shared" si="95"/>
        <v>80.313763789484895</v>
      </c>
      <c r="CW97" s="20">
        <f t="shared" si="67"/>
        <v>738.91146706668644</v>
      </c>
      <c r="CX97" s="59">
        <f t="shared" si="68"/>
        <v>1032.2448004000198</v>
      </c>
      <c r="CY97" s="59">
        <f ca="1">AVERAGE(OFFSET($CX$3,0,0,'Données projet'!$E$13+1,1))-AVERAGE(OFFSET($H$3,0,0,'Données projet'!$E$13+1,1))</f>
        <v>465.85201723917186</v>
      </c>
      <c r="CZ97" s="59">
        <f t="shared" si="96"/>
        <v>110.67325285686417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0.43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96.849125924852515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96.849125924852515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234.00000000000003</v>
      </c>
      <c r="AJ98" s="13">
        <f>AI98*VLOOKUP('Données projet'!$B$10,Paramètres!$A$1:$I$89,3,0)*VLOOKUP('Données projet'!$B$10,Paramètres!$A$1:$I$89,5,0)</f>
        <v>189.82080000000005</v>
      </c>
      <c r="AK98" s="13">
        <f t="shared" si="89"/>
        <v>47.500332100049796</v>
      </c>
      <c r="AL98" s="20">
        <f t="shared" si="58"/>
        <v>413.33430507425345</v>
      </c>
      <c r="AM98" s="59">
        <f t="shared" si="59"/>
        <v>706.66763840758676</v>
      </c>
      <c r="AN98" s="59">
        <f ca="1">AVERAGE(OFFSET($AM$3,0,0,'Données projet'!$E$10+1,1))-AVERAGE(OFFSET($H$3,0,0,'Données projet'!$E$10+1,1))</f>
        <v>181.20458942529478</v>
      </c>
      <c r="AO98" s="59">
        <f t="shared" si="90"/>
        <v>144.05254691566421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34.392038452873479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34.392038452873479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8.3920000000000012</v>
      </c>
      <c r="BD98" s="12">
        <f>IF('Données projet'!$A$88&gt;35,BD97+BC98-BL97,IF(A98&lt;'Données projet'!$A$88,$BA$205^A98,IF(A98='Données projet'!$A$88,'Données projet'!$B$88,BD97+BC98-BL97)))</f>
        <v>326.67200000000025</v>
      </c>
      <c r="BE98" s="13">
        <f>BD98*VLOOKUP('Données projet'!$B$11,Paramètres!$A$1:$I$89,3,0)*VLOOKUP('Données projet'!$B$11,Paramètres!$A$1:$I$89,5,0)</f>
        <v>356.72582400000027</v>
      </c>
      <c r="BF98" s="13">
        <f t="shared" si="91"/>
        <v>82.945890313060232</v>
      </c>
      <c r="BG98" s="20">
        <f t="shared" si="61"/>
        <v>765.76156909524707</v>
      </c>
      <c r="BH98" s="59">
        <f t="shared" si="62"/>
        <v>1059.0949024285803</v>
      </c>
      <c r="BI98" s="59">
        <f ca="1">AVERAGE(OFFSET($BH$3,0,0,'Données projet'!$E$11+1,1))-AVERAGE(OFFSET($H$3,0,0,'Données projet'!$E$11+1,1))</f>
        <v>584.62172669166989</v>
      </c>
      <c r="BJ98" s="59">
        <f t="shared" si="92"/>
        <v>141.28992520553197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114.59479576951732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114.59479576951732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326.09691594978824</v>
      </c>
      <c r="CE98" s="59">
        <f t="shared" si="94"/>
        <v>605.43570457920714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37.102778777458923</v>
      </c>
      <c r="CL98" s="21">
        <f>EXP(-LN(2)/25)*CL97+(1-EXP(-LN(2)/25))/(LN(2)/25)*Calculateur!CG98*Calculateur!CI98*VLOOKUP('Données projet'!$B$12,Paramètres!$A$1:$I$89,3,0)*0.475*44/12</f>
        <v>5.7432445480315559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42.846023325490478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8.3920000000000012</v>
      </c>
      <c r="CT98" s="12">
        <f>IF('Données projet'!$A$140&gt;35,CT97+CS98-DB97,IF(A98&lt;'Données projet'!$A$140,$CQ$205^A98,IF(A98='Données projet'!$A$140,'Données projet'!$B$140,CT97+CS98-DB97)))</f>
        <v>326.67200000000025</v>
      </c>
      <c r="CU98" s="17">
        <f>CT98*VLOOKUP('Données projet'!$B$13,Paramètres!$A$1:$I$89,3,0)*VLOOKUP('Données projet'!$B$13,Paramètres!$A$1:$I$89,5,0)</f>
        <v>295.57282560000021</v>
      </c>
      <c r="CV98" s="13">
        <f t="shared" si="95"/>
        <v>70.247556135835751</v>
      </c>
      <c r="CW98" s="20">
        <f t="shared" si="67"/>
        <v>637.13716485658085</v>
      </c>
      <c r="CX98" s="59">
        <f t="shared" si="68"/>
        <v>930.47049818991422</v>
      </c>
      <c r="CY98" s="59">
        <f ca="1">AVERAGE(OFFSET($CX$3,0,0,'Données projet'!$E$13+1,1))-AVERAGE(OFFSET($H$3,0,0,'Données projet'!$E$13+1,1))</f>
        <v>465.85201723917186</v>
      </c>
      <c r="CZ98" s="59">
        <f t="shared" si="96"/>
        <v>110.67325285686417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94.949973637600081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94.949973637600081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234.00000000000003</v>
      </c>
      <c r="AJ99" s="13">
        <f>AI99*VLOOKUP('Données projet'!$B$10,Paramètres!$A$1:$I$89,3,0)*VLOOKUP('Données projet'!$B$10,Paramètres!$A$1:$I$89,5,0)</f>
        <v>189.82080000000005</v>
      </c>
      <c r="AK99" s="13">
        <f t="shared" si="89"/>
        <v>47.500332100049796</v>
      </c>
      <c r="AL99" s="20">
        <f t="shared" si="58"/>
        <v>413.33430507425345</v>
      </c>
      <c r="AM99" s="59">
        <f t="shared" si="59"/>
        <v>706.66763840758676</v>
      </c>
      <c r="AN99" s="59">
        <f ca="1">AVERAGE(OFFSET($AM$3,0,0,'Données projet'!$E$10+1,1))-AVERAGE(OFFSET($H$3,0,0,'Données projet'!$E$10+1,1))</f>
        <v>181.20458942529478</v>
      </c>
      <c r="AO99" s="59">
        <f t="shared" si="90"/>
        <v>144.05254691566421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33.717631555884772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33.717631555884772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8.3920000000000012</v>
      </c>
      <c r="BD99" s="12">
        <f>IF('Données projet'!$A$88&gt;35,BD98+BC99-BL98,IF(A99&lt;'Données projet'!$A$88,$BA$205^A99,IF(A99='Données projet'!$A$88,'Données projet'!$B$88,BD98+BC99-BL98)))</f>
        <v>335.06400000000025</v>
      </c>
      <c r="BE99" s="13">
        <f>BD99*VLOOKUP('Données projet'!$B$11,Paramètres!$A$1:$I$89,3,0)*VLOOKUP('Données projet'!$B$11,Paramètres!$A$1:$I$89,5,0)</f>
        <v>365.88988800000027</v>
      </c>
      <c r="BF99" s="13">
        <f t="shared" si="91"/>
        <v>84.825901651625188</v>
      </c>
      <c r="BG99" s="20">
        <f t="shared" si="61"/>
        <v>784.99666697658097</v>
      </c>
      <c r="BH99" s="59">
        <f t="shared" si="62"/>
        <v>1078.3300003099143</v>
      </c>
      <c r="BI99" s="59">
        <f ca="1">AVERAGE(OFFSET($BH$3,0,0,'Données projet'!$E$11+1,1))-AVERAGE(OFFSET($H$3,0,0,'Données projet'!$E$11+1,1))</f>
        <v>584.62172669166989</v>
      </c>
      <c r="BJ99" s="59">
        <f t="shared" si="92"/>
        <v>141.28992520553197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112.34766172040085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112.34766172040085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326.09691594978824</v>
      </c>
      <c r="CE99" s="59">
        <f t="shared" si="94"/>
        <v>605.43570457920714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36.375215916093438</v>
      </c>
      <c r="CL99" s="21">
        <f>EXP(-LN(2)/25)*CL98+(1-EXP(-LN(2)/25))/(LN(2)/25)*Calculateur!CG99*Calculateur!CI99*VLOOKUP('Données projet'!$B$12,Paramètres!$A$1:$I$89,3,0)*0.475*44/12</f>
        <v>5.5861952238415284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41.961411139934967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8.3920000000000012</v>
      </c>
      <c r="CT99" s="12">
        <f>IF('Données projet'!$A$140&gt;35,CT98+CS99-DB98,IF(A99&lt;'Données projet'!$A$140,$CQ$205^A99,IF(A99='Données projet'!$A$140,'Données projet'!$B$140,CT98+CS99-DB98)))</f>
        <v>335.06400000000025</v>
      </c>
      <c r="CU99" s="17">
        <f>CT99*VLOOKUP('Données projet'!$B$13,Paramètres!$A$1:$I$89,3,0)*VLOOKUP('Données projet'!$B$13,Paramètres!$A$1:$I$89,5,0)</f>
        <v>303.16590720000022</v>
      </c>
      <c r="CV99" s="13">
        <f t="shared" si="95"/>
        <v>71.839753187954926</v>
      </c>
      <c r="CW99" s="20">
        <f t="shared" si="67"/>
        <v>653.1348585090218</v>
      </c>
      <c r="CX99" s="59">
        <f t="shared" si="68"/>
        <v>946.46819184235505</v>
      </c>
      <c r="CY99" s="59">
        <f ca="1">AVERAGE(OFFSET($CX$3,0,0,'Données projet'!$E$13+1,1))-AVERAGE(OFFSET($H$3,0,0,'Données projet'!$E$13+1,1))</f>
        <v>465.85201723917186</v>
      </c>
      <c r="CZ99" s="59">
        <f t="shared" si="96"/>
        <v>110.67325285686417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93.088062568332148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93.088062568332148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234.00000000000003</v>
      </c>
      <c r="AJ100" s="13">
        <f>AI100*VLOOKUP('Données projet'!$B$10,Paramètres!$A$1:$I$89,3,0)*VLOOKUP('Données projet'!$B$10,Paramètres!$A$1:$I$89,5,0)</f>
        <v>189.82080000000005</v>
      </c>
      <c r="AK100" s="13">
        <f t="shared" si="89"/>
        <v>47.500332100049796</v>
      </c>
      <c r="AL100" s="20">
        <f t="shared" si="58"/>
        <v>413.33430507425345</v>
      </c>
      <c r="AM100" s="59">
        <f t="shared" si="59"/>
        <v>706.66763840758676</v>
      </c>
      <c r="AN100" s="59">
        <f ca="1">AVERAGE(OFFSET($AM$3,0,0,'Données projet'!$E$10+1,1))-AVERAGE(OFFSET($H$3,0,0,'Données projet'!$E$10+1,1))</f>
        <v>181.20458942529478</v>
      </c>
      <c r="AO100" s="59">
        <f t="shared" si="90"/>
        <v>144.05254691566421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33.056449366798425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33.056449366798425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8.3920000000000012</v>
      </c>
      <c r="BD100" s="12">
        <f>IF('Données projet'!$A$88&gt;35,BD99+BC100-BL99,IF(A100&lt;'Données projet'!$A$88,$BA$205^A100,IF(A100='Données projet'!$A$88,'Données projet'!$B$88,BD99+BC100-BL99)))</f>
        <v>343.45600000000024</v>
      </c>
      <c r="BE100" s="13">
        <f>BD100*VLOOKUP('Données projet'!$B$11,Paramètres!$A$1:$I$89,3,0)*VLOOKUP('Données projet'!$B$11,Paramètres!$A$1:$I$89,5,0)</f>
        <v>375.05395200000027</v>
      </c>
      <c r="BF100" s="13">
        <f t="shared" si="91"/>
        <v>86.700439476144126</v>
      </c>
      <c r="BG100" s="20">
        <f t="shared" si="61"/>
        <v>804.22223182095149</v>
      </c>
      <c r="BH100" s="59">
        <f t="shared" si="62"/>
        <v>1097.5555651542847</v>
      </c>
      <c r="BI100" s="59">
        <f ca="1">AVERAGE(OFFSET($BH$3,0,0,'Données projet'!$E$11+1,1))-AVERAGE(OFFSET($H$3,0,0,'Données projet'!$E$11+1,1))</f>
        <v>584.62172669166989</v>
      </c>
      <c r="BJ100" s="59">
        <f t="shared" si="92"/>
        <v>141.28992520553197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110.14459259937112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110.14459259937112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326.09691594978824</v>
      </c>
      <c r="CE100" s="59">
        <f t="shared" si="94"/>
        <v>605.43570457920714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35.661920118669798</v>
      </c>
      <c r="CL100" s="21">
        <f>EXP(-LN(2)/25)*CL99+(1-EXP(-LN(2)/25))/(LN(2)/25)*Calculateur!CG100*Calculateur!CI100*VLOOKUP('Données projet'!$B$12,Paramètres!$A$1:$I$89,3,0)*0.475*44/12</f>
        <v>5.4334404216803422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41.095360540350143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8.3920000000000012</v>
      </c>
      <c r="CT100" s="12">
        <f>IF('Données projet'!$A$140&gt;35,CT99+CS100-DB99,IF(A100&lt;'Données projet'!$A$140,$CQ$205^A100,IF(A100='Données projet'!$A$140,'Données projet'!$B$140,CT99+CS100-DB99)))</f>
        <v>343.45600000000024</v>
      </c>
      <c r="CU100" s="17">
        <f>CT100*VLOOKUP('Données projet'!$B$13,Paramètres!$A$1:$I$89,3,0)*VLOOKUP('Données projet'!$B$13,Paramètres!$A$1:$I$89,5,0)</f>
        <v>310.75898880000022</v>
      </c>
      <c r="CV100" s="13">
        <f t="shared" si="95"/>
        <v>73.427314676048425</v>
      </c>
      <c r="CW100" s="20">
        <f t="shared" si="67"/>
        <v>669.12447855411801</v>
      </c>
      <c r="CX100" s="59">
        <f t="shared" si="68"/>
        <v>962.45781188745127</v>
      </c>
      <c r="CY100" s="59">
        <f ca="1">AVERAGE(OFFSET($CX$3,0,0,'Données projet'!$E$13+1,1))-AVERAGE(OFFSET($H$3,0,0,'Données projet'!$E$13+1,1))</f>
        <v>465.85201723917186</v>
      </c>
      <c r="CZ100" s="59">
        <f t="shared" si="96"/>
        <v>110.67325285686417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91.262662439478945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91.262662439478945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234.00000000000003</v>
      </c>
      <c r="AJ101" s="13">
        <f>AI101*VLOOKUP('Données projet'!$B$10,Paramètres!$A$1:$I$89,3,0)*VLOOKUP('Données projet'!$B$10,Paramètres!$A$1:$I$89,5,0)</f>
        <v>189.82080000000005</v>
      </c>
      <c r="AK101" s="13">
        <f t="shared" si="89"/>
        <v>47.500332100049796</v>
      </c>
      <c r="AL101" s="20">
        <f t="shared" si="58"/>
        <v>413.33430507425345</v>
      </c>
      <c r="AM101" s="59">
        <f t="shared" si="59"/>
        <v>706.66763840758676</v>
      </c>
      <c r="AN101" s="59">
        <f ca="1">AVERAGE(OFFSET($AM$3,0,0,'Données projet'!$E$10+1,1))-AVERAGE(OFFSET($H$3,0,0,'Données projet'!$E$10+1,1))</f>
        <v>181.20458942529478</v>
      </c>
      <c r="AO101" s="59">
        <f t="shared" si="90"/>
        <v>144.05254691566421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32.408232557158748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32.408232557158748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8.3920000000000012</v>
      </c>
      <c r="BD101" s="12">
        <f>IF('Données projet'!$A$88&gt;35,BD100+BC101-BL100,IF(A101&lt;'Données projet'!$A$88,$BA$205^A101,IF(A101='Données projet'!$A$88,'Données projet'!$B$88,BD100+BC101-BL100)))</f>
        <v>351.84800000000024</v>
      </c>
      <c r="BE101" s="13">
        <f>BD101*VLOOKUP('Données projet'!$B$11,Paramètres!$A$1:$I$89,3,0)*VLOOKUP('Données projet'!$B$11,Paramètres!$A$1:$I$89,5,0)</f>
        <v>384.2180160000002</v>
      </c>
      <c r="BF101" s="13">
        <f t="shared" si="91"/>
        <v>88.569652911595441</v>
      </c>
      <c r="BG101" s="20">
        <f t="shared" si="61"/>
        <v>823.43852335436225</v>
      </c>
      <c r="BH101" s="59">
        <f t="shared" si="62"/>
        <v>1116.7718566876956</v>
      </c>
      <c r="BI101" s="59">
        <f ca="1">AVERAGE(OFFSET($BH$3,0,0,'Données projet'!$E$11+1,1))-AVERAGE(OFFSET($H$3,0,0,'Données projet'!$E$11+1,1))</f>
        <v>584.62172669166989</v>
      </c>
      <c r="BJ101" s="59">
        <f t="shared" si="92"/>
        <v>141.28992520553197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107.98472432006531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107.98472432006531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326.09691594978824</v>
      </c>
      <c r="CE101" s="59">
        <f t="shared" si="94"/>
        <v>605.43570457920714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34.962611616766161</v>
      </c>
      <c r="CL101" s="21">
        <f>EXP(-LN(2)/25)*CL100+(1-EXP(-LN(2)/25))/(LN(2)/25)*Calculateur!CG101*Calculateur!CI101*VLOOKUP('Données projet'!$B$12,Paramètres!$A$1:$I$89,3,0)*0.475*44/12</f>
        <v>5.2848627076172798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40.24747432438344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8.3920000000000012</v>
      </c>
      <c r="CT101" s="12">
        <f>IF('Données projet'!$A$140&gt;35,CT100+CS101-DB100,IF(A101&lt;'Données projet'!$A$140,$CQ$205^A101,IF(A101='Données projet'!$A$140,'Données projet'!$B$140,CT100+CS101-DB100)))</f>
        <v>351.84800000000024</v>
      </c>
      <c r="CU101" s="17">
        <f>CT101*VLOOKUP('Données projet'!$B$13,Paramètres!$A$1:$I$89,3,0)*VLOOKUP('Données projet'!$B$13,Paramètres!$A$1:$I$89,5,0)</f>
        <v>318.35207040000023</v>
      </c>
      <c r="CV101" s="13">
        <f t="shared" si="95"/>
        <v>75.01036689528604</v>
      </c>
      <c r="CW101" s="20">
        <f t="shared" si="67"/>
        <v>685.10624495595687</v>
      </c>
      <c r="CX101" s="59">
        <f t="shared" si="68"/>
        <v>978.43957828929024</v>
      </c>
      <c r="CY101" s="59">
        <f ca="1">AVERAGE(OFFSET($CX$3,0,0,'Données projet'!$E$13+1,1))-AVERAGE(OFFSET($H$3,0,0,'Données projet'!$E$13+1,1))</f>
        <v>465.85201723917186</v>
      </c>
      <c r="CZ101" s="59">
        <f t="shared" si="96"/>
        <v>110.67325285686417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89.47305729376842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89.47305729376842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234.00000000000003</v>
      </c>
      <c r="AJ102" s="13">
        <f>AI102*VLOOKUP('Données projet'!$B$10,Paramètres!$A$1:$I$89,3,0)*VLOOKUP('Données projet'!$B$10,Paramètres!$A$1:$I$89,5,0)</f>
        <v>189.82080000000005</v>
      </c>
      <c r="AK102" s="13">
        <f t="shared" si="89"/>
        <v>47.500332100049796</v>
      </c>
      <c r="AL102" s="20">
        <f t="shared" si="58"/>
        <v>413.33430507425345</v>
      </c>
      <c r="AM102" s="59">
        <f t="shared" si="59"/>
        <v>706.66763840758676</v>
      </c>
      <c r="AN102" s="59">
        <f ca="1">AVERAGE(OFFSET($AM$3,0,0,'Données projet'!$E$10+1,1))-AVERAGE(OFFSET($H$3,0,0,'Données projet'!$E$10+1,1))</f>
        <v>181.20458942529478</v>
      </c>
      <c r="AO102" s="59">
        <f t="shared" si="90"/>
        <v>144.05254691566421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31.772726883782887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31.772726883782887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8.3920000000000012</v>
      </c>
      <c r="BD102" s="12">
        <f>IF('Données projet'!$A$88&gt;35,BD101+BC102-BL101,IF(A102&lt;'Données projet'!$A$88,$BA$205^A102,IF(A102='Données projet'!$A$88,'Données projet'!$B$88,BD101+BC102-BL101)))</f>
        <v>360.24000000000024</v>
      </c>
      <c r="BE102" s="13">
        <f>BD102*VLOOKUP('Données projet'!$B$11,Paramètres!$A$1:$I$89,3,0)*VLOOKUP('Données projet'!$B$11,Paramètres!$A$1:$I$89,5,0)</f>
        <v>393.38208000000026</v>
      </c>
      <c r="BF102" s="13">
        <f t="shared" si="91"/>
        <v>90.433683563616</v>
      </c>
      <c r="BG102" s="20">
        <f t="shared" si="61"/>
        <v>842.64578820663166</v>
      </c>
      <c r="BH102" s="59">
        <f t="shared" si="62"/>
        <v>1135.979121539965</v>
      </c>
      <c r="BI102" s="59">
        <f ca="1">AVERAGE(OFFSET($BH$3,0,0,'Données projet'!$E$11+1,1))-AVERAGE(OFFSET($H$3,0,0,'Données projet'!$E$11+1,1))</f>
        <v>584.62172669166989</v>
      </c>
      <c r="BJ102" s="59">
        <f t="shared" si="92"/>
        <v>141.28992520553197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105.86720974032711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105.86720974032711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326.09691594978824</v>
      </c>
      <c r="CE102" s="59">
        <f t="shared" si="94"/>
        <v>605.43570457920714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34.277016128048786</v>
      </c>
      <c r="CL102" s="21">
        <f>EXP(-LN(2)/25)*CL101+(1-EXP(-LN(2)/25))/(LN(2)/25)*Calculateur!CG102*Calculateur!CI102*VLOOKUP('Données projet'!$B$12,Paramètres!$A$1:$I$89,3,0)*0.475*44/12</f>
        <v>5.1403478589586342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39.41736398700742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8.3920000000000012</v>
      </c>
      <c r="CT102" s="12">
        <f>IF('Données projet'!$A$140&gt;35,CT101+CS102-DB101,IF(A102&lt;'Données projet'!$A$140,$CQ$205^A102,IF(A102='Données projet'!$A$140,'Données projet'!$B$140,CT101+CS102-DB101)))</f>
        <v>360.24000000000024</v>
      </c>
      <c r="CU102" s="17">
        <f>CT102*VLOOKUP('Données projet'!$B$13,Paramètres!$A$1:$I$89,3,0)*VLOOKUP('Données projet'!$B$13,Paramètres!$A$1:$I$89,5,0)</f>
        <v>325.94515200000018</v>
      </c>
      <c r="CV102" s="13">
        <f t="shared" si="95"/>
        <v>76.589029772645205</v>
      </c>
      <c r="CW102" s="20">
        <f t="shared" si="67"/>
        <v>701.08036658735728</v>
      </c>
      <c r="CX102" s="59">
        <f t="shared" si="68"/>
        <v>994.41369992069053</v>
      </c>
      <c r="CY102" s="59">
        <f ca="1">AVERAGE(OFFSET($CX$3,0,0,'Données projet'!$E$13+1,1))-AVERAGE(OFFSET($H$3,0,0,'Données projet'!$E$13+1,1))</f>
        <v>465.85201723917186</v>
      </c>
      <c r="CZ102" s="59">
        <f t="shared" si="96"/>
        <v>110.67325285686417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87.718545213413918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87.718545213413918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234.00000000000003</v>
      </c>
      <c r="AJ103" s="13">
        <f>AI103*VLOOKUP('Données projet'!$B$10,Paramètres!$A$1:$I$89,3,0)*VLOOKUP('Données projet'!$B$10,Paramètres!$A$1:$I$89,5,0)</f>
        <v>189.82080000000005</v>
      </c>
      <c r="AK103" s="13">
        <f t="shared" si="89"/>
        <v>47.500332100049796</v>
      </c>
      <c r="AL103" s="20">
        <f t="shared" si="58"/>
        <v>413.33430507425345</v>
      </c>
      <c r="AM103" s="59">
        <f t="shared" si="59"/>
        <v>706.66763840758676</v>
      </c>
      <c r="AN103" s="59">
        <f ca="1">AVERAGE(OFFSET($AM$3,0,0,'Données projet'!$E$10+1,1))-AVERAGE(OFFSET($H$3,0,0,'Données projet'!$E$10+1,1))</f>
        <v>181.20458942529478</v>
      </c>
      <c r="AO103" s="59">
        <f t="shared" si="90"/>
        <v>144.05254691566421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31.149683089041741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31.149683089041741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8.3920000000000012</v>
      </c>
      <c r="BD103" s="12">
        <f>IF('Données projet'!$A$88&gt;35,BD102+BC103-BL102,IF(A103&lt;'Données projet'!$A$88,$BA$205^A103,IF(A103='Données projet'!$A$88,'Données projet'!$B$88,BD102+BC103-BL102)))</f>
        <v>368.63200000000023</v>
      </c>
      <c r="BE103" s="13">
        <f>BD103*VLOOKUP('Données projet'!$B$11,Paramètres!$A$1:$I$89,3,0)*VLOOKUP('Données projet'!$B$11,Paramètres!$A$1:$I$89,5,0)</f>
        <v>402.54614400000025</v>
      </c>
      <c r="BF103" s="13">
        <f t="shared" si="91"/>
        <v>92.292666063851556</v>
      </c>
      <c r="BG103" s="20">
        <f t="shared" si="61"/>
        <v>861.84426086120857</v>
      </c>
      <c r="BH103" s="59">
        <f t="shared" si="62"/>
        <v>1155.1775941945418</v>
      </c>
      <c r="BI103" s="59">
        <f ca="1">AVERAGE(OFFSET($BH$3,0,0,'Données projet'!$E$11+1,1))-AVERAGE(OFFSET($H$3,0,0,'Données projet'!$E$11+1,1))</f>
        <v>584.62172669166989</v>
      </c>
      <c r="BJ103" s="59">
        <f t="shared" si="92"/>
        <v>141.28992520553197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103.79121832994122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103.79121832994122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326.09691594978824</v>
      </c>
      <c r="CE103" s="59">
        <f t="shared" si="94"/>
        <v>605.43570457920714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33.604864748693203</v>
      </c>
      <c r="CL103" s="21">
        <f>EXP(-LN(2)/25)*CL102+(1-EXP(-LN(2)/25))/(LN(2)/25)*Calculateur!CG103*Calculateur!CI103*VLOOKUP('Données projet'!$B$12,Paramètres!$A$1:$I$89,3,0)*0.475*44/12</f>
        <v>4.9997847764362646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38.604649525129467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8.3920000000000012</v>
      </c>
      <c r="CT103" s="12">
        <f>IF('Données projet'!$A$140&gt;35,CT102+CS103-DB102,IF(A103&lt;'Données projet'!$A$140,$CQ$205^A103,IF(A103='Données projet'!$A$140,'Données projet'!$B$140,CT102+CS103-DB102)))</f>
        <v>368.63200000000023</v>
      </c>
      <c r="CU103" s="17">
        <f>CT103*VLOOKUP('Données projet'!$B$13,Paramètres!$A$1:$I$89,3,0)*VLOOKUP('Données projet'!$B$13,Paramètres!$A$1:$I$89,5,0)</f>
        <v>333.53823360000024</v>
      </c>
      <c r="CV103" s="13">
        <f t="shared" si="95"/>
        <v>78.163417328773136</v>
      </c>
      <c r="CW103" s="20">
        <f t="shared" si="67"/>
        <v>717.04704203428025</v>
      </c>
      <c r="CX103" s="59">
        <f t="shared" si="68"/>
        <v>1010.3803753676136</v>
      </c>
      <c r="CY103" s="59">
        <f ca="1">AVERAGE(OFFSET($CX$3,0,0,'Données projet'!$E$13+1,1))-AVERAGE(OFFSET($H$3,0,0,'Données projet'!$E$13+1,1))</f>
        <v>465.85201723917186</v>
      </c>
      <c r="CZ103" s="59">
        <f t="shared" si="96"/>
        <v>110.67325285686417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85.998438044808466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85.998438044808466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234.00000000000003</v>
      </c>
      <c r="AJ104" s="13">
        <f>AI104*VLOOKUP('Données projet'!$B$10,Paramètres!$A$1:$I$89,3,0)*VLOOKUP('Données projet'!$B$10,Paramètres!$A$1:$I$89,5,0)</f>
        <v>189.82080000000005</v>
      </c>
      <c r="AK104" s="13">
        <f t="shared" si="89"/>
        <v>47.500332100049796</v>
      </c>
      <c r="AL104" s="20">
        <f t="shared" si="58"/>
        <v>413.33430507425345</v>
      </c>
      <c r="AM104" s="59">
        <f t="shared" si="59"/>
        <v>706.66763840758676</v>
      </c>
      <c r="AN104" s="59">
        <f ca="1">AVERAGE(OFFSET($AM$3,0,0,'Données projet'!$E$10+1,1))-AVERAGE(OFFSET($H$3,0,0,'Données projet'!$E$10+1,1))</f>
        <v>181.20458942529478</v>
      </c>
      <c r="AO104" s="59">
        <f t="shared" si="90"/>
        <v>144.05254691566421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30.53885680309628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30.53885680309628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8.3920000000000012</v>
      </c>
      <c r="BD104" s="12">
        <f>IF('Données projet'!$A$88&gt;35,BD103+BC104-BL103,IF(A104&lt;'Données projet'!$A$88,$BA$205^A104,IF(A104='Données projet'!$A$88,'Données projet'!$B$88,BD103+BC104-BL103)))</f>
        <v>377.02400000000023</v>
      </c>
      <c r="BE104" s="13">
        <f>BD104*VLOOKUP('Données projet'!$B$11,Paramètres!$A$1:$I$89,3,0)*VLOOKUP('Données projet'!$B$11,Paramètres!$A$1:$I$89,5,0)</f>
        <v>411.71020800000025</v>
      </c>
      <c r="BF104" s="13">
        <f t="shared" si="91"/>
        <v>94.146728564247809</v>
      </c>
      <c r="BG104" s="20">
        <f t="shared" si="61"/>
        <v>881.03416451606529</v>
      </c>
      <c r="BH104" s="59">
        <f t="shared" si="62"/>
        <v>1174.3674978493987</v>
      </c>
      <c r="BI104" s="59">
        <f ca="1">AVERAGE(OFFSET($BH$3,0,0,'Données projet'!$E$11+1,1))-AVERAGE(OFFSET($H$3,0,0,'Données projet'!$E$11+1,1))</f>
        <v>584.62172669166989</v>
      </c>
      <c r="BJ104" s="59">
        <f t="shared" si="92"/>
        <v>141.28992520553197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101.75593584488327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101.75593584488327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326.09691594978824</v>
      </c>
      <c r="CE104" s="59">
        <f t="shared" si="94"/>
        <v>605.43570457920714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32.945893847914924</v>
      </c>
      <c r="CL104" s="21">
        <f>EXP(-LN(2)/25)*CL103+(1-EXP(-LN(2)/25))/(LN(2)/25)*Calculateur!CG104*Calculateur!CI104*VLOOKUP('Données projet'!$B$12,Paramètres!$A$1:$I$89,3,0)*0.475*44/12</f>
        <v>4.8630653987973611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37.808959246712284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8.3920000000000012</v>
      </c>
      <c r="CT104" s="12">
        <f>IF('Données projet'!$A$140&gt;35,CT103+CS104-DB103,IF(A104&lt;'Données projet'!$A$140,$CQ$205^A104,IF(A104='Données projet'!$A$140,'Données projet'!$B$140,CT103+CS104-DB103)))</f>
        <v>377.02400000000023</v>
      </c>
      <c r="CU104" s="17">
        <f>CT104*VLOOKUP('Données projet'!$B$13,Paramètres!$A$1:$I$89,3,0)*VLOOKUP('Données projet'!$B$13,Paramètres!$A$1:$I$89,5,0)</f>
        <v>341.13131520000019</v>
      </c>
      <c r="CV104" s="13">
        <f t="shared" si="95"/>
        <v>79.733638096605603</v>
      </c>
      <c r="CW104" s="20">
        <f t="shared" si="67"/>
        <v>733.0064603249217</v>
      </c>
      <c r="CX104" s="59">
        <f t="shared" si="68"/>
        <v>1026.3397936582551</v>
      </c>
      <c r="CY104" s="59">
        <f ca="1">AVERAGE(OFFSET($CX$3,0,0,'Données projet'!$E$13+1,1))-AVERAGE(OFFSET($H$3,0,0,'Données projet'!$E$13+1,1))</f>
        <v>465.85201723917186</v>
      </c>
      <c r="CZ104" s="59">
        <f t="shared" si="96"/>
        <v>110.67325285686417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84.312061128617586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84.312061128617586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234.00000000000003</v>
      </c>
      <c r="AJ105" s="13">
        <f>AI105*VLOOKUP('Données projet'!$B$10,Paramètres!$A$1:$I$89,3,0)*VLOOKUP('Données projet'!$B$10,Paramètres!$A$1:$I$89,5,0)</f>
        <v>189.82080000000005</v>
      </c>
      <c r="AK105" s="13">
        <f t="shared" si="89"/>
        <v>47.500332100049796</v>
      </c>
      <c r="AL105" s="20">
        <f t="shared" si="58"/>
        <v>413.33430507425345</v>
      </c>
      <c r="AM105" s="59">
        <f t="shared" si="59"/>
        <v>706.66763840758676</v>
      </c>
      <c r="AN105" s="59">
        <f ca="1">AVERAGE(OFFSET($AM$3,0,0,'Données projet'!$E$10+1,1))-AVERAGE(OFFSET($H$3,0,0,'Données projet'!$E$10+1,1))</f>
        <v>181.20458942529478</v>
      </c>
      <c r="AO105" s="59">
        <f t="shared" si="90"/>
        <v>144.05254691566421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29.940008448050961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29.940008448050961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8.3920000000000012</v>
      </c>
      <c r="BD105" s="12">
        <f>IF('Données projet'!$A$88&gt;35,BD104+BC105-BL104,IF(A105&lt;'Données projet'!$A$88,$BA$205^A105,IF(A105='Données projet'!$A$88,'Données projet'!$B$88,BD104+BC105-BL104)))</f>
        <v>385.41600000000022</v>
      </c>
      <c r="BE105" s="13">
        <f>BD105*VLOOKUP('Données projet'!$B$11,Paramètres!$A$1:$I$89,3,0)*VLOOKUP('Données projet'!$B$11,Paramètres!$A$1:$I$89,5,0)</f>
        <v>420.87427200000019</v>
      </c>
      <c r="BF105" s="13">
        <f t="shared" si="91"/>
        <v>95.995993186091056</v>
      </c>
      <c r="BG105" s="20">
        <f t="shared" si="61"/>
        <v>900.21571186577557</v>
      </c>
      <c r="BH105" s="59">
        <f t="shared" si="62"/>
        <v>1193.5490451991088</v>
      </c>
      <c r="BI105" s="59">
        <f ca="1">AVERAGE(OFFSET($BH$3,0,0,'Données projet'!$E$11+1,1))-AVERAGE(OFFSET($H$3,0,0,'Données projet'!$E$11+1,1))</f>
        <v>584.62172669166989</v>
      </c>
      <c r="BJ105" s="59">
        <f t="shared" si="92"/>
        <v>141.28992520553197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99.760564007957569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99.760564007957569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326.09691594978824</v>
      </c>
      <c r="CE105" s="59">
        <f t="shared" si="94"/>
        <v>605.43570457920714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32.299844964568344</v>
      </c>
      <c r="CL105" s="21">
        <f>EXP(-LN(2)/25)*CL104+(1-EXP(-LN(2)/25))/(LN(2)/25)*Calculateur!CG105*Calculateur!CI105*VLOOKUP('Données projet'!$B$12,Paramètres!$A$1:$I$89,3,0)*0.475*44/12</f>
        <v>4.7300846197297526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37.029929584298095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8.3920000000000012</v>
      </c>
      <c r="CT105" s="12">
        <f>IF('Données projet'!$A$140&gt;35,CT104+CS105-DB104,IF(A105&lt;'Données projet'!$A$140,$CQ$205^A105,IF(A105='Données projet'!$A$140,'Données projet'!$B$140,CT104+CS105-DB104)))</f>
        <v>385.41600000000022</v>
      </c>
      <c r="CU105" s="17">
        <f>CT105*VLOOKUP('Données projet'!$B$13,Paramètres!$A$1:$I$89,3,0)*VLOOKUP('Données projet'!$B$13,Paramètres!$A$1:$I$89,5,0)</f>
        <v>348.72439680000019</v>
      </c>
      <c r="CV105" s="13">
        <f t="shared" si="95"/>
        <v>81.299795501664008</v>
      </c>
      <c r="CW105" s="20">
        <f t="shared" si="67"/>
        <v>748.95880159206502</v>
      </c>
      <c r="CX105" s="59">
        <f t="shared" si="68"/>
        <v>1042.2921349253984</v>
      </c>
      <c r="CY105" s="59">
        <f ca="1">AVERAGE(OFFSET($CX$3,0,0,'Données projet'!$E$13+1,1))-AVERAGE(OFFSET($H$3,0,0,'Données projet'!$E$13+1,1))</f>
        <v>465.85201723917186</v>
      </c>
      <c r="CZ105" s="59">
        <f t="shared" si="96"/>
        <v>110.67325285686417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82.658753035164864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82.658753035164864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234.00000000000003</v>
      </c>
      <c r="AJ106" s="13">
        <f>AI106*VLOOKUP('Données projet'!$B$10,Paramètres!$A$1:$I$89,3,0)*VLOOKUP('Données projet'!$B$10,Paramètres!$A$1:$I$89,5,0)</f>
        <v>189.82080000000005</v>
      </c>
      <c r="AK106" s="13">
        <f t="shared" si="89"/>
        <v>47.500332100049796</v>
      </c>
      <c r="AL106" s="20">
        <f t="shared" si="58"/>
        <v>413.33430507425345</v>
      </c>
      <c r="AM106" s="59">
        <f t="shared" si="59"/>
        <v>706.66763840758676</v>
      </c>
      <c r="AN106" s="59">
        <f ca="1">AVERAGE(OFFSET($AM$3,0,0,'Données projet'!$E$10+1,1))-AVERAGE(OFFSET($H$3,0,0,'Données projet'!$E$10+1,1))</f>
        <v>181.20458942529478</v>
      </c>
      <c r="AO106" s="59">
        <f t="shared" si="90"/>
        <v>144.05254691566421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29.352903143986651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29.352903143986651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8.3920000000000012</v>
      </c>
      <c r="BD106" s="12">
        <f>IF('Données projet'!$A$88&gt;35,BD105+BC106-BL105,IF(A106&lt;'Données projet'!$A$88,$BA$205^A106,IF(A106='Données projet'!$A$88,'Données projet'!$B$88,BD105+BC106-BL105)))</f>
        <v>393.80800000000022</v>
      </c>
      <c r="BE106" s="13">
        <f>BD106*VLOOKUP('Données projet'!$B$11,Paramètres!$A$1:$I$89,3,0)*VLOOKUP('Données projet'!$B$11,Paramètres!$A$1:$I$89,5,0)</f>
        <v>430.03833600000024</v>
      </c>
      <c r="BF106" s="13">
        <f t="shared" si="91"/>
        <v>97.84057642883765</v>
      </c>
      <c r="BG106" s="20">
        <f t="shared" si="61"/>
        <v>919.38910581355924</v>
      </c>
      <c r="BH106" s="59">
        <f t="shared" si="62"/>
        <v>1212.7224391468926</v>
      </c>
      <c r="BI106" s="59">
        <f ca="1">AVERAGE(OFFSET($BH$3,0,0,'Données projet'!$E$11+1,1))-AVERAGE(OFFSET($H$3,0,0,'Données projet'!$E$11+1,1))</f>
        <v>584.62172669166989</v>
      </c>
      <c r="BJ106" s="59">
        <f t="shared" si="92"/>
        <v>141.28992520553197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97.804320195697329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97.804320195697329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326.09691594978824</v>
      </c>
      <c r="CE106" s="59">
        <f t="shared" si="94"/>
        <v>605.43570457920714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31.666464705773279</v>
      </c>
      <c r="CL106" s="21">
        <f>EXP(-LN(2)/25)*CL105+(1-EXP(-LN(2)/25))/(LN(2)/25)*Calculateur!CG106*Calculateur!CI106*VLOOKUP('Données projet'!$B$12,Paramètres!$A$1:$I$89,3,0)*0.475*44/12</f>
        <v>4.6007402070589034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36.267204912832185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8.3920000000000012</v>
      </c>
      <c r="CT106" s="12">
        <f>IF('Données projet'!$A$140&gt;35,CT105+CS106-DB105,IF(A106&lt;'Données projet'!$A$140,$CQ$205^A106,IF(A106='Données projet'!$A$140,'Données projet'!$B$140,CT105+CS106-DB105)))</f>
        <v>393.80800000000022</v>
      </c>
      <c r="CU106" s="17">
        <f>CT106*VLOOKUP('Données projet'!$B$13,Paramètres!$A$1:$I$89,3,0)*VLOOKUP('Données projet'!$B$13,Paramètres!$A$1:$I$89,5,0)</f>
        <v>356.3174784000002</v>
      </c>
      <c r="CV106" s="13">
        <f t="shared" si="95"/>
        <v>82.861988208294747</v>
      </c>
      <c r="CW106" s="20">
        <f t="shared" si="67"/>
        <v>764.90423767611367</v>
      </c>
      <c r="CX106" s="59">
        <f t="shared" si="68"/>
        <v>1058.237571009447</v>
      </c>
      <c r="CY106" s="59">
        <f ca="1">AVERAGE(OFFSET($CX$3,0,0,'Données projet'!$E$13+1,1))-AVERAGE(OFFSET($H$3,0,0,'Données projet'!$E$13+1,1))</f>
        <v>465.85201723917186</v>
      </c>
      <c r="CZ106" s="59">
        <f t="shared" si="96"/>
        <v>110.67325285686417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81.037865305006378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81.037865305006378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234.00000000000003</v>
      </c>
      <c r="AJ107" s="13">
        <f>AI107*VLOOKUP('Données projet'!$B$10,Paramètres!$A$1:$I$89,3,0)*VLOOKUP('Données projet'!$B$10,Paramètres!$A$1:$I$89,5,0)</f>
        <v>189.82080000000005</v>
      </c>
      <c r="AK107" s="13">
        <f t="shared" si="89"/>
        <v>47.500332100049796</v>
      </c>
      <c r="AL107" s="20">
        <f t="shared" si="58"/>
        <v>413.33430507425345</v>
      </c>
      <c r="AM107" s="59">
        <f t="shared" si="59"/>
        <v>706.66763840758676</v>
      </c>
      <c r="AN107" s="59">
        <f ca="1">AVERAGE(OFFSET($AM$3,0,0,'Données projet'!$E$10+1,1))-AVERAGE(OFFSET($H$3,0,0,'Données projet'!$E$10+1,1))</f>
        <v>181.20458942529478</v>
      </c>
      <c r="AO107" s="59">
        <f t="shared" si="90"/>
        <v>144.05254691566421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28.777310616836168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28.777310616836168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8.3920000000000012</v>
      </c>
      <c r="BC107" s="12">
        <f t="array" ref="BC107">INDEX(BB:BB,MIN(IF(ISNUMBER(BB107:BB303),ROW(BB107:BB303),"")))</f>
        <v>8.3920000000000012</v>
      </c>
      <c r="BD107" s="12">
        <f>IF('Données projet'!$A$88&gt;35,BD106+BC107-BL106,IF(A107&lt;'Données projet'!$A$88,$BA$205^A107,IF(A107='Données projet'!$A$88,'Données projet'!$B$88,BD106+BC107-BL106)))</f>
        <v>402.20000000000022</v>
      </c>
      <c r="BE107" s="13">
        <f>BD107*VLOOKUP('Données projet'!$B$11,Paramètres!$A$1:$I$89,3,0)*VLOOKUP('Données projet'!$B$11,Paramètres!$A$1:$I$89,5,0)</f>
        <v>439.20240000000024</v>
      </c>
      <c r="BF107" s="13">
        <f t="shared" si="91"/>
        <v>99.680589543109846</v>
      </c>
      <c r="BG107" s="20">
        <f t="shared" si="61"/>
        <v>938.55454012091661</v>
      </c>
      <c r="BH107" s="59">
        <f t="shared" si="62"/>
        <v>1231.88787345425</v>
      </c>
      <c r="BI107" s="59">
        <f ca="1">AVERAGE(OFFSET($BH$3,0,0,'Données projet'!$E$11+1,1))-AVERAGE(OFFSET($H$3,0,0,'Données projet'!$E$11+1,1))</f>
        <v>584.62172669166989</v>
      </c>
      <c r="BJ107" s="59">
        <f t="shared" si="92"/>
        <v>141.28992520553197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0.43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127.13014350378269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127.13014350378269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326.09691594978824</v>
      </c>
      <c r="CE107" s="59">
        <f t="shared" si="94"/>
        <v>605.43570457920714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31.045504647529373</v>
      </c>
      <c r="CL107" s="21">
        <f>EXP(-LN(2)/25)*CL106+(1-EXP(-LN(2)/25))/(LN(2)/25)*Calculateur!CG107*Calculateur!CI107*VLOOKUP('Données projet'!$B$12,Paramètres!$A$1:$I$89,3,0)*0.475*44/12</f>
        <v>4.4749327241544652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35.52043737168384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8.3920000000000012</v>
      </c>
      <c r="CS107" s="12">
        <f t="array" ref="CS107">INDEX(CR:CR,MIN(IF(ISNUMBER(CR107:CR303),ROW(CR107:CR303),"")))</f>
        <v>8.3920000000000012</v>
      </c>
      <c r="CT107" s="12">
        <f>IF('Données projet'!$A$140&gt;35,CT106+CS107-DB106,IF(A107&lt;'Données projet'!$A$140,$CQ$205^A107,IF(A107='Données projet'!$A$140,'Données projet'!$B$140,CT106+CS107-DB106)))</f>
        <v>402.20000000000022</v>
      </c>
      <c r="CU107" s="17">
        <f>CT107*VLOOKUP('Données projet'!$B$13,Paramètres!$A$1:$I$89,3,0)*VLOOKUP('Données projet'!$B$13,Paramètres!$A$1:$I$89,5,0)</f>
        <v>363.91056000000015</v>
      </c>
      <c r="CV107" s="13">
        <f t="shared" si="95"/>
        <v>84.420310435564389</v>
      </c>
      <c r="CW107" s="20">
        <f t="shared" si="67"/>
        <v>780.84293267527482</v>
      </c>
      <c r="CX107" s="59">
        <f t="shared" si="68"/>
        <v>1074.1762660086081</v>
      </c>
      <c r="CY107" s="59">
        <f ca="1">AVERAGE(OFFSET($CX$3,0,0,'Données projet'!$E$13+1,1))-AVERAGE(OFFSET($H$3,0,0,'Données projet'!$E$13+1,1))</f>
        <v>465.85201723917186</v>
      </c>
      <c r="CZ107" s="59">
        <f t="shared" si="96"/>
        <v>110.67325285686417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0.43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105.33640461741996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105.33640461741996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234.00000000000003</v>
      </c>
      <c r="AJ108" s="13">
        <f>AI108*VLOOKUP('Données projet'!$B$10,Paramètres!$A$1:$I$89,3,0)*VLOOKUP('Données projet'!$B$10,Paramètres!$A$1:$I$89,5,0)</f>
        <v>189.82080000000005</v>
      </c>
      <c r="AK108" s="13">
        <f t="shared" si="89"/>
        <v>47.500332100049796</v>
      </c>
      <c r="AL108" s="20">
        <f t="shared" si="58"/>
        <v>413.33430507425345</v>
      </c>
      <c r="AM108" s="59">
        <f t="shared" si="59"/>
        <v>706.66763840758676</v>
      </c>
      <c r="AN108" s="59">
        <f ca="1">AVERAGE(OFFSET($AM$3,0,0,'Données projet'!$E$10+1,1))-AVERAGE(OFFSET($H$3,0,0,'Données projet'!$E$10+1,1))</f>
        <v>181.20458942529478</v>
      </c>
      <c r="AO108" s="59">
        <f t="shared" si="90"/>
        <v>144.05254691566421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28.21300510806633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28.21300510806633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8.2550000000000008</v>
      </c>
      <c r="BD108" s="12">
        <f>IF('Données projet'!$A$88&gt;35,BD107+BC108-BL107,IF(A108&lt;'Données projet'!$A$88,$BA$205^A108,IF(A108='Données projet'!$A$88,'Données projet'!$B$88,BD107+BC108-BL107)))</f>
        <v>350.26500000000021</v>
      </c>
      <c r="BE108" s="13">
        <f>BD108*VLOOKUP('Données projet'!$B$11,Paramètres!$A$1:$I$89,3,0)*VLOOKUP('Données projet'!$B$11,Paramètres!$A$1:$I$89,5,0)</f>
        <v>382.48938000000021</v>
      </c>
      <c r="BF108" s="13">
        <f t="shared" si="91"/>
        <v>88.217460192894208</v>
      </c>
      <c r="BG108" s="20">
        <f t="shared" si="61"/>
        <v>819.81441333595774</v>
      </c>
      <c r="BH108" s="59">
        <f t="shared" si="62"/>
        <v>1113.1477466692911</v>
      </c>
      <c r="BI108" s="59">
        <f ca="1">AVERAGE(OFFSET($BH$3,0,0,'Données projet'!$E$11+1,1))-AVERAGE(OFFSET($H$3,0,0,'Données projet'!$E$11+1,1))</f>
        <v>584.62172669166989</v>
      </c>
      <c r="BJ108" s="59">
        <f t="shared" si="92"/>
        <v>141.28992520553197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124.63719893140444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124.63719893140444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326.09691594978824</v>
      </c>
      <c r="CE108" s="59">
        <f t="shared" si="94"/>
        <v>605.43570457920714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30.436721237279393</v>
      </c>
      <c r="CL108" s="21">
        <f>EXP(-LN(2)/25)*CL107+(1-EXP(-LN(2)/25))/(LN(2)/25)*Calculateur!CG108*Calculateur!CI108*VLOOKUP('Données projet'!$B$12,Paramètres!$A$1:$I$89,3,0)*0.475*44/12</f>
        <v>4.352565453485977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34.789286690765373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8.2550000000000008</v>
      </c>
      <c r="CT108" s="12">
        <f>IF('Données projet'!$A$140&gt;35,CT107+CS108-DB107,IF(A108&lt;'Données projet'!$A$140,$CQ$205^A108,IF(A108='Données projet'!$A$140,'Données projet'!$B$140,CT107+CS108-DB107)))</f>
        <v>350.26500000000021</v>
      </c>
      <c r="CU108" s="17">
        <f>CT108*VLOOKUP('Données projet'!$B$13,Paramètres!$A$1:$I$89,3,0)*VLOOKUP('Données projet'!$B$13,Paramètres!$A$1:$I$89,5,0)</f>
        <v>316.91977200000019</v>
      </c>
      <c r="CV108" s="13">
        <f t="shared" si="95"/>
        <v>74.712091987581459</v>
      </c>
      <c r="CW108" s="20">
        <f t="shared" si="67"/>
        <v>682.09216311170474</v>
      </c>
      <c r="CX108" s="59">
        <f t="shared" si="68"/>
        <v>975.42549644503811</v>
      </c>
      <c r="CY108" s="59">
        <f ca="1">AVERAGE(OFFSET($CX$3,0,0,'Données projet'!$E$13+1,1))-AVERAGE(OFFSET($H$3,0,0,'Données projet'!$E$13+1,1))</f>
        <v>465.85201723917186</v>
      </c>
      <c r="CZ108" s="59">
        <f t="shared" si="96"/>
        <v>110.67325285686417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103.27082197173512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103.27082197173512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234.00000000000003</v>
      </c>
      <c r="AJ109" s="13">
        <f>AI109*VLOOKUP('Données projet'!$B$10,Paramètres!$A$1:$I$89,3,0)*VLOOKUP('Données projet'!$B$10,Paramètres!$A$1:$I$89,5,0)</f>
        <v>189.82080000000005</v>
      </c>
      <c r="AK109" s="13">
        <f t="shared" si="89"/>
        <v>47.500332100049796</v>
      </c>
      <c r="AL109" s="20">
        <f t="shared" si="58"/>
        <v>413.33430507425345</v>
      </c>
      <c r="AM109" s="59">
        <f t="shared" si="59"/>
        <v>706.66763840758676</v>
      </c>
      <c r="AN109" s="59">
        <f ca="1">AVERAGE(OFFSET($AM$3,0,0,'Données projet'!$E$10+1,1))-AVERAGE(OFFSET($H$3,0,0,'Données projet'!$E$10+1,1))</f>
        <v>181.20458942529478</v>
      </c>
      <c r="AO109" s="59">
        <f t="shared" si="90"/>
        <v>144.05254691566421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27.659765286131094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27.659765286131094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8.2550000000000008</v>
      </c>
      <c r="BD109" s="12">
        <f>IF('Données projet'!$A$88&gt;35,BD108+BC109-BL108,IF(A109&lt;'Données projet'!$A$88,$BA$205^A109,IF(A109='Données projet'!$A$88,'Données projet'!$B$88,BD108+BC109-BL108)))</f>
        <v>358.52000000000021</v>
      </c>
      <c r="BE109" s="13">
        <f>BD109*VLOOKUP('Données projet'!$B$11,Paramètres!$A$1:$I$89,3,0)*VLOOKUP('Données projet'!$B$11,Paramètres!$A$1:$I$89,5,0)</f>
        <v>391.50384000000025</v>
      </c>
      <c r="BF109" s="13">
        <f t="shared" si="91"/>
        <v>90.052052848062402</v>
      </c>
      <c r="BG109" s="20">
        <f t="shared" si="61"/>
        <v>838.7098467103757</v>
      </c>
      <c r="BH109" s="59">
        <f t="shared" si="62"/>
        <v>1132.0431800437091</v>
      </c>
      <c r="BI109" s="59">
        <f ca="1">AVERAGE(OFFSET($BH$3,0,0,'Données projet'!$E$11+1,1))-AVERAGE(OFFSET($H$3,0,0,'Données projet'!$E$11+1,1))</f>
        <v>584.62172669166989</v>
      </c>
      <c r="BJ109" s="59">
        <f t="shared" si="92"/>
        <v>141.28992520553197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122.19313948154448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122.19313948154448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326.09691594978824</v>
      </c>
      <c r="CE109" s="59">
        <f t="shared" si="94"/>
        <v>605.43570457920714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29.839875698383199</v>
      </c>
      <c r="CL109" s="21">
        <f>EXP(-LN(2)/25)*CL108+(1-EXP(-LN(2)/25))/(LN(2)/25)*Calculateur!CG109*Calculateur!CI109*VLOOKUP('Données projet'!$B$12,Paramètres!$A$1:$I$89,3,0)*0.475*44/12</f>
        <v>4.2335443222689335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34.073420020652136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8.2550000000000008</v>
      </c>
      <c r="CT109" s="12">
        <f>IF('Données projet'!$A$140&gt;35,CT108+CS109-DB108,IF(A109&lt;'Données projet'!$A$140,$CQ$205^A109,IF(A109='Données projet'!$A$140,'Données projet'!$B$140,CT108+CS109-DB108)))</f>
        <v>358.52000000000021</v>
      </c>
      <c r="CU109" s="17">
        <f>CT109*VLOOKUP('Données projet'!$B$13,Paramètres!$A$1:$I$89,3,0)*VLOOKUP('Données projet'!$B$13,Paramètres!$A$1:$I$89,5,0)</f>
        <v>324.38889600000016</v>
      </c>
      <c r="CV109" s="13">
        <f t="shared" si="95"/>
        <v>76.26582358349178</v>
      </c>
      <c r="CW109" s="20">
        <f t="shared" si="67"/>
        <v>697.80696994124844</v>
      </c>
      <c r="CX109" s="59">
        <f t="shared" si="68"/>
        <v>991.14030327458181</v>
      </c>
      <c r="CY109" s="59">
        <f ca="1">AVERAGE(OFFSET($CX$3,0,0,'Données projet'!$E$13+1,1))-AVERAGE(OFFSET($H$3,0,0,'Données projet'!$E$13+1,1))</f>
        <v>465.85201723917186</v>
      </c>
      <c r="CZ109" s="59">
        <f t="shared" si="96"/>
        <v>110.67325285686417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101.24574414185115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101.24574414185115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234.00000000000003</v>
      </c>
      <c r="AJ110" s="13">
        <f>AI110*VLOOKUP('Données projet'!$B$10,Paramètres!$A$1:$I$89,3,0)*VLOOKUP('Données projet'!$B$10,Paramètres!$A$1:$I$89,5,0)</f>
        <v>189.82080000000005</v>
      </c>
      <c r="AK110" s="13">
        <f t="shared" si="89"/>
        <v>47.500332100049796</v>
      </c>
      <c r="AL110" s="20">
        <f t="shared" si="58"/>
        <v>413.33430507425345</v>
      </c>
      <c r="AM110" s="59">
        <f t="shared" si="59"/>
        <v>706.66763840758676</v>
      </c>
      <c r="AN110" s="59">
        <f ca="1">AVERAGE(OFFSET($AM$3,0,0,'Données projet'!$E$10+1,1))-AVERAGE(OFFSET($H$3,0,0,'Données projet'!$E$10+1,1))</f>
        <v>181.20458942529478</v>
      </c>
      <c r="AO110" s="59">
        <f t="shared" si="90"/>
        <v>144.05254691566421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27.117374159661036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27.117374159661036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8.2550000000000008</v>
      </c>
      <c r="BD110" s="12">
        <f>IF('Données projet'!$A$88&gt;35,BD109+BC110-BL109,IF(A110&lt;'Données projet'!$A$88,$BA$205^A110,IF(A110='Données projet'!$A$88,'Données projet'!$B$88,BD109+BC110-BL109)))</f>
        <v>366.7750000000002</v>
      </c>
      <c r="BE110" s="13">
        <f>BD110*VLOOKUP('Données projet'!$B$11,Paramètres!$A$1:$I$89,3,0)*VLOOKUP('Données projet'!$B$11,Paramètres!$A$1:$I$89,5,0)</f>
        <v>400.51830000000018</v>
      </c>
      <c r="BF110" s="13">
        <f t="shared" si="91"/>
        <v>91.881734671796437</v>
      </c>
      <c r="BG110" s="20">
        <f t="shared" si="61"/>
        <v>857.59672705337914</v>
      </c>
      <c r="BH110" s="59">
        <f t="shared" si="62"/>
        <v>1150.9300603867125</v>
      </c>
      <c r="BI110" s="59">
        <f ca="1">AVERAGE(OFFSET($BH$3,0,0,'Données projet'!$E$11+1,1))-AVERAGE(OFFSET($H$3,0,0,'Données projet'!$E$11+1,1))</f>
        <v>584.62172669166989</v>
      </c>
      <c r="BJ110" s="59">
        <f t="shared" si="92"/>
        <v>141.28992520553197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119.79700654676721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119.79700654676721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326.09691594978824</v>
      </c>
      <c r="CE110" s="59">
        <f t="shared" si="94"/>
        <v>605.43570457920714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29.254733936464927</v>
      </c>
      <c r="CL110" s="21">
        <f>EXP(-LN(2)/25)*CL109+(1-EXP(-LN(2)/25))/(LN(2)/25)*Calculateur!CG110*Calculateur!CI110*VLOOKUP('Données projet'!$B$12,Paramètres!$A$1:$I$89,3,0)*0.475*44/12</f>
        <v>4.1177778301440693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33.372511766608994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8.2550000000000008</v>
      </c>
      <c r="CT110" s="12">
        <f>IF('Données projet'!$A$140&gt;35,CT109+CS110-DB109,IF(A110&lt;'Données projet'!$A$140,$CQ$205^A110,IF(A110='Données projet'!$A$140,'Données projet'!$B$140,CT109+CS110-DB109)))</f>
        <v>366.7750000000002</v>
      </c>
      <c r="CU110" s="17">
        <f>CT110*VLOOKUP('Données projet'!$B$13,Paramètres!$A$1:$I$89,3,0)*VLOOKUP('Données projet'!$B$13,Paramètres!$A$1:$I$89,5,0)</f>
        <v>331.85802000000018</v>
      </c>
      <c r="CV110" s="13">
        <f t="shared" si="95"/>
        <v>77.815396155904594</v>
      </c>
      <c r="CW110" s="20">
        <f t="shared" si="67"/>
        <v>713.51453313820082</v>
      </c>
      <c r="CX110" s="59">
        <f t="shared" si="68"/>
        <v>1006.8478664715342</v>
      </c>
      <c r="CY110" s="59">
        <f ca="1">AVERAGE(OFFSET($CX$3,0,0,'Données projet'!$E$13+1,1))-AVERAGE(OFFSET($H$3,0,0,'Données projet'!$E$13+1,1))</f>
        <v>465.85201723917186</v>
      </c>
      <c r="CZ110" s="59">
        <f t="shared" si="96"/>
        <v>110.67325285686417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99.260376853035694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99.260376853035694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234.00000000000003</v>
      </c>
      <c r="AJ111" s="13">
        <f>AI111*VLOOKUP('Données projet'!$B$10,Paramètres!$A$1:$I$89,3,0)*VLOOKUP('Données projet'!$B$10,Paramètres!$A$1:$I$89,5,0)</f>
        <v>189.82080000000005</v>
      </c>
      <c r="AK111" s="13">
        <f t="shared" si="89"/>
        <v>47.500332100049796</v>
      </c>
      <c r="AL111" s="20">
        <f t="shared" si="58"/>
        <v>413.33430507425345</v>
      </c>
      <c r="AM111" s="59">
        <f t="shared" si="59"/>
        <v>706.66763840758676</v>
      </c>
      <c r="AN111" s="59">
        <f ca="1">AVERAGE(OFFSET($AM$3,0,0,'Données projet'!$E$10+1,1))-AVERAGE(OFFSET($H$3,0,0,'Données projet'!$E$10+1,1))</f>
        <v>181.20458942529478</v>
      </c>
      <c r="AO111" s="59">
        <f t="shared" si="90"/>
        <v>144.05254691566421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26.585618992355133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26.585618992355133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8.2550000000000008</v>
      </c>
      <c r="BD111" s="12">
        <f>IF('Données projet'!$A$88&gt;35,BD110+BC111-BL110,IF(A111&lt;'Données projet'!$A$88,$BA$205^A111,IF(A111='Données projet'!$A$88,'Données projet'!$B$88,BD110+BC111-BL110)))</f>
        <v>375.0300000000002</v>
      </c>
      <c r="BE111" s="13">
        <f>BD111*VLOOKUP('Données projet'!$B$11,Paramètres!$A$1:$I$89,3,0)*VLOOKUP('Données projet'!$B$11,Paramètres!$A$1:$I$89,5,0)</f>
        <v>409.53276000000022</v>
      </c>
      <c r="BF111" s="13">
        <f t="shared" si="91"/>
        <v>93.706628917108375</v>
      </c>
      <c r="BG111" s="20">
        <f t="shared" si="61"/>
        <v>876.47526903063078</v>
      </c>
      <c r="BH111" s="59">
        <f t="shared" si="62"/>
        <v>1169.8086023639642</v>
      </c>
      <c r="BI111" s="59">
        <f ca="1">AVERAGE(OFFSET($BH$3,0,0,'Données projet'!$E$11+1,1))-AVERAGE(OFFSET($H$3,0,0,'Données projet'!$E$11+1,1))</f>
        <v>584.62172669166989</v>
      </c>
      <c r="BJ111" s="59">
        <f t="shared" si="92"/>
        <v>141.28992520553197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117.44786031734414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117.44786031734414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326.09691594978824</v>
      </c>
      <c r="CE111" s="59">
        <f t="shared" si="94"/>
        <v>605.43570457920714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28.681066447596638</v>
      </c>
      <c r="CL111" s="21">
        <f>EXP(-LN(2)/25)*CL110+(1-EXP(-LN(2)/25))/(LN(2)/25)*Calculateur!CG111*Calculateur!CI111*VLOOKUP('Données projet'!$B$12,Paramètres!$A$1:$I$89,3,0)*0.475*44/12</f>
        <v>4.0051769788342551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32.686243426430892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8.2550000000000008</v>
      </c>
      <c r="CT111" s="12">
        <f>IF('Données projet'!$A$140&gt;35,CT110+CS111-DB110,IF(A111&lt;'Données projet'!$A$140,$CQ$205^A111,IF(A111='Données projet'!$A$140,'Données projet'!$B$140,CT110+CS111-DB110)))</f>
        <v>375.0300000000002</v>
      </c>
      <c r="CU111" s="17">
        <f>CT111*VLOOKUP('Données projet'!$B$13,Paramètres!$A$1:$I$89,3,0)*VLOOKUP('Données projet'!$B$13,Paramètres!$A$1:$I$89,5,0)</f>
        <v>339.32714400000015</v>
      </c>
      <c r="CV111" s="13">
        <f t="shared" si="95"/>
        <v>79.360914088808499</v>
      </c>
      <c r="CW111" s="20">
        <f t="shared" si="67"/>
        <v>729.21503450467515</v>
      </c>
      <c r="CX111" s="59">
        <f t="shared" si="68"/>
        <v>1022.5483678380085</v>
      </c>
      <c r="CY111" s="59">
        <f ca="1">AVERAGE(OFFSET($CX$3,0,0,'Données projet'!$E$13+1,1))-AVERAGE(OFFSET($H$3,0,0,'Données projet'!$E$13+1,1))</f>
        <v>465.85201723917186</v>
      </c>
      <c r="CZ111" s="59">
        <f t="shared" si="96"/>
        <v>110.67325285686417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97.31394140579944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97.31394140579944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234.00000000000003</v>
      </c>
      <c r="AJ112" s="13">
        <f>AI112*VLOOKUP('Données projet'!$B$10,Paramètres!$A$1:$I$89,3,0)*VLOOKUP('Données projet'!$B$10,Paramètres!$A$1:$I$89,5,0)</f>
        <v>189.82080000000005</v>
      </c>
      <c r="AK112" s="13">
        <f t="shared" si="89"/>
        <v>47.500332100049796</v>
      </c>
      <c r="AL112" s="20">
        <f t="shared" si="58"/>
        <v>413.33430507425345</v>
      </c>
      <c r="AM112" s="59">
        <f t="shared" si="59"/>
        <v>706.66763840758676</v>
      </c>
      <c r="AN112" s="59">
        <f ca="1">AVERAGE(OFFSET($AM$3,0,0,'Données projet'!$E$10+1,1))-AVERAGE(OFFSET($H$3,0,0,'Données projet'!$E$10+1,1))</f>
        <v>181.20458942529478</v>
      </c>
      <c r="AO112" s="59">
        <f t="shared" si="90"/>
        <v>144.05254691566421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26.064291219541474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26.064291219541474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8.2550000000000008</v>
      </c>
      <c r="BD112" s="12">
        <f>IF('Données projet'!$A$88&gt;35,BD111+BC112-BL111,IF(A112&lt;'Données projet'!$A$88,$BA$205^A112,IF(A112='Données projet'!$A$88,'Données projet'!$B$88,BD111+BC112-BL111)))</f>
        <v>383.2850000000002</v>
      </c>
      <c r="BE112" s="13">
        <f>BD112*VLOOKUP('Données projet'!$B$11,Paramètres!$A$1:$I$89,3,0)*VLOOKUP('Données projet'!$B$11,Paramètres!$A$1:$I$89,5,0)</f>
        <v>418.54722000000021</v>
      </c>
      <c r="BF112" s="13">
        <f t="shared" si="91"/>
        <v>95.5268531011899</v>
      </c>
      <c r="BG112" s="20">
        <f t="shared" si="61"/>
        <v>895.34567731790605</v>
      </c>
      <c r="BH112" s="59">
        <f t="shared" si="62"/>
        <v>1188.6790106512394</v>
      </c>
      <c r="BI112" s="59">
        <f ca="1">AVERAGE(OFFSET($BH$3,0,0,'Données projet'!$E$11+1,1))-AVERAGE(OFFSET($H$3,0,0,'Données projet'!$E$11+1,1))</f>
        <v>584.62172669166989</v>
      </c>
      <c r="BJ112" s="59">
        <f t="shared" si="92"/>
        <v>141.28992520553197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115.14477941264234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115.14477941264234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326.09691594978824</v>
      </c>
      <c r="CE112" s="59">
        <f t="shared" si="94"/>
        <v>605.43570457920714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28.118648228282439</v>
      </c>
      <c r="CL112" s="21">
        <f>EXP(-LN(2)/25)*CL111+(1-EXP(-LN(2)/25))/(LN(2)/25)*Calculateur!CG112*Calculateur!CI112*VLOOKUP('Données projet'!$B$12,Paramètres!$A$1:$I$89,3,0)*0.475*44/12</f>
        <v>3.895655203724929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32.014303432007367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8.2550000000000008</v>
      </c>
      <c r="CT112" s="12">
        <f>IF('Données projet'!$A$140&gt;35,CT111+CS112-DB111,IF(A112&lt;'Données projet'!$A$140,$CQ$205^A112,IF(A112='Données projet'!$A$140,'Données projet'!$B$140,CT111+CS112-DB111)))</f>
        <v>383.2850000000002</v>
      </c>
      <c r="CU112" s="17">
        <f>CT112*VLOOKUP('Données projet'!$B$13,Paramètres!$A$1:$I$89,3,0)*VLOOKUP('Données projet'!$B$13,Paramètres!$A$1:$I$89,5,0)</f>
        <v>346.79626800000017</v>
      </c>
      <c r="CV112" s="13">
        <f t="shared" si="95"/>
        <v>80.902476908478974</v>
      </c>
      <c r="CW112" s="20">
        <f t="shared" si="67"/>
        <v>744.90864738226776</v>
      </c>
      <c r="CX112" s="59">
        <f t="shared" si="68"/>
        <v>1038.2419807156011</v>
      </c>
      <c r="CY112" s="59">
        <f ca="1">AVERAGE(OFFSET($CX$3,0,0,'Données projet'!$E$13+1,1))-AVERAGE(OFFSET($H$3,0,0,'Données projet'!$E$13+1,1))</f>
        <v>465.85201723917186</v>
      </c>
      <c r="CZ112" s="59">
        <f t="shared" si="96"/>
        <v>110.67325285686417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95.405674370475083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95.405674370475083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234.00000000000003</v>
      </c>
      <c r="AJ113" s="13">
        <f>AI113*VLOOKUP('Données projet'!$B$10,Paramètres!$A$1:$I$89,3,0)*VLOOKUP('Données projet'!$B$10,Paramètres!$A$1:$I$89,5,0)</f>
        <v>189.82080000000005</v>
      </c>
      <c r="AK113" s="13">
        <f t="shared" si="89"/>
        <v>47.500332100049796</v>
      </c>
      <c r="AL113" s="20">
        <f t="shared" si="58"/>
        <v>413.33430507425345</v>
      </c>
      <c r="AM113" s="59">
        <f t="shared" si="59"/>
        <v>706.66763840758676</v>
      </c>
      <c r="AN113" s="59">
        <f ca="1">AVERAGE(OFFSET($AM$3,0,0,'Données projet'!$E$10+1,1))-AVERAGE(OFFSET($H$3,0,0,'Données projet'!$E$10+1,1))</f>
        <v>181.20458942529478</v>
      </c>
      <c r="AO113" s="59">
        <f t="shared" si="90"/>
        <v>144.05254691566421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25.553186366374145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25.553186366374145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8.2550000000000008</v>
      </c>
      <c r="BD113" s="12">
        <f>IF('Données projet'!$A$88&gt;35,BD112+BC113-BL112,IF(A113&lt;'Données projet'!$A$88,$BA$205^A113,IF(A113='Données projet'!$A$88,'Données projet'!$B$88,BD112+BC113-BL112)))</f>
        <v>391.54000000000019</v>
      </c>
      <c r="BE113" s="13">
        <f>BD113*VLOOKUP('Données projet'!$B$11,Paramètres!$A$1:$I$89,3,0)*VLOOKUP('Données projet'!$B$11,Paramètres!$A$1:$I$89,5,0)</f>
        <v>427.56168000000014</v>
      </c>
      <c r="BF113" s="13">
        <f t="shared" si="91"/>
        <v>97.342519390034767</v>
      </c>
      <c r="BG113" s="20">
        <f t="shared" si="61"/>
        <v>914.20814727097741</v>
      </c>
      <c r="BH113" s="59">
        <f t="shared" si="62"/>
        <v>1207.5414806043107</v>
      </c>
      <c r="BI113" s="59">
        <f ca="1">AVERAGE(OFFSET($BH$3,0,0,'Données projet'!$E$11+1,1))-AVERAGE(OFFSET($H$3,0,0,'Données projet'!$E$11+1,1))</f>
        <v>584.62172669166989</v>
      </c>
      <c r="BJ113" s="59">
        <f t="shared" si="92"/>
        <v>141.28992520553197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112.88686051974109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112.88686051974109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326.09691594978824</v>
      </c>
      <c r="CE113" s="59">
        <f t="shared" si="94"/>
        <v>605.43570457920714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27.567258687207751</v>
      </c>
      <c r="CL113" s="21">
        <f>EXP(-LN(2)/25)*CL112+(1-EXP(-LN(2)/25))/(LN(2)/25)*Calculateur!CG113*Calculateur!CI113*VLOOKUP('Données projet'!$B$12,Paramètres!$A$1:$I$89,3,0)*0.475*44/12</f>
        <v>3.7891283073154671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31.35638699452322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8.2550000000000008</v>
      </c>
      <c r="CT113" s="12">
        <f>IF('Données projet'!$A$140&gt;35,CT112+CS113-DB112,IF(A113&lt;'Données projet'!$A$140,$CQ$205^A113,IF(A113='Données projet'!$A$140,'Données projet'!$B$140,CT112+CS113-DB112)))</f>
        <v>391.54000000000019</v>
      </c>
      <c r="CU113" s="17">
        <f>CT113*VLOOKUP('Données projet'!$B$13,Paramètres!$A$1:$I$89,3,0)*VLOOKUP('Données projet'!$B$13,Paramètres!$A$1:$I$89,5,0)</f>
        <v>354.26539200000013</v>
      </c>
      <c r="CV113" s="13">
        <f t="shared" si="95"/>
        <v>82.44017960921768</v>
      </c>
      <c r="CW113" s="20">
        <f t="shared" si="67"/>
        <v>760.59553721938767</v>
      </c>
      <c r="CX113" s="59">
        <f t="shared" si="68"/>
        <v>1053.928870552721</v>
      </c>
      <c r="CY113" s="59">
        <f ca="1">AVERAGE(OFFSET($CX$3,0,0,'Données projet'!$E$13+1,1))-AVERAGE(OFFSET($H$3,0,0,'Données projet'!$E$13+1,1))</f>
        <v>465.85201723917186</v>
      </c>
      <c r="CZ113" s="59">
        <f t="shared" si="96"/>
        <v>110.67325285686417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93.534827287785475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93.534827287785475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234.00000000000003</v>
      </c>
      <c r="AJ114" s="13">
        <f>AI114*VLOOKUP('Données projet'!$B$10,Paramètres!$A$1:$I$89,3,0)*VLOOKUP('Données projet'!$B$10,Paramètres!$A$1:$I$89,5,0)</f>
        <v>189.82080000000005</v>
      </c>
      <c r="AK114" s="13">
        <f t="shared" si="89"/>
        <v>47.500332100049796</v>
      </c>
      <c r="AL114" s="20">
        <f t="shared" si="58"/>
        <v>413.33430507425345</v>
      </c>
      <c r="AM114" s="59">
        <f t="shared" si="59"/>
        <v>706.66763840758676</v>
      </c>
      <c r="AN114" s="59">
        <f ca="1">AVERAGE(OFFSET($AM$3,0,0,'Données projet'!$E$10+1,1))-AVERAGE(OFFSET($H$3,0,0,'Données projet'!$E$10+1,1))</f>
        <v>181.20458942529478</v>
      </c>
      <c r="AO114" s="59">
        <f t="shared" si="90"/>
        <v>144.05254691566421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25.052103967634253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25.052103967634253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8.2550000000000008</v>
      </c>
      <c r="BD114" s="12">
        <f>IF('Données projet'!$A$88&gt;35,BD113+BC114-BL113,IF(A114&lt;'Données projet'!$A$88,$BA$205^A114,IF(A114='Données projet'!$A$88,'Données projet'!$B$88,BD113+BC114-BL113)))</f>
        <v>399.79500000000019</v>
      </c>
      <c r="BE114" s="13">
        <f>BD114*VLOOKUP('Données projet'!$B$11,Paramètres!$A$1:$I$89,3,0)*VLOOKUP('Données projet'!$B$11,Paramètres!$A$1:$I$89,5,0)</f>
        <v>436.57614000000018</v>
      </c>
      <c r="BF114" s="13">
        <f t="shared" si="91"/>
        <v>99.153734949708877</v>
      </c>
      <c r="BG114" s="20">
        <f t="shared" si="61"/>
        <v>933.06286553740983</v>
      </c>
      <c r="BH114" s="59">
        <f t="shared" si="62"/>
        <v>1226.3961988707431</v>
      </c>
      <c r="BI114" s="59">
        <f ca="1">AVERAGE(OFFSET($BH$3,0,0,'Données projet'!$E$11+1,1))-AVERAGE(OFFSET($H$3,0,0,'Données projet'!$E$11+1,1))</f>
        <v>584.62172669166989</v>
      </c>
      <c r="BJ114" s="59">
        <f t="shared" si="92"/>
        <v>141.28992520553197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110.67321803913509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110.67321803913509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326.09691594978824</v>
      </c>
      <c r="CE114" s="59">
        <f t="shared" si="94"/>
        <v>605.43570457920714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27.026681558719126</v>
      </c>
      <c r="CL114" s="21">
        <f>EXP(-LN(2)/25)*CL113+(1-EXP(-LN(2)/25))/(LN(2)/25)*Calculateur!CG114*Calculateur!CI114*VLOOKUP('Données projet'!$B$12,Paramètres!$A$1:$I$89,3,0)*0.475*44/12</f>
        <v>3.6855143944903284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30.712195953209456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8.2550000000000008</v>
      </c>
      <c r="CT114" s="12">
        <f>IF('Données projet'!$A$140&gt;35,CT113+CS114-DB113,IF(A114&lt;'Données projet'!$A$140,$CQ$205^A114,IF(A114='Données projet'!$A$140,'Données projet'!$B$140,CT113+CS114-DB113)))</f>
        <v>399.79500000000019</v>
      </c>
      <c r="CU114" s="17">
        <f>CT114*VLOOKUP('Données projet'!$B$13,Paramètres!$A$1:$I$89,3,0)*VLOOKUP('Données projet'!$B$13,Paramètres!$A$1:$I$89,5,0)</f>
        <v>361.73451600000016</v>
      </c>
      <c r="CV114" s="13">
        <f t="shared" si="95"/>
        <v>83.974112950846617</v>
      </c>
      <c r="CW114" s="20">
        <f t="shared" si="67"/>
        <v>776.27586208939147</v>
      </c>
      <c r="CX114" s="59">
        <f t="shared" si="68"/>
        <v>1069.6091954227247</v>
      </c>
      <c r="CY114" s="59">
        <f ca="1">AVERAGE(OFFSET($CX$3,0,0,'Données projet'!$E$13+1,1))-AVERAGE(OFFSET($H$3,0,0,'Données projet'!$E$13+1,1))</f>
        <v>465.85201723917186</v>
      </c>
      <c r="CZ114" s="59">
        <f t="shared" si="96"/>
        <v>110.67325285686417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91.700666375283362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91.700666375283362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234.00000000000003</v>
      </c>
      <c r="AJ115" s="13">
        <f>AI115*VLOOKUP('Données projet'!$B$10,Paramètres!$A$1:$I$89,3,0)*VLOOKUP('Données projet'!$B$10,Paramètres!$A$1:$I$89,5,0)</f>
        <v>189.82080000000005</v>
      </c>
      <c r="AK115" s="13">
        <f t="shared" si="89"/>
        <v>47.500332100049796</v>
      </c>
      <c r="AL115" s="20">
        <f t="shared" si="58"/>
        <v>413.33430507425345</v>
      </c>
      <c r="AM115" s="59">
        <f t="shared" si="59"/>
        <v>706.66763840758676</v>
      </c>
      <c r="AN115" s="59">
        <f ca="1">AVERAGE(OFFSET($AM$3,0,0,'Données projet'!$E$10+1,1))-AVERAGE(OFFSET($H$3,0,0,'Données projet'!$E$10+1,1))</f>
        <v>181.20458942529478</v>
      </c>
      <c r="AO115" s="59">
        <f t="shared" si="90"/>
        <v>144.05254691566421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24.560847489103562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24.560847489103562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8.2550000000000008</v>
      </c>
      <c r="BD115" s="12">
        <f>IF('Données projet'!$A$88&gt;35,BD114+BC115-BL114,IF(A115&lt;'Données projet'!$A$88,$BA$205^A115,IF(A115='Données projet'!$A$88,'Données projet'!$B$88,BD114+BC115-BL114)))</f>
        <v>408.05000000000018</v>
      </c>
      <c r="BE115" s="13">
        <f>BD115*VLOOKUP('Données projet'!$B$11,Paramètres!$A$1:$I$89,3,0)*VLOOKUP('Données projet'!$B$11,Paramètres!$A$1:$I$89,5,0)</f>
        <v>445.59060000000017</v>
      </c>
      <c r="BF115" s="13">
        <f t="shared" si="91"/>
        <v>100.96060226778923</v>
      </c>
      <c r="BG115" s="20">
        <f t="shared" si="61"/>
        <v>951.91001061639997</v>
      </c>
      <c r="BH115" s="59">
        <f t="shared" si="62"/>
        <v>1245.2433439497333</v>
      </c>
      <c r="BI115" s="59">
        <f ca="1">AVERAGE(OFFSET($BH$3,0,0,'Données projet'!$E$11+1,1))-AVERAGE(OFFSET($H$3,0,0,'Données projet'!$E$11+1,1))</f>
        <v>584.62172669166989</v>
      </c>
      <c r="BJ115" s="59">
        <f t="shared" si="92"/>
        <v>141.28992520553197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108.50298373738519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108.50298373738519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326.09691594978824</v>
      </c>
      <c r="CE115" s="59">
        <f t="shared" si="94"/>
        <v>605.43570457920714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26.496704818000669</v>
      </c>
      <c r="CL115" s="21">
        <f>EXP(-LN(2)/25)*CL114+(1-EXP(-LN(2)/25))/(LN(2)/25)*Calculateur!CG115*Calculateur!CI115*VLOOKUP('Données projet'!$B$12,Paramètres!$A$1:$I$89,3,0)*0.475*44/12</f>
        <v>3.5847338095602117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30.081438627560882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8.2550000000000008</v>
      </c>
      <c r="CT115" s="12">
        <f>IF('Données projet'!$A$140&gt;35,CT114+CS115-DB114,IF(A115&lt;'Données projet'!$A$140,$CQ$205^A115,IF(A115='Données projet'!$A$140,'Données projet'!$B$140,CT114+CS115-DB114)))</f>
        <v>408.05000000000018</v>
      </c>
      <c r="CU115" s="17">
        <f>CT115*VLOOKUP('Données projet'!$B$13,Paramètres!$A$1:$I$89,3,0)*VLOOKUP('Données projet'!$B$13,Paramètres!$A$1:$I$89,5,0)</f>
        <v>369.20364000000018</v>
      </c>
      <c r="CV115" s="13">
        <f t="shared" si="95"/>
        <v>85.504363730937129</v>
      </c>
      <c r="CW115" s="20">
        <f t="shared" si="67"/>
        <v>791.94977316471579</v>
      </c>
      <c r="CX115" s="59">
        <f t="shared" si="68"/>
        <v>1085.2831064980492</v>
      </c>
      <c r="CY115" s="59">
        <f ca="1">AVERAGE(OFFSET($CX$3,0,0,'Données projet'!$E$13+1,1))-AVERAGE(OFFSET($H$3,0,0,'Données projet'!$E$13+1,1))</f>
        <v>465.85201723917186</v>
      </c>
      <c r="CZ115" s="59">
        <f t="shared" si="96"/>
        <v>110.67325285686417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89.902472239547734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89.902472239547734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234.00000000000003</v>
      </c>
      <c r="AJ116" s="13">
        <f>AI116*VLOOKUP('Données projet'!$B$10,Paramètres!$A$1:$I$89,3,0)*VLOOKUP('Données projet'!$B$10,Paramètres!$A$1:$I$89,5,0)</f>
        <v>189.82080000000005</v>
      </c>
      <c r="AK116" s="13">
        <f t="shared" si="89"/>
        <v>47.500332100049796</v>
      </c>
      <c r="AL116" s="20">
        <f t="shared" si="58"/>
        <v>413.33430507425345</v>
      </c>
      <c r="AM116" s="59">
        <f t="shared" si="59"/>
        <v>706.66763840758676</v>
      </c>
      <c r="AN116" s="59">
        <f ca="1">AVERAGE(OFFSET($AM$3,0,0,'Données projet'!$E$10+1,1))-AVERAGE(OFFSET($H$3,0,0,'Données projet'!$E$10+1,1))</f>
        <v>181.20458942529478</v>
      </c>
      <c r="AO116" s="59">
        <f t="shared" si="90"/>
        <v>144.05254691566421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24.079224250479996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24.079224250479996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8.2550000000000008</v>
      </c>
      <c r="BD116" s="12">
        <f>IF('Données projet'!$A$88&gt;35,BD115+BC116-BL115,IF(A116&lt;'Données projet'!$A$88,$BA$205^A116,IF(A116='Données projet'!$A$88,'Données projet'!$B$88,BD115+BC116-BL115)))</f>
        <v>416.30500000000018</v>
      </c>
      <c r="BE116" s="13">
        <f>BD116*VLOOKUP('Données projet'!$B$11,Paramètres!$A$1:$I$89,3,0)*VLOOKUP('Données projet'!$B$11,Paramètres!$A$1:$I$89,5,0)</f>
        <v>454.60506000000021</v>
      </c>
      <c r="BF116" s="13">
        <f t="shared" si="91"/>
        <v>102.76321944805714</v>
      </c>
      <c r="BG116" s="20">
        <f t="shared" si="61"/>
        <v>970.7497533720333</v>
      </c>
      <c r="BH116" s="59">
        <f t="shared" si="62"/>
        <v>1264.0830867053667</v>
      </c>
      <c r="BI116" s="59">
        <f ca="1">AVERAGE(OFFSET($BH$3,0,0,'Données projet'!$E$11+1,1))-AVERAGE(OFFSET($H$3,0,0,'Données projet'!$E$11+1,1))</f>
        <v>584.62172669166989</v>
      </c>
      <c r="BJ116" s="59">
        <f t="shared" si="92"/>
        <v>141.28992520553197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106.37530640658039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106.37530640658039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326.09691594978824</v>
      </c>
      <c r="CE116" s="59">
        <f t="shared" si="94"/>
        <v>605.43570457920714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25.97712059791381</v>
      </c>
      <c r="CL116" s="21">
        <f>EXP(-LN(2)/25)*CL115+(1-EXP(-LN(2)/25))/(LN(2)/25)*Calculateur!CG116*Calculateur!CI116*VLOOKUP('Données projet'!$B$12,Paramètres!$A$1:$I$89,3,0)*0.475*44/12</f>
        <v>3.4867090750248297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29.46382967293864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8.2550000000000008</v>
      </c>
      <c r="CT116" s="12">
        <f>IF('Données projet'!$A$140&gt;35,CT115+CS116-DB115,IF(A116&lt;'Données projet'!$A$140,$CQ$205^A116,IF(A116='Données projet'!$A$140,'Données projet'!$B$140,CT115+CS116-DB115)))</f>
        <v>416.30500000000018</v>
      </c>
      <c r="CU116" s="17">
        <f>CT116*VLOOKUP('Données projet'!$B$13,Paramètres!$A$1:$I$89,3,0)*VLOOKUP('Données projet'!$B$13,Paramètres!$A$1:$I$89,5,0)</f>
        <v>376.67276400000014</v>
      </c>
      <c r="CV116" s="13">
        <f t="shared" si="95"/>
        <v>87.031015034387593</v>
      </c>
      <c r="CW116" s="20">
        <f t="shared" si="67"/>
        <v>807.61741515155848</v>
      </c>
      <c r="CX116" s="59">
        <f t="shared" si="68"/>
        <v>1100.9507484848918</v>
      </c>
      <c r="CY116" s="59">
        <f ca="1">AVERAGE(OFFSET($CX$3,0,0,'Données projet'!$E$13+1,1))-AVERAGE(OFFSET($H$3,0,0,'Données projet'!$E$13+1,1))</f>
        <v>465.85201723917186</v>
      </c>
      <c r="CZ116" s="59">
        <f t="shared" si="96"/>
        <v>110.67325285686417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88.139539594023759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88.139539594023759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234.00000000000003</v>
      </c>
      <c r="AJ117" s="13">
        <f>AI117*VLOOKUP('Données projet'!$B$10,Paramètres!$A$1:$I$89,3,0)*VLOOKUP('Données projet'!$B$10,Paramètres!$A$1:$I$89,5,0)</f>
        <v>189.82080000000005</v>
      </c>
      <c r="AK117" s="13">
        <f t="shared" si="89"/>
        <v>47.500332100049796</v>
      </c>
      <c r="AL117" s="20">
        <f t="shared" si="58"/>
        <v>413.33430507425345</v>
      </c>
      <c r="AM117" s="59">
        <f t="shared" si="59"/>
        <v>706.66763840758676</v>
      </c>
      <c r="AN117" s="59">
        <f ca="1">AVERAGE(OFFSET($AM$3,0,0,'Données projet'!$E$10+1,1))-AVERAGE(OFFSET($H$3,0,0,'Données projet'!$E$10+1,1))</f>
        <v>181.20458942529478</v>
      </c>
      <c r="AO117" s="59">
        <f t="shared" si="90"/>
        <v>144.05254691566421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23.607045349804668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23.607045349804668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8.2550000000000008</v>
      </c>
      <c r="BC117" s="12">
        <f t="array" ref="BC117">INDEX(BB:BB,MIN(IF(ISNUMBER(BB117:BB313),ROW(BB117:BB313),"")))</f>
        <v>8.2550000000000008</v>
      </c>
      <c r="BD117" s="12">
        <f>IF('Données projet'!$A$88&gt;35,BD116+BC117-BL116,IF(A117&lt;'Données projet'!$A$88,$BA$205^A117,IF(A117='Données projet'!$A$88,'Données projet'!$B$88,BD116+BC117-BL116)))</f>
        <v>424.56000000000017</v>
      </c>
      <c r="BE117" s="13">
        <f>BD117*VLOOKUP('Données projet'!$B$11,Paramètres!$A$1:$I$89,3,0)*VLOOKUP('Données projet'!$B$11,Paramètres!$A$1:$I$89,5,0)</f>
        <v>463.61952000000019</v>
      </c>
      <c r="BF117" s="13">
        <f t="shared" si="91"/>
        <v>104.56168048115646</v>
      </c>
      <c r="BG117" s="20">
        <f t="shared" si="61"/>
        <v>989.58225750468102</v>
      </c>
      <c r="BH117" s="59">
        <f t="shared" si="62"/>
        <v>1282.9155908380144</v>
      </c>
      <c r="BI117" s="59">
        <f ca="1">AVERAGE(OFFSET($BH$3,0,0,'Données projet'!$E$11+1,1))-AVERAGE(OFFSET($H$3,0,0,'Données projet'!$E$11+1,1))</f>
        <v>584.62172669166989</v>
      </c>
      <c r="BJ117" s="59">
        <f t="shared" si="92"/>
        <v>141.28992520553197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0.43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133.39442905663213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133.39442905663213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326.09691594978824</v>
      </c>
      <c r="CE117" s="59">
        <f t="shared" si="94"/>
        <v>605.43570457920714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25.467725107467771</v>
      </c>
      <c r="CL117" s="21">
        <f>EXP(-LN(2)/25)*CL116+(1-EXP(-LN(2)/25))/(LN(2)/25)*Calculateur!CG117*Calculateur!CI117*VLOOKUP('Données projet'!$B$12,Paramètres!$A$1:$I$89,3,0)*0.475*44/12</f>
        <v>3.3913648320102143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28.859089939477986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8.2550000000000008</v>
      </c>
      <c r="CS117" s="12">
        <f t="array" ref="CS117">INDEX(CR:CR,MIN(IF(ISNUMBER(CR117:CR313),ROW(CR117:CR313),"")))</f>
        <v>8.2550000000000008</v>
      </c>
      <c r="CT117" s="12">
        <f>IF('Données projet'!$A$140&gt;35,CT116+CS117-DB116,IF(A117&lt;'Données projet'!$A$140,$CQ$205^A117,IF(A117='Données projet'!$A$140,'Données projet'!$B$140,CT116+CS117-DB116)))</f>
        <v>424.56000000000017</v>
      </c>
      <c r="CU117" s="17">
        <f>CT117*VLOOKUP('Données projet'!$B$13,Paramètres!$A$1:$I$89,3,0)*VLOOKUP('Données projet'!$B$13,Paramètres!$A$1:$I$89,5,0)</f>
        <v>384.14188800000016</v>
      </c>
      <c r="CV117" s="13">
        <f t="shared" si="95"/>
        <v>88.554146462646813</v>
      </c>
      <c r="CW117" s="20">
        <f t="shared" si="67"/>
        <v>823.27892668911011</v>
      </c>
      <c r="CX117" s="59">
        <f t="shared" si="68"/>
        <v>1116.6122600224435</v>
      </c>
      <c r="CY117" s="59">
        <f ca="1">AVERAGE(OFFSET($CX$3,0,0,'Données projet'!$E$13+1,1))-AVERAGE(OFFSET($H$3,0,0,'Données projet'!$E$13+1,1))</f>
        <v>465.85201723917186</v>
      </c>
      <c r="CZ117" s="59">
        <f t="shared" si="96"/>
        <v>110.67325285686417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0.43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110.52681264692377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110.52681264692377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234.00000000000003</v>
      </c>
      <c r="AJ118" s="13">
        <f>AI118*VLOOKUP('Données projet'!$B$10,Paramètres!$A$1:$I$89,3,0)*VLOOKUP('Données projet'!$B$10,Paramètres!$A$1:$I$89,5,0)</f>
        <v>189.82080000000005</v>
      </c>
      <c r="AK118" s="13">
        <f t="shared" si="89"/>
        <v>47.500332100049796</v>
      </c>
      <c r="AL118" s="20">
        <f t="shared" si="58"/>
        <v>413.33430507425345</v>
      </c>
      <c r="AM118" s="59">
        <f t="shared" si="59"/>
        <v>706.66763840758676</v>
      </c>
      <c r="AN118" s="59">
        <f ca="1">AVERAGE(OFFSET($AM$3,0,0,'Données projet'!$E$10+1,1))-AVERAGE(OFFSET($H$3,0,0,'Données projet'!$E$10+1,1))</f>
        <v>181.20458942529478</v>
      </c>
      <c r="AO118" s="59">
        <f t="shared" si="90"/>
        <v>144.05254691566421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23.144125589370891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23.144125589370891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8.3369999999999997</v>
      </c>
      <c r="BD118" s="12">
        <f>IF('Données projet'!$A$88&gt;35,BD117+BC118-BL117,IF(A118&lt;'Données projet'!$A$88,$BA$205^A118,IF(A118='Données projet'!$A$88,'Données projet'!$B$88,BD117+BC118-BL117)))</f>
        <v>376.82700000000017</v>
      </c>
      <c r="BE118" s="13">
        <f>BD118*VLOOKUP('Données projet'!$B$11,Paramètres!$A$1:$I$89,3,0)*VLOOKUP('Données projet'!$B$11,Paramètres!$A$1:$I$89,5,0)</f>
        <v>411.49508400000013</v>
      </c>
      <c r="BF118" s="13">
        <f t="shared" si="91"/>
        <v>94.103260391968092</v>
      </c>
      <c r="BG118" s="20">
        <f t="shared" si="61"/>
        <v>880.58378314934464</v>
      </c>
      <c r="BH118" s="59">
        <f t="shared" si="62"/>
        <v>1173.917116482678</v>
      </c>
      <c r="BI118" s="59">
        <f ca="1">AVERAGE(OFFSET($BH$3,0,0,'Données projet'!$E$11+1,1))-AVERAGE(OFFSET($H$3,0,0,'Données projet'!$E$11+1,1))</f>
        <v>584.62172669166989</v>
      </c>
      <c r="BJ118" s="59">
        <f t="shared" si="92"/>
        <v>141.28992520553197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130.77864566539941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130.77864566539941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326.09691594978824</v>
      </c>
      <c r="CE118" s="59">
        <f t="shared" si="94"/>
        <v>605.43570457920714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24.96831855188881</v>
      </c>
      <c r="CL118" s="21">
        <f>EXP(-LN(2)/25)*CL117+(1-EXP(-LN(2)/25))/(LN(2)/25)*Calculateur!CG118*Calculateur!CI118*VLOOKUP('Données projet'!$B$12,Paramètres!$A$1:$I$89,3,0)*0.475*44/12</f>
        <v>3.2986277823347696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28.266946334223579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8.3369999999999997</v>
      </c>
      <c r="CT118" s="12">
        <f>IF('Données projet'!$A$140&gt;35,CT117+CS118-DB117,IF(A118&lt;'Données projet'!$A$140,$CQ$205^A118,IF(A118='Données projet'!$A$140,'Données projet'!$B$140,CT117+CS118-DB117)))</f>
        <v>376.82700000000017</v>
      </c>
      <c r="CU118" s="17">
        <f>CT118*VLOOKUP('Données projet'!$B$13,Paramètres!$A$1:$I$89,3,0)*VLOOKUP('Données projet'!$B$13,Paramètres!$A$1:$I$89,5,0)</f>
        <v>340.95306960000016</v>
      </c>
      <c r="CV118" s="13">
        <f t="shared" si="95"/>
        <v>79.69682454429082</v>
      </c>
      <c r="CW118" s="20">
        <f t="shared" si="67"/>
        <v>732.63189896797348</v>
      </c>
      <c r="CX118" s="59">
        <f t="shared" si="68"/>
        <v>1025.9652323013067</v>
      </c>
      <c r="CY118" s="59">
        <f ca="1">AVERAGE(OFFSET($CX$3,0,0,'Données projet'!$E$13+1,1))-AVERAGE(OFFSET($H$3,0,0,'Données projet'!$E$13+1,1))</f>
        <v>465.85201723917186</v>
      </c>
      <c r="CZ118" s="59">
        <f t="shared" si="96"/>
        <v>110.67325285686417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108.35944926561666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108.35944926561666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234.00000000000003</v>
      </c>
      <c r="AJ119" s="13">
        <f>AI119*VLOOKUP('Données projet'!$B$10,Paramètres!$A$1:$I$89,3,0)*VLOOKUP('Données projet'!$B$10,Paramètres!$A$1:$I$89,5,0)</f>
        <v>189.82080000000005</v>
      </c>
      <c r="AK119" s="13">
        <f t="shared" si="89"/>
        <v>47.500332100049796</v>
      </c>
      <c r="AL119" s="20">
        <f t="shared" si="58"/>
        <v>413.33430507425345</v>
      </c>
      <c r="AM119" s="59">
        <f t="shared" si="59"/>
        <v>706.66763840758676</v>
      </c>
      <c r="AN119" s="59">
        <f ca="1">AVERAGE(OFFSET($AM$3,0,0,'Données projet'!$E$10+1,1))-AVERAGE(OFFSET($H$3,0,0,'Données projet'!$E$10+1,1))</f>
        <v>181.20458942529478</v>
      </c>
      <c r="AO119" s="59">
        <f t="shared" si="90"/>
        <v>144.05254691566421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22.690283403086045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22.690283403086045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8.3369999999999997</v>
      </c>
      <c r="BD119" s="12">
        <f>IF('Données projet'!$A$88&gt;35,BD118+BC119-BL118,IF(A119&lt;'Données projet'!$A$88,$BA$205^A119,IF(A119='Données projet'!$A$88,'Données projet'!$B$88,BD118+BC119-BL118)))</f>
        <v>385.16400000000016</v>
      </c>
      <c r="BE119" s="13">
        <f>BD119*VLOOKUP('Données projet'!$B$11,Paramètres!$A$1:$I$89,3,0)*VLOOKUP('Données projet'!$B$11,Paramètres!$A$1:$I$89,5,0)</f>
        <v>420.59908800000022</v>
      </c>
      <c r="BF119" s="13">
        <f t="shared" si="91"/>
        <v>95.940531107168511</v>
      </c>
      <c r="BG119" s="20">
        <f t="shared" si="61"/>
        <v>899.63983661165219</v>
      </c>
      <c r="BH119" s="59">
        <f t="shared" si="62"/>
        <v>1192.9731699449856</v>
      </c>
      <c r="BI119" s="59">
        <f ca="1">AVERAGE(OFFSET($BH$3,0,0,'Données projet'!$E$11+1,1))-AVERAGE(OFFSET($H$3,0,0,'Données projet'!$E$11+1,1))</f>
        <v>584.62172669166989</v>
      </c>
      <c r="BJ119" s="59">
        <f t="shared" si="92"/>
        <v>141.28992520553197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128.21415619099844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128.21415619099844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326.09691594978824</v>
      </c>
      <c r="CE119" s="59">
        <f t="shared" si="94"/>
        <v>605.43570457920714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24.478705054256832</v>
      </c>
      <c r="CL119" s="21">
        <f>EXP(-LN(2)/25)*CL118+(1-EXP(-LN(2)/25))/(LN(2)/25)*Calculateur!CG119*Calculateur!CI119*VLOOKUP('Données projet'!$B$12,Paramètres!$A$1:$I$89,3,0)*0.475*44/12</f>
        <v>3.2084266321595294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27.687131686416361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8.3369999999999997</v>
      </c>
      <c r="CT119" s="12">
        <f>IF('Données projet'!$A$140&gt;35,CT118+CS119-DB118,IF(A119&lt;'Données projet'!$A$140,$CQ$205^A119,IF(A119='Données projet'!$A$140,'Données projet'!$B$140,CT118+CS119-DB118)))</f>
        <v>385.16400000000016</v>
      </c>
      <c r="CU119" s="17">
        <f>CT119*VLOOKUP('Données projet'!$B$13,Paramètres!$A$1:$I$89,3,0)*VLOOKUP('Données projet'!$B$13,Paramètres!$A$1:$I$89,5,0)</f>
        <v>348.49638720000013</v>
      </c>
      <c r="CV119" s="13">
        <f t="shared" si="95"/>
        <v>81.252824211250186</v>
      </c>
      <c r="CW119" s="20">
        <f t="shared" si="67"/>
        <v>748.47987654126098</v>
      </c>
      <c r="CX119" s="59">
        <f t="shared" si="68"/>
        <v>1041.8132098745943</v>
      </c>
      <c r="CY119" s="59">
        <f ca="1">AVERAGE(OFFSET($CX$3,0,0,'Données projet'!$E$13+1,1))-AVERAGE(OFFSET($H$3,0,0,'Données projet'!$E$13+1,1))</f>
        <v>465.85201723917186</v>
      </c>
      <c r="CZ119" s="59">
        <f t="shared" si="96"/>
        <v>110.67325285686417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106.23458655825586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106.23458655825586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234.00000000000003</v>
      </c>
      <c r="AJ120" s="13">
        <f>AI120*VLOOKUP('Données projet'!$B$10,Paramètres!$A$1:$I$89,3,0)*VLOOKUP('Données projet'!$B$10,Paramètres!$A$1:$I$89,5,0)</f>
        <v>189.82080000000005</v>
      </c>
      <c r="AK120" s="13">
        <f t="shared" si="89"/>
        <v>47.500332100049796</v>
      </c>
      <c r="AL120" s="20">
        <f t="shared" si="58"/>
        <v>413.33430507425345</v>
      </c>
      <c r="AM120" s="59">
        <f t="shared" si="59"/>
        <v>706.66763840758676</v>
      </c>
      <c r="AN120" s="59">
        <f ca="1">AVERAGE(OFFSET($AM$3,0,0,'Données projet'!$E$10+1,1))-AVERAGE(OFFSET($H$3,0,0,'Données projet'!$E$10+1,1))</f>
        <v>181.20458942529478</v>
      </c>
      <c r="AO120" s="59">
        <f t="shared" si="90"/>
        <v>144.05254691566421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22.245340785257845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22.245340785257845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8.3369999999999997</v>
      </c>
      <c r="BD120" s="12">
        <f>IF('Données projet'!$A$88&gt;35,BD119+BC120-BL119,IF(A120&lt;'Données projet'!$A$88,$BA$205^A120,IF(A120='Données projet'!$A$88,'Données projet'!$B$88,BD119+BC120-BL119)))</f>
        <v>393.50100000000015</v>
      </c>
      <c r="BE120" s="13">
        <f>BD120*VLOOKUP('Données projet'!$B$11,Paramètres!$A$1:$I$89,3,0)*VLOOKUP('Données projet'!$B$11,Paramètres!$A$1:$I$89,5,0)</f>
        <v>429.70309200000014</v>
      </c>
      <c r="BF120" s="13">
        <f t="shared" si="91"/>
        <v>97.773178234645513</v>
      </c>
      <c r="BG120" s="20">
        <f t="shared" si="61"/>
        <v>918.68783732534121</v>
      </c>
      <c r="BH120" s="59">
        <f t="shared" si="62"/>
        <v>1212.0211706586745</v>
      </c>
      <c r="BI120" s="59">
        <f ca="1">AVERAGE(OFFSET($BH$3,0,0,'Données projet'!$E$11+1,1))-AVERAGE(OFFSET($H$3,0,0,'Données projet'!$E$11+1,1))</f>
        <v>584.62172669166989</v>
      </c>
      <c r="BJ120" s="59">
        <f t="shared" si="92"/>
        <v>141.28992520553197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125.69995479100633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125.69995479100633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326.09691594978824</v>
      </c>
      <c r="CE120" s="59">
        <f t="shared" si="94"/>
        <v>605.43570457920714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23.998692578678671</v>
      </c>
      <c r="CL120" s="21">
        <f>EXP(-LN(2)/25)*CL119+(1-EXP(-LN(2)/25))/(LN(2)/25)*Calculateur!CG120*Calculateur!CI120*VLOOKUP('Données projet'!$B$12,Paramètres!$A$1:$I$89,3,0)*0.475*44/12</f>
        <v>3.1206920371793032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27.119384615857975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8.3369999999999997</v>
      </c>
      <c r="CT120" s="12">
        <f>IF('Données projet'!$A$140&gt;35,CT119+CS120-DB119,IF(A120&lt;'Données projet'!$A$140,$CQ$205^A120,IF(A120='Données projet'!$A$140,'Données projet'!$B$140,CT119+CS120-DB119)))</f>
        <v>393.50100000000015</v>
      </c>
      <c r="CU120" s="17">
        <f>CT120*VLOOKUP('Données projet'!$B$13,Paramètres!$A$1:$I$89,3,0)*VLOOKUP('Données projet'!$B$13,Paramètres!$A$1:$I$89,5,0)</f>
        <v>356.0397048000001</v>
      </c>
      <c r="CV120" s="13">
        <f t="shared" si="95"/>
        <v>82.804908123771014</v>
      </c>
      <c r="CW120" s="20">
        <f t="shared" si="67"/>
        <v>764.321034175568</v>
      </c>
      <c r="CX120" s="59">
        <f t="shared" si="68"/>
        <v>1057.6543675089013</v>
      </c>
      <c r="CY120" s="59">
        <f ca="1">AVERAGE(OFFSET($CX$3,0,0,'Données projet'!$E$13+1,1))-AVERAGE(OFFSET($H$3,0,0,'Données projet'!$E$13+1,1))</f>
        <v>465.85201723917186</v>
      </c>
      <c r="CZ120" s="59">
        <f t="shared" si="96"/>
        <v>110.67325285686417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104.15139111254811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104.15139111254811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234.00000000000003</v>
      </c>
      <c r="AJ121" s="13">
        <f>AI121*VLOOKUP('Données projet'!$B$10,Paramètres!$A$1:$I$89,3,0)*VLOOKUP('Données projet'!$B$10,Paramètres!$A$1:$I$89,5,0)</f>
        <v>189.82080000000005</v>
      </c>
      <c r="AK121" s="13">
        <f t="shared" si="89"/>
        <v>47.500332100049796</v>
      </c>
      <c r="AL121" s="20">
        <f t="shared" si="58"/>
        <v>413.33430507425345</v>
      </c>
      <c r="AM121" s="59">
        <f t="shared" si="59"/>
        <v>706.66763840758676</v>
      </c>
      <c r="AN121" s="59">
        <f ca="1">AVERAGE(OFFSET($AM$3,0,0,'Données projet'!$E$10+1,1))-AVERAGE(OFFSET($H$3,0,0,'Données projet'!$E$10+1,1))</f>
        <v>181.20458942529478</v>
      </c>
      <c r="AO121" s="59">
        <f t="shared" si="90"/>
        <v>144.05254691566421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21.809123220777057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21.809123220777057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8.3369999999999997</v>
      </c>
      <c r="BD121" s="12">
        <f>IF('Données projet'!$A$88&gt;35,BD120+BC121-BL120,IF(A121&lt;'Données projet'!$A$88,$BA$205^A121,IF(A121='Données projet'!$A$88,'Données projet'!$B$88,BD120+BC121-BL120)))</f>
        <v>401.83800000000014</v>
      </c>
      <c r="BE121" s="13">
        <f>BD121*VLOOKUP('Données projet'!$B$11,Paramètres!$A$1:$I$89,3,0)*VLOOKUP('Données projet'!$B$11,Paramètres!$A$1:$I$89,5,0)</f>
        <v>438.80709600000012</v>
      </c>
      <c r="BF121" s="13">
        <f t="shared" si="91"/>
        <v>99.601311017269438</v>
      </c>
      <c r="BG121" s="20">
        <f t="shared" si="61"/>
        <v>937.72797555507793</v>
      </c>
      <c r="BH121" s="59">
        <f t="shared" si="62"/>
        <v>1231.0613088884113</v>
      </c>
      <c r="BI121" s="59">
        <f ca="1">AVERAGE(OFFSET($BH$3,0,0,'Données projet'!$E$11+1,1))-AVERAGE(OFFSET($H$3,0,0,'Données projet'!$E$11+1,1))</f>
        <v>584.62172669166989</v>
      </c>
      <c r="BJ121" s="59">
        <f t="shared" si="92"/>
        <v>141.28992520553197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123.23505534695664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123.23505534695664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326.09691594978824</v>
      </c>
      <c r="CE121" s="59">
        <f t="shared" si="94"/>
        <v>605.43570457920714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23.528092854967898</v>
      </c>
      <c r="CL121" s="21">
        <f>EXP(-LN(2)/25)*CL120+(1-EXP(-LN(2)/25))/(LN(2)/25)*Calculateur!CG121*Calculateur!CI121*VLOOKUP('Données projet'!$B$12,Paramètres!$A$1:$I$89,3,0)*0.475*44/12</f>
        <v>3.0353565493125734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26.563449404280473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8.3369999999999997</v>
      </c>
      <c r="CT121" s="12">
        <f>IF('Données projet'!$A$140&gt;35,CT120+CS121-DB120,IF(A121&lt;'Données projet'!$A$140,$CQ$205^A121,IF(A121='Données projet'!$A$140,'Données projet'!$B$140,CT120+CS121-DB120)))</f>
        <v>401.83800000000014</v>
      </c>
      <c r="CU121" s="17">
        <f>CT121*VLOOKUP('Données projet'!$B$13,Paramètres!$A$1:$I$89,3,0)*VLOOKUP('Données projet'!$B$13,Paramètres!$A$1:$I$89,5,0)</f>
        <v>363.58302240000012</v>
      </c>
      <c r="CV121" s="13">
        <f t="shared" si="95"/>
        <v>84.353168800537972</v>
      </c>
      <c r="CW121" s="20">
        <f t="shared" si="67"/>
        <v>780.15553300760382</v>
      </c>
      <c r="CX121" s="59">
        <f t="shared" si="68"/>
        <v>1073.4888663409372</v>
      </c>
      <c r="CY121" s="59">
        <f ca="1">AVERAGE(OFFSET($CX$3,0,0,'Données projet'!$E$13+1,1))-AVERAGE(OFFSET($H$3,0,0,'Données projet'!$E$13+1,1))</f>
        <v>465.85201723917186</v>
      </c>
      <c r="CZ121" s="59">
        <f t="shared" si="96"/>
        <v>110.67325285686417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102.10904585890694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102.10904585890694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234.00000000000003</v>
      </c>
      <c r="AJ122" s="13">
        <f>AI122*VLOOKUP('Données projet'!$B$10,Paramètres!$A$1:$I$89,3,0)*VLOOKUP('Données projet'!$B$10,Paramètres!$A$1:$I$89,5,0)</f>
        <v>189.82080000000005</v>
      </c>
      <c r="AK122" s="13">
        <f t="shared" si="89"/>
        <v>47.500332100049796</v>
      </c>
      <c r="AL122" s="20">
        <f t="shared" si="58"/>
        <v>413.33430507425345</v>
      </c>
      <c r="AM122" s="59">
        <f t="shared" si="59"/>
        <v>706.66763840758676</v>
      </c>
      <c r="AN122" s="59">
        <f ca="1">AVERAGE(OFFSET($AM$3,0,0,'Données projet'!$E$10+1,1))-AVERAGE(OFFSET($H$3,0,0,'Données projet'!$E$10+1,1))</f>
        <v>181.20458942529478</v>
      </c>
      <c r="AO122" s="59">
        <f t="shared" si="90"/>
        <v>144.05254691566421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21.381459616669297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21.381459616669297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8.3369999999999997</v>
      </c>
      <c r="BD122" s="12">
        <f>IF('Données projet'!$A$88&gt;35,BD121+BC122-BL121,IF(A122&lt;'Données projet'!$A$88,$BA$205^A122,IF(A122='Données projet'!$A$88,'Données projet'!$B$88,BD121+BC122-BL121)))</f>
        <v>410.17500000000013</v>
      </c>
      <c r="BE122" s="13">
        <f>BD122*VLOOKUP('Données projet'!$B$11,Paramètres!$A$1:$I$89,3,0)*VLOOKUP('Données projet'!$B$11,Paramètres!$A$1:$I$89,5,0)</f>
        <v>447.91110000000009</v>
      </c>
      <c r="BF122" s="13">
        <f t="shared" si="91"/>
        <v>101.42503390588769</v>
      </c>
      <c r="BG122" s="20">
        <f t="shared" si="61"/>
        <v>956.76043321942109</v>
      </c>
      <c r="BH122" s="59">
        <f t="shared" si="62"/>
        <v>1250.0937665527545</v>
      </c>
      <c r="BI122" s="59">
        <f ca="1">AVERAGE(OFFSET($BH$3,0,0,'Données projet'!$E$11+1,1))-AVERAGE(OFFSET($H$3,0,0,'Données projet'!$E$11+1,1))</f>
        <v>584.62172669166989</v>
      </c>
      <c r="BJ122" s="59">
        <f t="shared" si="92"/>
        <v>141.28992520553197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120.81849107756456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120.81849107756456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326.09691594978824</v>
      </c>
      <c r="CE122" s="59">
        <f t="shared" si="94"/>
        <v>605.43570457920714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23.066721304801604</v>
      </c>
      <c r="CL122" s="21">
        <f>EXP(-LN(2)/25)*CL121+(1-EXP(-LN(2)/25))/(LN(2)/25)*Calculateur!CG122*Calculateur!CI122*VLOOKUP('Données projet'!$B$12,Paramètres!$A$1:$I$89,3,0)*0.475*44/12</f>
        <v>2.9523545648491574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26.019075869650763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8.3369999999999997</v>
      </c>
      <c r="CT122" s="12">
        <f>IF('Données projet'!$A$140&gt;35,CT121+CS122-DB121,IF(A122&lt;'Données projet'!$A$140,$CQ$205^A122,IF(A122='Données projet'!$A$140,'Données projet'!$B$140,CT121+CS122-DB121)))</f>
        <v>410.17500000000013</v>
      </c>
      <c r="CU122" s="17">
        <f>CT122*VLOOKUP('Données projet'!$B$13,Paramètres!$A$1:$I$89,3,0)*VLOOKUP('Données projet'!$B$13,Paramètres!$A$1:$I$89,5,0)</f>
        <v>371.12634000000008</v>
      </c>
      <c r="CV122" s="13">
        <f t="shared" si="95"/>
        <v>85.897694701832052</v>
      </c>
      <c r="CW122" s="20">
        <f t="shared" si="67"/>
        <v>795.98352710569088</v>
      </c>
      <c r="CX122" s="59">
        <f t="shared" si="68"/>
        <v>1089.3168604390241</v>
      </c>
      <c r="CY122" s="59">
        <f ca="1">AVERAGE(OFFSET($CX$3,0,0,'Données projet'!$E$13+1,1))-AVERAGE(OFFSET($H$3,0,0,'Données projet'!$E$13+1,1))</f>
        <v>465.85201723917186</v>
      </c>
      <c r="CZ122" s="59">
        <f t="shared" si="96"/>
        <v>110.67325285686417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100.10674974998207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100.10674974998207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234.00000000000003</v>
      </c>
      <c r="AJ123" s="13">
        <f>AI123*VLOOKUP('Données projet'!$B$10,Paramètres!$A$1:$I$89,3,0)*VLOOKUP('Données projet'!$B$10,Paramètres!$A$1:$I$89,5,0)</f>
        <v>189.82080000000005</v>
      </c>
      <c r="AK123" s="13">
        <f t="shared" si="89"/>
        <v>47.500332100049796</v>
      </c>
      <c r="AL123" s="20">
        <f t="shared" si="58"/>
        <v>413.33430507425345</v>
      </c>
      <c r="AM123" s="59">
        <f t="shared" si="59"/>
        <v>706.66763840758676</v>
      </c>
      <c r="AN123" s="59">
        <f ca="1">AVERAGE(OFFSET($AM$3,0,0,'Données projet'!$E$10+1,1))-AVERAGE(OFFSET($H$3,0,0,'Données projet'!$E$10+1,1))</f>
        <v>181.20458942529478</v>
      </c>
      <c r="AO123" s="59">
        <f t="shared" si="90"/>
        <v>144.05254691566421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20.962182234989047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20.962182234989047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8.3369999999999997</v>
      </c>
      <c r="BD123" s="12">
        <f>IF('Données projet'!$A$88&gt;35,BD122+BC123-BL122,IF(A123&lt;'Données projet'!$A$88,$BA$205^A123,IF(A123='Données projet'!$A$88,'Données projet'!$B$88,BD122+BC123-BL122)))</f>
        <v>418.51200000000011</v>
      </c>
      <c r="BE123" s="13">
        <f>BD123*VLOOKUP('Données projet'!$B$11,Paramètres!$A$1:$I$89,3,0)*VLOOKUP('Données projet'!$B$11,Paramètres!$A$1:$I$89,5,0)</f>
        <v>457.01510400000006</v>
      </c>
      <c r="BF123" s="13">
        <f t="shared" si="91"/>
        <v>103.24444686258714</v>
      </c>
      <c r="BG123" s="20">
        <f t="shared" si="61"/>
        <v>975.78538441900582</v>
      </c>
      <c r="BH123" s="59">
        <f t="shared" si="62"/>
        <v>1269.1187177523391</v>
      </c>
      <c r="BI123" s="59">
        <f ca="1">AVERAGE(OFFSET($BH$3,0,0,'Données projet'!$E$11+1,1))-AVERAGE(OFFSET($H$3,0,0,'Données projet'!$E$11+1,1))</f>
        <v>584.62172669166989</v>
      </c>
      <c r="BJ123" s="59">
        <f t="shared" si="92"/>
        <v>141.28992520553197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118.4493141595366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118.4493141595366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326.09691594978824</v>
      </c>
      <c r="CE123" s="59">
        <f t="shared" si="94"/>
        <v>605.43570457920714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22.61439696932521</v>
      </c>
      <c r="CL123" s="21">
        <f>EXP(-LN(2)/25)*CL122+(1-EXP(-LN(2)/25))/(LN(2)/25)*Calculateur!CG123*Calculateur!CI123*VLOOKUP('Données projet'!$B$12,Paramètres!$A$1:$I$89,3,0)*0.475*44/12</f>
        <v>2.8716222740157784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25.486019243340987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8.3369999999999997</v>
      </c>
      <c r="CT123" s="12">
        <f>IF('Données projet'!$A$140&gt;35,CT122+CS123-DB122,IF(A123&lt;'Données projet'!$A$140,$CQ$205^A123,IF(A123='Données projet'!$A$140,'Données projet'!$B$140,CT122+CS123-DB122)))</f>
        <v>418.51200000000011</v>
      </c>
      <c r="CU123" s="17">
        <f>CT123*VLOOKUP('Données projet'!$B$13,Paramètres!$A$1:$I$89,3,0)*VLOOKUP('Données projet'!$B$13,Paramètres!$A$1:$I$89,5,0)</f>
        <v>378.66965760000005</v>
      </c>
      <c r="CV123" s="13">
        <f t="shared" si="95"/>
        <v>87.438570486366189</v>
      </c>
      <c r="CW123" s="20">
        <f t="shared" si="67"/>
        <v>811.80516391708795</v>
      </c>
      <c r="CX123" s="59">
        <f t="shared" si="68"/>
        <v>1105.1384972504213</v>
      </c>
      <c r="CY123" s="59">
        <f ca="1">AVERAGE(OFFSET($CX$3,0,0,'Données projet'!$E$13+1,1))-AVERAGE(OFFSET($H$3,0,0,'Données projet'!$E$13+1,1))</f>
        <v>465.85201723917186</v>
      </c>
      <c r="CZ123" s="59">
        <f t="shared" si="96"/>
        <v>110.67325285686417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98.14371744647319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98.14371744647319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234.00000000000003</v>
      </c>
      <c r="AJ124" s="13">
        <f>AI124*VLOOKUP('Données projet'!$B$10,Paramètres!$A$1:$I$89,3,0)*VLOOKUP('Données projet'!$B$10,Paramètres!$A$1:$I$89,5,0)</f>
        <v>189.82080000000005</v>
      </c>
      <c r="AK124" s="13">
        <f t="shared" si="89"/>
        <v>47.500332100049796</v>
      </c>
      <c r="AL124" s="20">
        <f t="shared" si="58"/>
        <v>413.33430507425345</v>
      </c>
      <c r="AM124" s="59">
        <f t="shared" si="59"/>
        <v>706.66763840758676</v>
      </c>
      <c r="AN124" s="59">
        <f ca="1">AVERAGE(OFFSET($AM$3,0,0,'Données projet'!$E$10+1,1))-AVERAGE(OFFSET($H$3,0,0,'Données projet'!$E$10+1,1))</f>
        <v>181.20458942529478</v>
      </c>
      <c r="AO124" s="59">
        <f t="shared" si="90"/>
        <v>144.05254691566421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20.551126627029596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20.551126627029596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8.3369999999999997</v>
      </c>
      <c r="BD124" s="12">
        <f>IF('Données projet'!$A$88&gt;35,BD123+BC124-BL123,IF(A124&lt;'Données projet'!$A$88,$BA$205^A124,IF(A124='Données projet'!$A$88,'Données projet'!$B$88,BD123+BC124-BL123)))</f>
        <v>426.8490000000001</v>
      </c>
      <c r="BE124" s="13">
        <f>BD124*VLOOKUP('Données projet'!$B$11,Paramètres!$A$1:$I$89,3,0)*VLOOKUP('Données projet'!$B$11,Paramètres!$A$1:$I$89,5,0)</f>
        <v>466.11910800000015</v>
      </c>
      <c r="BF124" s="13">
        <f t="shared" si="91"/>
        <v>105.0596456391098</v>
      </c>
      <c r="BG124" s="20">
        <f t="shared" si="61"/>
        <v>994.80299592144968</v>
      </c>
      <c r="BH124" s="59">
        <f t="shared" si="62"/>
        <v>1288.136329254783</v>
      </c>
      <c r="BI124" s="59">
        <f ca="1">AVERAGE(OFFSET($BH$3,0,0,'Données projet'!$E$11+1,1))-AVERAGE(OFFSET($H$3,0,0,'Données projet'!$E$11+1,1))</f>
        <v>584.62172669166989</v>
      </c>
      <c r="BJ124" s="59">
        <f t="shared" si="92"/>
        <v>141.28992520553197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116.12659535581592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116.12659535581592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326.09691594978824</v>
      </c>
      <c r="CE124" s="59">
        <f t="shared" si="94"/>
        <v>605.43570457920714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22.170942438176905</v>
      </c>
      <c r="CL124" s="21">
        <f>EXP(-LN(2)/25)*CL123+(1-EXP(-LN(2)/25))/(LN(2)/25)*Calculateur!CG124*Calculateur!CI124*VLOOKUP('Données projet'!$B$12,Paramètres!$A$1:$I$89,3,0)*0.475*44/12</f>
        <v>2.7930976119207647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24.964040050097669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8.3369999999999997</v>
      </c>
      <c r="CT124" s="12">
        <f>IF('Données projet'!$A$140&gt;35,CT123+CS124-DB123,IF(A124&lt;'Données projet'!$A$140,$CQ$205^A124,IF(A124='Données projet'!$A$140,'Données projet'!$B$140,CT123+CS124-DB123)))</f>
        <v>426.8490000000001</v>
      </c>
      <c r="CU124" s="17">
        <f>CT124*VLOOKUP('Données projet'!$B$13,Paramètres!$A$1:$I$89,3,0)*VLOOKUP('Données projet'!$B$13,Paramètres!$A$1:$I$89,5,0)</f>
        <v>386.21297520000007</v>
      </c>
      <c r="CV124" s="13">
        <f t="shared" si="95"/>
        <v>88.975877247077207</v>
      </c>
      <c r="CW124" s="20">
        <f t="shared" si="67"/>
        <v>827.62058467865961</v>
      </c>
      <c r="CX124" s="59">
        <f t="shared" si="68"/>
        <v>1120.953918011993</v>
      </c>
      <c r="CY124" s="59">
        <f ca="1">AVERAGE(OFFSET($CX$3,0,0,'Données projet'!$E$13+1,1))-AVERAGE(OFFSET($H$3,0,0,'Données projet'!$E$13+1,1))</f>
        <v>465.85201723917186</v>
      </c>
      <c r="CZ124" s="59">
        <f t="shared" si="96"/>
        <v>110.67325285686417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96.219179009104636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96.219179009104636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234.00000000000003</v>
      </c>
      <c r="AJ125" s="13">
        <f>AI125*VLOOKUP('Données projet'!$B$10,Paramètres!$A$1:$I$89,3,0)*VLOOKUP('Données projet'!$B$10,Paramètres!$A$1:$I$89,5,0)</f>
        <v>189.82080000000005</v>
      </c>
      <c r="AK125" s="13">
        <f t="shared" si="89"/>
        <v>47.500332100049796</v>
      </c>
      <c r="AL125" s="20">
        <f t="shared" si="58"/>
        <v>413.33430507425345</v>
      </c>
      <c r="AM125" s="59">
        <f t="shared" si="59"/>
        <v>706.66763840758676</v>
      </c>
      <c r="AN125" s="59">
        <f ca="1">AVERAGE(OFFSET($AM$3,0,0,'Données projet'!$E$10+1,1))-AVERAGE(OFFSET($H$3,0,0,'Données projet'!$E$10+1,1))</f>
        <v>181.20458942529478</v>
      </c>
      <c r="AO125" s="59">
        <f t="shared" si="90"/>
        <v>144.05254691566421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20.148131568823064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20.148131568823064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8.3369999999999997</v>
      </c>
      <c r="BD125" s="12">
        <f>IF('Données projet'!$A$88&gt;35,BD124+BC125-BL124,IF(A125&lt;'Données projet'!$A$88,$BA$205^A125,IF(A125='Données projet'!$A$88,'Données projet'!$B$88,BD124+BC125-BL124)))</f>
        <v>435.18600000000009</v>
      </c>
      <c r="BE125" s="13">
        <f>BD125*VLOOKUP('Données projet'!$B$11,Paramètres!$A$1:$I$89,3,0)*VLOOKUP('Données projet'!$B$11,Paramètres!$A$1:$I$89,5,0)</f>
        <v>475.22311200000013</v>
      </c>
      <c r="BF125" s="13">
        <f t="shared" si="91"/>
        <v>106.87072203290131</v>
      </c>
      <c r="BG125" s="20">
        <f t="shared" si="61"/>
        <v>1013.8134276073032</v>
      </c>
      <c r="BH125" s="59">
        <f t="shared" si="62"/>
        <v>1307.1467609406366</v>
      </c>
      <c r="BI125" s="59">
        <f ca="1">AVERAGE(OFFSET($BH$3,0,0,'Données projet'!$E$11+1,1))-AVERAGE(OFFSET($H$3,0,0,'Données projet'!$E$11+1,1))</f>
        <v>584.62172669166989</v>
      </c>
      <c r="BJ125" s="59">
        <f t="shared" si="92"/>
        <v>141.28992520553197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113.84942365111763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113.84942365111763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326.09691594978824</v>
      </c>
      <c r="CE125" s="59">
        <f t="shared" si="94"/>
        <v>605.43570457920714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21.736183779903865</v>
      </c>
      <c r="CL125" s="21">
        <f>EXP(-LN(2)/25)*CL124+(1-EXP(-LN(2)/25))/(LN(2)/25)*Calculateur!CG125*Calculateur!CI125*VLOOKUP('Données projet'!$B$12,Paramètres!$A$1:$I$89,3,0)*0.475*44/12</f>
        <v>2.7167202108401716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24.452903990744037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8.3369999999999997</v>
      </c>
      <c r="CT125" s="12">
        <f>IF('Données projet'!$A$140&gt;35,CT124+CS125-DB124,IF(A125&lt;'Données projet'!$A$140,$CQ$205^A125,IF(A125='Données projet'!$A$140,'Données projet'!$B$140,CT124+CS125-DB124)))</f>
        <v>435.18600000000009</v>
      </c>
      <c r="CU125" s="17">
        <f>CT125*VLOOKUP('Données projet'!$B$13,Paramètres!$A$1:$I$89,3,0)*VLOOKUP('Données projet'!$B$13,Paramètres!$A$1:$I$89,5,0)</f>
        <v>393.75629280000004</v>
      </c>
      <c r="CV125" s="13">
        <f t="shared" si="95"/>
        <v>90.509692727976613</v>
      </c>
      <c r="CW125" s="20">
        <f t="shared" si="67"/>
        <v>843.42992479455927</v>
      </c>
      <c r="CX125" s="59">
        <f t="shared" si="68"/>
        <v>1136.7632581278926</v>
      </c>
      <c r="CY125" s="59">
        <f ca="1">AVERAGE(OFFSET($CX$3,0,0,'Données projet'!$E$13+1,1))-AVERAGE(OFFSET($H$3,0,0,'Données projet'!$E$13+1,1))</f>
        <v>465.85201723917186</v>
      </c>
      <c r="CZ125" s="59">
        <f t="shared" si="96"/>
        <v>110.67325285686417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94.332379596640337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94.332379596640337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234.00000000000003</v>
      </c>
      <c r="AJ126" s="13">
        <f>AI126*VLOOKUP('Données projet'!$B$10,Paramètres!$A$1:$I$89,3,0)*VLOOKUP('Données projet'!$B$10,Paramètres!$A$1:$I$89,5,0)</f>
        <v>189.82080000000005</v>
      </c>
      <c r="AK126" s="13">
        <f t="shared" si="89"/>
        <v>47.500332100049796</v>
      </c>
      <c r="AL126" s="20">
        <f t="shared" si="58"/>
        <v>413.33430507425345</v>
      </c>
      <c r="AM126" s="59">
        <f t="shared" si="59"/>
        <v>706.66763840758676</v>
      </c>
      <c r="AN126" s="59">
        <f ca="1">AVERAGE(OFFSET($AM$3,0,0,'Données projet'!$E$10+1,1))-AVERAGE(OFFSET($H$3,0,0,'Données projet'!$E$10+1,1))</f>
        <v>181.20458942529478</v>
      </c>
      <c r="AO126" s="59">
        <f t="shared" si="90"/>
        <v>144.05254691566421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19.75303899790525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19.75303899790525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8.3369999999999997</v>
      </c>
      <c r="BD126" s="12">
        <f>IF('Données projet'!$A$88&gt;35,BD125+BC126-BL125,IF(A126&lt;'Données projet'!$A$88,$BA$205^A126,IF(A126='Données projet'!$A$88,'Données projet'!$B$88,BD125+BC126-BL125)))</f>
        <v>443.52300000000008</v>
      </c>
      <c r="BE126" s="13">
        <f>BD126*VLOOKUP('Données projet'!$B$11,Paramètres!$A$1:$I$89,3,0)*VLOOKUP('Données projet'!$B$11,Paramètres!$A$1:$I$89,5,0)</f>
        <v>484.3271160000001</v>
      </c>
      <c r="BF126" s="13">
        <f t="shared" si="91"/>
        <v>108.67776412298504</v>
      </c>
      <c r="BG126" s="20">
        <f t="shared" si="61"/>
        <v>1032.8168328808658</v>
      </c>
      <c r="BH126" s="59">
        <f t="shared" si="62"/>
        <v>1326.1501662141991</v>
      </c>
      <c r="BI126" s="59">
        <f ca="1">AVERAGE(OFFSET($BH$3,0,0,'Données projet'!$E$11+1,1))-AVERAGE(OFFSET($H$3,0,0,'Données projet'!$E$11+1,1))</f>
        <v>584.62172669166989</v>
      </c>
      <c r="BJ126" s="59">
        <f t="shared" si="92"/>
        <v>141.28992520553197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111.61690589461088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111.61690589461088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326.09691594978824</v>
      </c>
      <c r="CE126" s="59">
        <f t="shared" si="94"/>
        <v>605.43570457920714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21.309950473742962</v>
      </c>
      <c r="CL126" s="21">
        <f>EXP(-LN(2)/25)*CL125+(1-EXP(-LN(2)/25))/(LN(2)/25)*Calculateur!CG126*Calculateur!CI126*VLOOKUP('Données projet'!$B$12,Paramètres!$A$1:$I$89,3,0)*0.475*44/12</f>
        <v>2.6424313538086404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23.952381827551601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8.3369999999999997</v>
      </c>
      <c r="CT126" s="12">
        <f>IF('Données projet'!$A$140&gt;35,CT125+CS126-DB125,IF(A126&lt;'Données projet'!$A$140,$CQ$205^A126,IF(A126='Données projet'!$A$140,'Données projet'!$B$140,CT125+CS126-DB125)))</f>
        <v>443.52300000000008</v>
      </c>
      <c r="CU126" s="17">
        <f>CT126*VLOOKUP('Données projet'!$B$13,Paramètres!$A$1:$I$89,3,0)*VLOOKUP('Données projet'!$B$13,Paramètres!$A$1:$I$89,5,0)</f>
        <v>401.29961040000006</v>
      </c>
      <c r="CV126" s="13">
        <f t="shared" si="95"/>
        <v>92.040091523913034</v>
      </c>
      <c r="CW126" s="20">
        <f t="shared" si="67"/>
        <v>859.23331418414864</v>
      </c>
      <c r="CX126" s="59">
        <f t="shared" si="68"/>
        <v>1152.5666475174819</v>
      </c>
      <c r="CY126" s="59">
        <f ca="1">AVERAGE(OFFSET($CX$3,0,0,'Données projet'!$E$13+1,1))-AVERAGE(OFFSET($H$3,0,0,'Données projet'!$E$13+1,1))</f>
        <v>465.85201723917186</v>
      </c>
      <c r="CZ126" s="59">
        <f t="shared" si="96"/>
        <v>110.67325285686417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92.482579169820454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92.482579169820454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234.00000000000003</v>
      </c>
      <c r="AJ127" s="13">
        <f>AI127*VLOOKUP('Données projet'!$B$10,Paramètres!$A$1:$I$89,3,0)*VLOOKUP('Données projet'!$B$10,Paramètres!$A$1:$I$89,5,0)</f>
        <v>189.82080000000005</v>
      </c>
      <c r="AK127" s="13">
        <f t="shared" si="89"/>
        <v>47.500332100049796</v>
      </c>
      <c r="AL127" s="20">
        <f t="shared" si="58"/>
        <v>413.33430507425345</v>
      </c>
      <c r="AM127" s="59">
        <f t="shared" si="59"/>
        <v>706.66763840758676</v>
      </c>
      <c r="AN127" s="59">
        <f ca="1">AVERAGE(OFFSET($AM$3,0,0,'Données projet'!$E$10+1,1))-AVERAGE(OFFSET($H$3,0,0,'Données projet'!$E$10+1,1))</f>
        <v>181.20458942529478</v>
      </c>
      <c r="AO127" s="59">
        <f t="shared" si="90"/>
        <v>144.05254691566421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19.365693951320459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19.365693951320459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8.3369999999999997</v>
      </c>
      <c r="BC127" s="12">
        <f t="array" ref="BC127">INDEX(BB:BB,MIN(IF(ISNUMBER(BB127:BB323),ROW(BB127:BB323),"")))</f>
        <v>8.3369999999999997</v>
      </c>
      <c r="BD127" s="12">
        <f>IF('Données projet'!$A$88&gt;35,BD126+BC127-BL126,IF(A127&lt;'Données projet'!$A$88,$BA$205^A127,IF(A127='Données projet'!$A$88,'Données projet'!$B$88,BD126+BC127-BL126)))</f>
        <v>451.86000000000007</v>
      </c>
      <c r="BE127" s="13">
        <f>BD127*VLOOKUP('Données projet'!$B$11,Paramètres!$A$1:$I$89,3,0)*VLOOKUP('Données projet'!$B$11,Paramètres!$A$1:$I$89,5,0)</f>
        <v>493.43112000000002</v>
      </c>
      <c r="BF127" s="13">
        <f t="shared" si="91"/>
        <v>110.48085648759901</v>
      </c>
      <c r="BG127" s="20">
        <f t="shared" si="61"/>
        <v>1051.813359049235</v>
      </c>
      <c r="BH127" s="59">
        <f t="shared" si="62"/>
        <v>1345.1466923825683</v>
      </c>
      <c r="BI127" s="59">
        <f ca="1">AVERAGE(OFFSET($BH$3,0,0,'Données projet'!$E$11+1,1))-AVERAGE(OFFSET($H$3,0,0,'Données projet'!$E$11+1,1))</f>
        <v>584.62172669166989</v>
      </c>
      <c r="BJ127" s="59">
        <f t="shared" si="92"/>
        <v>141.28992520553197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0.43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136.69568423895859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136.69568423895859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326.09691594978824</v>
      </c>
      <c r="CE127" s="59">
        <f t="shared" si="94"/>
        <v>605.43570457920714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20.892075342739226</v>
      </c>
      <c r="CL127" s="21">
        <f>EXP(-LN(2)/25)*CL126+(1-EXP(-LN(2)/25))/(LN(2)/25)*Calculateur!CG127*Calculateur!CI127*VLOOKUP('Données projet'!$B$12,Paramètres!$A$1:$I$89,3,0)*0.475*44/12</f>
        <v>2.5701739294793176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23.462249272218543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8.3369999999999997</v>
      </c>
      <c r="CS127" s="12">
        <f t="array" ref="CS127">INDEX(CR:CR,MIN(IF(ISNUMBER(CR127:CR323),ROW(CR127:CR323),"")))</f>
        <v>8.3369999999999997</v>
      </c>
      <c r="CT127" s="12">
        <f>IF('Données projet'!$A$140&gt;35,CT126+CS127-DB126,IF(A127&lt;'Données projet'!$A$140,$CQ$205^A127,IF(A127='Données projet'!$A$140,'Données projet'!$B$140,CT126+CS127-DB126)))</f>
        <v>451.86000000000007</v>
      </c>
      <c r="CU127" s="17">
        <f>CT127*VLOOKUP('Données projet'!$B$13,Paramètres!$A$1:$I$89,3,0)*VLOOKUP('Données projet'!$B$13,Paramètres!$A$1:$I$89,5,0)</f>
        <v>408.84292800000003</v>
      </c>
      <c r="CV127" s="13">
        <f t="shared" si="95"/>
        <v>93.567145264891124</v>
      </c>
      <c r="CW127" s="20">
        <f t="shared" si="67"/>
        <v>875.03087760301878</v>
      </c>
      <c r="CX127" s="59">
        <f t="shared" si="68"/>
        <v>1168.364210936352</v>
      </c>
      <c r="CY127" s="59">
        <f ca="1">AVERAGE(OFFSET($CX$3,0,0,'Données projet'!$E$13+1,1))-AVERAGE(OFFSET($H$3,0,0,'Données projet'!$E$13+1,1))</f>
        <v>465.85201723917186</v>
      </c>
      <c r="CZ127" s="59">
        <f t="shared" si="96"/>
        <v>110.67325285686417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0.43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113.26213836942286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113.26213836942286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234.00000000000003</v>
      </c>
      <c r="AJ128" s="13">
        <f>AI128*VLOOKUP('Données projet'!$B$10,Paramètres!$A$1:$I$89,3,0)*VLOOKUP('Données projet'!$B$10,Paramètres!$A$1:$I$89,5,0)</f>
        <v>189.82080000000005</v>
      </c>
      <c r="AK128" s="13">
        <f t="shared" si="89"/>
        <v>47.500332100049796</v>
      </c>
      <c r="AL128" s="20">
        <f t="shared" si="58"/>
        <v>413.33430507425345</v>
      </c>
      <c r="AM128" s="59">
        <f t="shared" si="59"/>
        <v>706.66763840758676</v>
      </c>
      <c r="AN128" s="59">
        <f ca="1">AVERAGE(OFFSET($AM$3,0,0,'Données projet'!$E$10+1,1))-AVERAGE(OFFSET($H$3,0,0,'Données projet'!$E$10+1,1))</f>
        <v>181.20458942529478</v>
      </c>
      <c r="AO128" s="59">
        <f t="shared" si="90"/>
        <v>144.05254691566421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18.985944504842045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18.985944504842045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8.4949999999999939</v>
      </c>
      <c r="BD128" s="12">
        <f>IF('Données projet'!$A$88&gt;35,BD127+BC128-BL127,IF(A128&lt;'Données projet'!$A$88,$BA$205^A128,IF(A128='Données projet'!$A$88,'Données projet'!$B$88,BD127+BC128-BL127)))</f>
        <v>407.82500000000005</v>
      </c>
      <c r="BE128" s="13">
        <f>BD128*VLOOKUP('Données projet'!$B$11,Paramètres!$A$1:$I$89,3,0)*VLOOKUP('Données projet'!$B$11,Paramètres!$A$1:$I$89,5,0)</f>
        <v>445.34490000000005</v>
      </c>
      <c r="BF128" s="13">
        <f t="shared" si="91"/>
        <v>100.91141069417796</v>
      </c>
      <c r="BG128" s="20">
        <f t="shared" si="61"/>
        <v>951.39640779236004</v>
      </c>
      <c r="BH128" s="59">
        <f t="shared" si="62"/>
        <v>1244.7297411256934</v>
      </c>
      <c r="BI128" s="59">
        <f ca="1">AVERAGE(OFFSET($BH$3,0,0,'Données projet'!$E$11+1,1))-AVERAGE(OFFSET($H$3,0,0,'Données projet'!$E$11+1,1))</f>
        <v>584.62172669166989</v>
      </c>
      <c r="BJ128" s="59">
        <f t="shared" si="92"/>
        <v>141.28992520553197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134.01516524716729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134.01516524716729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326.09691594978824</v>
      </c>
      <c r="CE128" s="59">
        <f t="shared" si="94"/>
        <v>605.43570457920714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20.48239448817581</v>
      </c>
      <c r="CL128" s="21">
        <f>EXP(-LN(2)/25)*CL127+(1-EXP(-LN(2)/25))/(LN(2)/25)*Calculateur!CG128*Calculateur!CI128*VLOOKUP('Données projet'!$B$12,Paramètres!$A$1:$I$89,3,0)*0.475*44/12</f>
        <v>2.4998923882181328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22.982286876393943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8.4949999999999939</v>
      </c>
      <c r="CT128" s="12">
        <f>IF('Données projet'!$A$140&gt;35,CT127+CS128-DB127,IF(A128&lt;'Données projet'!$A$140,$CQ$205^A128,IF(A128='Données projet'!$A$140,'Données projet'!$B$140,CT127+CS128-DB127)))</f>
        <v>407.82500000000005</v>
      </c>
      <c r="CU128" s="17">
        <f>CT128*VLOOKUP('Données projet'!$B$13,Paramètres!$A$1:$I$89,3,0)*VLOOKUP('Données projet'!$B$13,Paramètres!$A$1:$I$89,5,0)</f>
        <v>369.00006000000002</v>
      </c>
      <c r="CV128" s="13">
        <f t="shared" si="95"/>
        <v>85.462702983001037</v>
      </c>
      <c r="CW128" s="20">
        <f t="shared" si="67"/>
        <v>791.52264552872691</v>
      </c>
      <c r="CX128" s="59">
        <f t="shared" si="68"/>
        <v>1084.8559788620603</v>
      </c>
      <c r="CY128" s="59">
        <f ca="1">AVERAGE(OFFSET($CX$3,0,0,'Données projet'!$E$13+1,1))-AVERAGE(OFFSET($H$3,0,0,'Données projet'!$E$13+1,1))</f>
        <v>465.85201723917186</v>
      </c>
      <c r="CZ128" s="59">
        <f t="shared" si="96"/>
        <v>110.67325285686417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111.0411369190815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111.0411369190815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234.00000000000003</v>
      </c>
      <c r="AJ129" s="13">
        <f>AI129*VLOOKUP('Données projet'!$B$10,Paramètres!$A$1:$I$89,3,0)*VLOOKUP('Données projet'!$B$10,Paramètres!$A$1:$I$89,5,0)</f>
        <v>189.82080000000005</v>
      </c>
      <c r="AK129" s="13">
        <f t="shared" si="89"/>
        <v>47.500332100049796</v>
      </c>
      <c r="AL129" s="20">
        <f t="shared" si="58"/>
        <v>413.33430507425345</v>
      </c>
      <c r="AM129" s="59">
        <f t="shared" si="59"/>
        <v>706.66763840758676</v>
      </c>
      <c r="AN129" s="59">
        <f ca="1">AVERAGE(OFFSET($AM$3,0,0,'Données projet'!$E$10+1,1))-AVERAGE(OFFSET($H$3,0,0,'Données projet'!$E$10+1,1))</f>
        <v>181.20458942529478</v>
      </c>
      <c r="AO129" s="59">
        <f t="shared" si="90"/>
        <v>144.05254691566421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18.613641713384784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18.613641713384784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8.4949999999999939</v>
      </c>
      <c r="BD129" s="12">
        <f>IF('Données projet'!$A$88&gt;35,BD128+BC129-BL128,IF(A129&lt;'Données projet'!$A$88,$BA$205^A129,IF(A129='Données projet'!$A$88,'Données projet'!$B$88,BD128+BC129-BL128)))</f>
        <v>416.32000000000005</v>
      </c>
      <c r="BE129" s="13">
        <f>BD129*VLOOKUP('Données projet'!$B$11,Paramètres!$A$1:$I$89,3,0)*VLOOKUP('Données projet'!$B$11,Paramètres!$A$1:$I$89,5,0)</f>
        <v>454.62144000000006</v>
      </c>
      <c r="BF129" s="13">
        <f t="shared" si="91"/>
        <v>102.76649113793452</v>
      </c>
      <c r="BG129" s="20">
        <f t="shared" si="61"/>
        <v>970.78398006523605</v>
      </c>
      <c r="BH129" s="59">
        <f t="shared" si="62"/>
        <v>1264.1173133985694</v>
      </c>
      <c r="BI129" s="59">
        <f ca="1">AVERAGE(OFFSET($BH$3,0,0,'Données projet'!$E$11+1,1))-AVERAGE(OFFSET($H$3,0,0,'Données projet'!$E$11+1,1))</f>
        <v>584.62172669166989</v>
      </c>
      <c r="BJ129" s="59">
        <f t="shared" si="92"/>
        <v>141.28992520553197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131.38720959784987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131.38720959784987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326.09691594978824</v>
      </c>
      <c r="CE129" s="59">
        <f t="shared" si="94"/>
        <v>605.43570457920714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20.080747225289738</v>
      </c>
      <c r="CL129" s="21">
        <f>EXP(-LN(2)/25)*CL128+(1-EXP(-LN(2)/25))/(LN(2)/25)*Calculateur!CG129*Calculateur!CI129*VLOOKUP('Données projet'!$B$12,Paramètres!$A$1:$I$89,3,0)*0.475*44/12</f>
        <v>2.431532699398681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22.512279924688418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8.4949999999999939</v>
      </c>
      <c r="CT129" s="12">
        <f>IF('Données projet'!$A$140&gt;35,CT128+CS129-DB128,IF(A129&lt;'Données projet'!$A$140,$CQ$205^A129,IF(A129='Données projet'!$A$140,'Données projet'!$B$140,CT128+CS129-DB128)))</f>
        <v>416.32000000000005</v>
      </c>
      <c r="CU129" s="17">
        <f>CT129*VLOOKUP('Données projet'!$B$13,Paramètres!$A$1:$I$89,3,0)*VLOOKUP('Données projet'!$B$13,Paramètres!$A$1:$I$89,5,0)</f>
        <v>376.68633600000004</v>
      </c>
      <c r="CV129" s="13">
        <f t="shared" si="95"/>
        <v>87.033785855430708</v>
      </c>
      <c r="CW129" s="20">
        <f t="shared" si="67"/>
        <v>807.64587889820859</v>
      </c>
      <c r="CX129" s="59">
        <f t="shared" si="68"/>
        <v>1100.9792122315419</v>
      </c>
      <c r="CY129" s="59">
        <f ca="1">AVERAGE(OFFSET($CX$3,0,0,'Données projet'!$E$13+1,1))-AVERAGE(OFFSET($H$3,0,0,'Données projet'!$E$13+1,1))</f>
        <v>465.85201723917186</v>
      </c>
      <c r="CZ129" s="59">
        <f t="shared" si="96"/>
        <v>110.67325285686417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108.86368795250421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108.86368795250421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234.00000000000003</v>
      </c>
      <c r="AJ130" s="13">
        <f>AI130*VLOOKUP('Données projet'!$B$10,Paramètres!$A$1:$I$89,3,0)*VLOOKUP('Données projet'!$B$10,Paramètres!$A$1:$I$89,5,0)</f>
        <v>189.82080000000005</v>
      </c>
      <c r="AK130" s="13">
        <f t="shared" si="89"/>
        <v>47.500332100049796</v>
      </c>
      <c r="AL130" s="20">
        <f t="shared" si="58"/>
        <v>413.33430507425345</v>
      </c>
      <c r="AM130" s="59">
        <f t="shared" si="59"/>
        <v>706.66763840758676</v>
      </c>
      <c r="AN130" s="59">
        <f ca="1">AVERAGE(OFFSET($AM$3,0,0,'Données projet'!$E$10+1,1))-AVERAGE(OFFSET($H$3,0,0,'Données projet'!$E$10+1,1))</f>
        <v>181.20458942529478</v>
      </c>
      <c r="AO130" s="59">
        <f t="shared" si="90"/>
        <v>144.05254691566421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18.248639552585718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18.248639552585718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8.4949999999999939</v>
      </c>
      <c r="BD130" s="12">
        <f>IF('Données projet'!$A$88&gt;35,BD129+BC130-BL129,IF(A130&lt;'Données projet'!$A$88,$BA$205^A130,IF(A130='Données projet'!$A$88,'Données projet'!$B$88,BD129+BC130-BL129)))</f>
        <v>424.81500000000005</v>
      </c>
      <c r="BE130" s="13">
        <f>BD130*VLOOKUP('Données projet'!$B$11,Paramètres!$A$1:$I$89,3,0)*VLOOKUP('Données projet'!$B$11,Paramètres!$A$1:$I$89,5,0)</f>
        <v>463.89798000000002</v>
      </c>
      <c r="BF130" s="13">
        <f t="shared" si="91"/>
        <v>104.61717041273698</v>
      </c>
      <c r="BG130" s="20">
        <f t="shared" si="61"/>
        <v>990.16388696885031</v>
      </c>
      <c r="BH130" s="59">
        <f t="shared" si="62"/>
        <v>1283.4972203021837</v>
      </c>
      <c r="BI130" s="59">
        <f ca="1">AVERAGE(OFFSET($BH$3,0,0,'Données projet'!$E$11+1,1))-AVERAGE(OFFSET($H$3,0,0,'Données projet'!$E$11+1,1))</f>
        <v>584.62172669166989</v>
      </c>
      <c r="BJ130" s="59">
        <f t="shared" si="92"/>
        <v>141.28992520553197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128.81078655592088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128.81078655592088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326.09691594978824</v>
      </c>
      <c r="CE130" s="59">
        <f t="shared" si="94"/>
        <v>605.43570457920714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19.68697602024822</v>
      </c>
      <c r="CL130" s="21">
        <f>EXP(-LN(2)/25)*CL129+(1-EXP(-LN(2)/25))/(LN(2)/25)*Calculateur!CG130*Calculateur!CI130*VLOOKUP('Données projet'!$B$12,Paramètres!$A$1:$I$89,3,0)*0.475*44/12</f>
        <v>2.3650423098648767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22.052018330113096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8.4949999999999939</v>
      </c>
      <c r="CT130" s="12">
        <f>IF('Données projet'!$A$140&gt;35,CT129+CS130-DB129,IF(A130&lt;'Données projet'!$A$140,$CQ$205^A130,IF(A130='Données projet'!$A$140,'Données projet'!$B$140,CT129+CS130-DB129)))</f>
        <v>424.81500000000005</v>
      </c>
      <c r="CU130" s="17">
        <f>CT130*VLOOKUP('Données projet'!$B$13,Paramètres!$A$1:$I$89,3,0)*VLOOKUP('Données projet'!$B$13,Paramètres!$A$1:$I$89,5,0)</f>
        <v>384.37261200000006</v>
      </c>
      <c r="CV130" s="13">
        <f t="shared" si="95"/>
        <v>88.6011413417054</v>
      </c>
      <c r="CW130" s="20">
        <f t="shared" si="67"/>
        <v>823.76262040347035</v>
      </c>
      <c r="CX130" s="59">
        <f t="shared" si="68"/>
        <v>1117.0959537368037</v>
      </c>
      <c r="CY130" s="59">
        <f ca="1">AVERAGE(OFFSET($CX$3,0,0,'Données projet'!$E$13+1,1))-AVERAGE(OFFSET($H$3,0,0,'Données projet'!$E$13+1,1))</f>
        <v>465.85201723917186</v>
      </c>
      <c r="CZ130" s="59">
        <f t="shared" si="96"/>
        <v>110.67325285686417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106.72893743204877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106.72893743204877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234.00000000000003</v>
      </c>
      <c r="AJ131" s="13">
        <f>AI131*VLOOKUP('Données projet'!$B$10,Paramètres!$A$1:$I$89,3,0)*VLOOKUP('Données projet'!$B$10,Paramètres!$A$1:$I$89,5,0)</f>
        <v>189.82080000000005</v>
      </c>
      <c r="AK131" s="13">
        <f t="shared" si="89"/>
        <v>47.500332100049796</v>
      </c>
      <c r="AL131" s="20">
        <f t="shared" si="58"/>
        <v>413.33430507425345</v>
      </c>
      <c r="AM131" s="59">
        <f t="shared" si="59"/>
        <v>706.66763840758676</v>
      </c>
      <c r="AN131" s="59">
        <f ca="1">AVERAGE(OFFSET($AM$3,0,0,'Données projet'!$E$10+1,1))-AVERAGE(OFFSET($H$3,0,0,'Données projet'!$E$10+1,1))</f>
        <v>181.20458942529478</v>
      </c>
      <c r="AO131" s="59">
        <f t="shared" si="90"/>
        <v>144.05254691566421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17.890794861530587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17.890794861530587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8.4949999999999939</v>
      </c>
      <c r="BD131" s="12">
        <f>IF('Données projet'!$A$88&gt;35,BD130+BC131-BL130,IF(A131&lt;'Données projet'!$A$88,$BA$205^A131,IF(A131='Données projet'!$A$88,'Données projet'!$B$88,BD130+BC131-BL130)))</f>
        <v>433.31000000000006</v>
      </c>
      <c r="BE131" s="13">
        <f>BD131*VLOOKUP('Données projet'!$B$11,Paramètres!$A$1:$I$89,3,0)*VLOOKUP('Données projet'!$B$11,Paramètres!$A$1:$I$89,5,0)</f>
        <v>473.17452000000003</v>
      </c>
      <c r="BF131" s="13">
        <f t="shared" si="91"/>
        <v>106.46354667179045</v>
      </c>
      <c r="BG131" s="20">
        <f t="shared" si="61"/>
        <v>1009.5362994533684</v>
      </c>
      <c r="BH131" s="59">
        <f t="shared" si="62"/>
        <v>1302.8696327867017</v>
      </c>
      <c r="BI131" s="59">
        <f ca="1">AVERAGE(OFFSET($BH$3,0,0,'Données projet'!$E$11+1,1))-AVERAGE(OFFSET($H$3,0,0,'Données projet'!$E$11+1,1))</f>
        <v>584.62172669166989</v>
      </c>
      <c r="BJ131" s="59">
        <f t="shared" si="92"/>
        <v>141.28992520553197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126.28488559838125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126.28488559838125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326.09691594978824</v>
      </c>
      <c r="CE131" s="59">
        <f t="shared" si="94"/>
        <v>605.43570457920714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19.300926428360846</v>
      </c>
      <c r="CL131" s="21">
        <f>EXP(-LN(2)/25)*CL130+(1-EXP(-LN(2)/25))/(LN(2)/25)*Calculateur!CG131*Calculateur!CI131*VLOOKUP('Données projet'!$B$12,Paramètres!$A$1:$I$89,3,0)*0.475*44/12</f>
        <v>2.3003701035294521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21.601296531890299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8.4949999999999939</v>
      </c>
      <c r="CT131" s="12">
        <f>IF('Données projet'!$A$140&gt;35,CT130+CS131-DB130,IF(A131&lt;'Données projet'!$A$140,$CQ$205^A131,IF(A131='Données projet'!$A$140,'Données projet'!$B$140,CT130+CS131-DB130)))</f>
        <v>433.31000000000006</v>
      </c>
      <c r="CU131" s="17">
        <f>CT131*VLOOKUP('Données projet'!$B$13,Paramètres!$A$1:$I$89,3,0)*VLOOKUP('Données projet'!$B$13,Paramètres!$A$1:$I$89,5,0)</f>
        <v>392.05888800000002</v>
      </c>
      <c r="CV131" s="13">
        <f t="shared" si="95"/>
        <v>90.164852568581111</v>
      </c>
      <c r="CW131" s="20">
        <f t="shared" si="67"/>
        <v>839.87301482361215</v>
      </c>
      <c r="CX131" s="59">
        <f t="shared" si="68"/>
        <v>1133.2063481569455</v>
      </c>
      <c r="CY131" s="59">
        <f ca="1">AVERAGE(OFFSET($CX$3,0,0,'Données projet'!$E$13+1,1))-AVERAGE(OFFSET($H$3,0,0,'Données projet'!$E$13+1,1))</f>
        <v>465.85201723917186</v>
      </c>
      <c r="CZ131" s="59">
        <f t="shared" si="96"/>
        <v>110.67325285686417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104.63604806723021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104.63604806723021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234.00000000000003</v>
      </c>
      <c r="AJ132" s="13">
        <f>AI132*VLOOKUP('Données projet'!$B$10,Paramètres!$A$1:$I$89,3,0)*VLOOKUP('Données projet'!$B$10,Paramètres!$A$1:$I$89,5,0)</f>
        <v>189.82080000000005</v>
      </c>
      <c r="AK132" s="13">
        <f t="shared" si="89"/>
        <v>47.500332100049796</v>
      </c>
      <c r="AL132" s="20">
        <f t="shared" ref="AL132:AL153" si="112">(AJ132+AK132)*0.475*44/12</f>
        <v>413.33430507425345</v>
      </c>
      <c r="AM132" s="59">
        <f t="shared" ref="AM132:AM195" si="113">AL132+(AD132+AE132)*44/12</f>
        <v>706.66763840758676</v>
      </c>
      <c r="AN132" s="59">
        <f ca="1">AVERAGE(OFFSET($AM$3,0,0,'Données projet'!$E$10+1,1))-AVERAGE(OFFSET($H$3,0,0,'Données projet'!$E$10+1,1))</f>
        <v>181.20458942529478</v>
      </c>
      <c r="AO132" s="59">
        <f t="shared" si="90"/>
        <v>144.05254691566421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17.539967286603336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17.539967286603336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8.4949999999999939</v>
      </c>
      <c r="BD132" s="12">
        <f>IF('Données projet'!$A$88&gt;35,BD131+BC132-BL131,IF(A132&lt;'Données projet'!$A$88,$BA$205^A132,IF(A132='Données projet'!$A$88,'Données projet'!$B$88,BD131+BC132-BL131)))</f>
        <v>441.80500000000006</v>
      </c>
      <c r="BE132" s="13">
        <f>BD132*VLOOKUP('Données projet'!$B$11,Paramètres!$A$1:$I$89,3,0)*VLOOKUP('Données projet'!$B$11,Paramètres!$A$1:$I$89,5,0)</f>
        <v>482.45106000000004</v>
      </c>
      <c r="BF132" s="13">
        <f t="shared" si="91"/>
        <v>108.30571399960745</v>
      </c>
      <c r="BG132" s="20">
        <f t="shared" ref="BG132:BG153" si="115">(BE132+BF132)*0.475*44/12</f>
        <v>1028.9013813826498</v>
      </c>
      <c r="BH132" s="59">
        <f t="shared" ref="BH132:BH195" si="116">BG132+(AY132+AZ132)*44/12</f>
        <v>1322.234714715983</v>
      </c>
      <c r="BI132" s="59">
        <f ca="1">AVERAGE(OFFSET($BH$3,0,0,'Données projet'!$E$11+1,1))-AVERAGE(OFFSET($H$3,0,0,'Données projet'!$E$11+1,1))</f>
        <v>584.62172669166989</v>
      </c>
      <c r="BJ132" s="59">
        <f t="shared" si="92"/>
        <v>141.28992520553197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123.80851601797151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123.80851601797151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326.09691594978824</v>
      </c>
      <c r="CE132" s="59">
        <f t="shared" si="94"/>
        <v>605.43570457920714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18.922447033503381</v>
      </c>
      <c r="CL132" s="21">
        <f>EXP(-LN(2)/25)*CL131+(1-EXP(-LN(2)/25))/(LN(2)/25)*Calculateur!CG132*Calculateur!CI132*VLOOKUP('Données projet'!$B$12,Paramètres!$A$1:$I$89,3,0)*0.475*44/12</f>
        <v>2.237466362077233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21.159913395580613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8.4949999999999939</v>
      </c>
      <c r="CT132" s="12">
        <f>IF('Données projet'!$A$140&gt;35,CT131+CS132-DB131,IF(A132&lt;'Données projet'!$A$140,$CQ$205^A132,IF(A132='Données projet'!$A$140,'Données projet'!$B$140,CT131+CS132-DB131)))</f>
        <v>441.80500000000006</v>
      </c>
      <c r="CU132" s="17">
        <f>CT132*VLOOKUP('Données projet'!$B$13,Paramètres!$A$1:$I$89,3,0)*VLOOKUP('Données projet'!$B$13,Paramètres!$A$1:$I$89,5,0)</f>
        <v>399.7451640000001</v>
      </c>
      <c r="CV132" s="13">
        <f t="shared" si="95"/>
        <v>91.724999217004651</v>
      </c>
      <c r="CW132" s="20">
        <f t="shared" ref="CW132:CW153" si="121">(CU132+CV132)*0.475*44/12</f>
        <v>855.97720093628323</v>
      </c>
      <c r="CX132" s="59">
        <f t="shared" ref="CX132:CX195" si="122">CW132+(CO132+CP132)*44/12</f>
        <v>1149.3105342696165</v>
      </c>
      <c r="CY132" s="59">
        <f ca="1">AVERAGE(OFFSET($CX$3,0,0,'Données projet'!$E$13+1,1))-AVERAGE(OFFSET($H$3,0,0,'Données projet'!$E$13+1,1))</f>
        <v>465.85201723917186</v>
      </c>
      <c r="CZ132" s="59">
        <f t="shared" si="96"/>
        <v>110.67325285686417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102.58419898631928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102.58419898631928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234.00000000000003</v>
      </c>
      <c r="AJ133" s="13">
        <f>AI133*VLOOKUP('Données projet'!$B$10,Paramètres!$A$1:$I$89,3,0)*VLOOKUP('Données projet'!$B$10,Paramètres!$A$1:$I$89,5,0)</f>
        <v>189.82080000000005</v>
      </c>
      <c r="AK133" s="13">
        <f t="shared" ref="AK133:AK153" si="143">EXP(-1.0587+0.8836*LN(AJ133)+0.284)</f>
        <v>47.500332100049796</v>
      </c>
      <c r="AL133" s="20">
        <f t="shared" si="112"/>
        <v>413.33430507425345</v>
      </c>
      <c r="AM133" s="59">
        <f t="shared" si="113"/>
        <v>706.66763840758676</v>
      </c>
      <c r="AN133" s="59">
        <f ca="1">AVERAGE(OFFSET($AM$3,0,0,'Données projet'!$E$10+1,1))-AVERAGE(OFFSET($H$3,0,0,'Données projet'!$E$10+1,1))</f>
        <v>181.20458942529478</v>
      </c>
      <c r="AO133" s="59">
        <f t="shared" ref="AO133:AO196" si="144">$AO$3</f>
        <v>144.05254691566421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17.196019226436718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17.196019226436718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8.4949999999999939</v>
      </c>
      <c r="BD133" s="12">
        <f>IF('Données projet'!$A$88&gt;35,BD132+BC133-BL132,IF(A133&lt;'Données projet'!$A$88,$BA$205^A133,IF(A133='Données projet'!$A$88,'Données projet'!$B$88,BD132+BC133-BL132)))</f>
        <v>450.30000000000007</v>
      </c>
      <c r="BE133" s="13">
        <f>BD133*VLOOKUP('Données projet'!$B$11,Paramètres!$A$1:$I$89,3,0)*VLOOKUP('Données projet'!$B$11,Paramètres!$A$1:$I$89,5,0)</f>
        <v>491.72760000000005</v>
      </c>
      <c r="BF133" s="13">
        <f t="shared" ref="BF133:BF153" si="145">EXP(-1.0587+0.8836*LN(BE133)+0.284)</f>
        <v>110.14376265559881</v>
      </c>
      <c r="BG133" s="20">
        <f t="shared" si="115"/>
        <v>1048.2592899585013</v>
      </c>
      <c r="BH133" s="59">
        <f t="shared" si="116"/>
        <v>1341.5926232918346</v>
      </c>
      <c r="BI133" s="59">
        <f ca="1">AVERAGE(OFFSET($BH$3,0,0,'Données projet'!$E$11+1,1))-AVERAGE(OFFSET($H$3,0,0,'Données projet'!$E$11+1,1))</f>
        <v>584.62172669166989</v>
      </c>
      <c r="BJ133" s="59">
        <f t="shared" ref="BJ133:BJ196" si="146">$BJ$3</f>
        <v>141.28992520553197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121.38070653459731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121.38070653459731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326.09691594978824</v>
      </c>
      <c r="CE133" s="59">
        <f t="shared" ref="CE133:CE196" si="148">$CE$3</f>
        <v>605.43570457920714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18.551389388729437</v>
      </c>
      <c r="CL133" s="21">
        <f>EXP(-LN(2)/25)*CL132+(1-EXP(-LN(2)/25))/(LN(2)/25)*Calculateur!CG133*Calculateur!CI133*VLOOKUP('Données projet'!$B$12,Paramètres!$A$1:$I$89,3,0)*0.475*44/12</f>
        <v>2.1762827267429889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20.727672115472426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8.4949999999999939</v>
      </c>
      <c r="CT133" s="12">
        <f>IF('Données projet'!$A$140&gt;35,CT132+CS133-DB132,IF(A133&lt;'Données projet'!$A$140,$CQ$205^A133,IF(A133='Données projet'!$A$140,'Données projet'!$B$140,CT132+CS133-DB132)))</f>
        <v>450.30000000000007</v>
      </c>
      <c r="CU133" s="17">
        <f>CT133*VLOOKUP('Données projet'!$B$13,Paramètres!$A$1:$I$89,3,0)*VLOOKUP('Données projet'!$B$13,Paramètres!$A$1:$I$89,5,0)</f>
        <v>407.43144000000007</v>
      </c>
      <c r="CV133" s="13">
        <f t="shared" ref="CV133:CV153" si="149">EXP(-1.0587+0.8836*LN(CU133)+0.284)</f>
        <v>93.281657728412767</v>
      </c>
      <c r="CW133" s="20">
        <f t="shared" si="121"/>
        <v>872.07531187698567</v>
      </c>
      <c r="CX133" s="59">
        <f t="shared" si="122"/>
        <v>1165.408645210319</v>
      </c>
      <c r="CY133" s="59">
        <f ca="1">AVERAGE(OFFSET($CX$3,0,0,'Données projet'!$E$13+1,1))-AVERAGE(OFFSET($H$3,0,0,'Données projet'!$E$13+1,1))</f>
        <v>465.85201723917186</v>
      </c>
      <c r="CZ133" s="59">
        <f t="shared" ref="CZ133:CZ196" si="150">$CZ$3</f>
        <v>110.67325285686417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100.57258541438065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100.57258541438065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234.00000000000003</v>
      </c>
      <c r="AJ134" s="13">
        <f>AI134*VLOOKUP('Données projet'!$B$10,Paramètres!$A$1:$I$89,3,0)*VLOOKUP('Données projet'!$B$10,Paramètres!$A$1:$I$89,5,0)</f>
        <v>189.82080000000005</v>
      </c>
      <c r="AK134" s="13">
        <f t="shared" si="143"/>
        <v>47.500332100049796</v>
      </c>
      <c r="AL134" s="20">
        <f t="shared" si="112"/>
        <v>413.33430507425345</v>
      </c>
      <c r="AM134" s="59">
        <f t="shared" si="113"/>
        <v>706.66763840758676</v>
      </c>
      <c r="AN134" s="59">
        <f ca="1">AVERAGE(OFFSET($AM$3,0,0,'Données projet'!$E$10+1,1))-AVERAGE(OFFSET($H$3,0,0,'Données projet'!$E$10+1,1))</f>
        <v>181.20458942529478</v>
      </c>
      <c r="AO134" s="59">
        <f t="shared" si="144"/>
        <v>144.05254691566421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16.858815777942365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16.858815777942365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8.4949999999999939</v>
      </c>
      <c r="BD134" s="12">
        <f>IF('Données projet'!$A$88&gt;35,BD133+BC134-BL133,IF(A134&lt;'Données projet'!$A$88,$BA$205^A134,IF(A134='Données projet'!$A$88,'Données projet'!$B$88,BD133+BC134-BL133)))</f>
        <v>458.79500000000007</v>
      </c>
      <c r="BE134" s="13">
        <f>BD134*VLOOKUP('Données projet'!$B$11,Paramètres!$A$1:$I$89,3,0)*VLOOKUP('Données projet'!$B$11,Paramètres!$A$1:$I$89,5,0)</f>
        <v>501.00414000000012</v>
      </c>
      <c r="BF134" s="13">
        <f t="shared" si="145"/>
        <v>111.97777929876422</v>
      </c>
      <c r="BG134" s="20">
        <f t="shared" si="115"/>
        <v>1067.6101761120144</v>
      </c>
      <c r="BH134" s="59">
        <f t="shared" si="116"/>
        <v>1360.9435094453477</v>
      </c>
      <c r="BI134" s="59">
        <f ca="1">AVERAGE(OFFSET($BH$3,0,0,'Données projet'!$E$11+1,1))-AVERAGE(OFFSET($H$3,0,0,'Données projet'!$E$11+1,1))</f>
        <v>584.62172669166989</v>
      </c>
      <c r="BJ134" s="59">
        <f t="shared" si="146"/>
        <v>141.28992520553197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119.0005049143745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119.0005049143745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326.09691594978824</v>
      </c>
      <c r="CE134" s="59">
        <f t="shared" si="148"/>
        <v>605.43570457920714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18.187607958046694</v>
      </c>
      <c r="CL134" s="21">
        <f>EXP(-LN(2)/25)*CL133+(1-EXP(-LN(2)/25))/(LN(2)/25)*Calculateur!CG134*Calculateur!CI134*VLOOKUP('Données projet'!$B$12,Paramètres!$A$1:$I$89,3,0)*0.475*44/12</f>
        <v>2.1167721611344672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20.304380119181161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8.4949999999999939</v>
      </c>
      <c r="CT134" s="12">
        <f>IF('Données projet'!$A$140&gt;35,CT133+CS134-DB133,IF(A134&lt;'Données projet'!$A$140,$CQ$205^A134,IF(A134='Données projet'!$A$140,'Données projet'!$B$140,CT133+CS134-DB133)))</f>
        <v>458.79500000000007</v>
      </c>
      <c r="CU134" s="17">
        <f>CT134*VLOOKUP('Données projet'!$B$13,Paramètres!$A$1:$I$89,3,0)*VLOOKUP('Données projet'!$B$13,Paramètres!$A$1:$I$89,5,0)</f>
        <v>415.11771600000009</v>
      </c>
      <c r="CV134" s="13">
        <f t="shared" si="149"/>
        <v>94.834901495024482</v>
      </c>
      <c r="CW134" s="20">
        <f t="shared" si="121"/>
        <v>888.16747547050124</v>
      </c>
      <c r="CX134" s="59">
        <f t="shared" si="122"/>
        <v>1181.5008088038346</v>
      </c>
      <c r="CY134" s="59">
        <f ca="1">AVERAGE(OFFSET($CX$3,0,0,'Données projet'!$E$13+1,1))-AVERAGE(OFFSET($H$3,0,0,'Données projet'!$E$13+1,1))</f>
        <v>465.85201723917186</v>
      </c>
      <c r="CZ134" s="59">
        <f t="shared" si="150"/>
        <v>110.67325285686417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98.600418357624619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98.600418357624619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234.00000000000003</v>
      </c>
      <c r="AJ135" s="13">
        <f>AI135*VLOOKUP('Données projet'!$B$10,Paramètres!$A$1:$I$89,3,0)*VLOOKUP('Données projet'!$B$10,Paramètres!$A$1:$I$89,5,0)</f>
        <v>189.82080000000005</v>
      </c>
      <c r="AK135" s="13">
        <f t="shared" si="143"/>
        <v>47.500332100049796</v>
      </c>
      <c r="AL135" s="20">
        <f t="shared" si="112"/>
        <v>413.33430507425345</v>
      </c>
      <c r="AM135" s="59">
        <f t="shared" si="113"/>
        <v>706.66763840758676</v>
      </c>
      <c r="AN135" s="59">
        <f ca="1">AVERAGE(OFFSET($AM$3,0,0,'Données projet'!$E$10+1,1))-AVERAGE(OFFSET($H$3,0,0,'Données projet'!$E$10+1,1))</f>
        <v>181.20458942529478</v>
      </c>
      <c r="AO135" s="59">
        <f t="shared" si="144"/>
        <v>144.05254691566421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16.528224683399191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16.528224683399191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8.4949999999999939</v>
      </c>
      <c r="BD135" s="12">
        <f>IF('Données projet'!$A$88&gt;35,BD134+BC135-BL134,IF(A135&lt;'Données projet'!$A$88,$BA$205^A135,IF(A135='Données projet'!$A$88,'Données projet'!$B$88,BD134+BC135-BL134)))</f>
        <v>467.29000000000008</v>
      </c>
      <c r="BE135" s="13">
        <f>BD135*VLOOKUP('Données projet'!$B$11,Paramètres!$A$1:$I$89,3,0)*VLOOKUP('Données projet'!$B$11,Paramètres!$A$1:$I$89,5,0)</f>
        <v>510.28068000000002</v>
      </c>
      <c r="BF135" s="13">
        <f t="shared" si="145"/>
        <v>113.80784719526973</v>
      </c>
      <c r="BG135" s="20">
        <f t="shared" si="115"/>
        <v>1086.9541848650949</v>
      </c>
      <c r="BH135" s="59">
        <f t="shared" si="116"/>
        <v>1380.2875181984282</v>
      </c>
      <c r="BI135" s="59">
        <f ca="1">AVERAGE(OFFSET($BH$3,0,0,'Données projet'!$E$11+1,1))-AVERAGE(OFFSET($H$3,0,0,'Données projet'!$E$11+1,1))</f>
        <v>584.62172669166989</v>
      </c>
      <c r="BJ135" s="59">
        <f t="shared" si="146"/>
        <v>141.28992520553197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116.66697759614463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116.66697759614463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326.09691594978824</v>
      </c>
      <c r="CE135" s="59">
        <f t="shared" si="148"/>
        <v>605.43570457920714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17.830960059334878</v>
      </c>
      <c r="CL135" s="21">
        <f>EXP(-LN(2)/25)*CL134+(1-EXP(-LN(2)/25))/(LN(2)/25)*Calculateur!CG135*Calculateur!CI135*VLOOKUP('Données projet'!$B$12,Paramètres!$A$1:$I$89,3,0)*0.475*44/12</f>
        <v>2.0588889150720351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19.889848974406913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8.4949999999999939</v>
      </c>
      <c r="CT135" s="12">
        <f>IF('Données projet'!$A$140&gt;35,CT134+CS135-DB134,IF(A135&lt;'Données projet'!$A$140,$CQ$205^A135,IF(A135='Données projet'!$A$140,'Données projet'!$B$140,CT134+CS135-DB134)))</f>
        <v>467.29000000000008</v>
      </c>
      <c r="CU135" s="17">
        <f>CT135*VLOOKUP('Données projet'!$B$13,Paramètres!$A$1:$I$89,3,0)*VLOOKUP('Données projet'!$B$13,Paramètres!$A$1:$I$89,5,0)</f>
        <v>422.80399200000005</v>
      </c>
      <c r="CV135" s="13">
        <f t="shared" si="149"/>
        <v>96.384801035640152</v>
      </c>
      <c r="CW135" s="20">
        <f t="shared" si="121"/>
        <v>904.25381453707325</v>
      </c>
      <c r="CX135" s="59">
        <f t="shared" si="122"/>
        <v>1197.5871478704066</v>
      </c>
      <c r="CY135" s="59">
        <f ca="1">AVERAGE(OFFSET($CX$3,0,0,'Données projet'!$E$13+1,1))-AVERAGE(OFFSET($H$3,0,0,'Données projet'!$E$13+1,1))</f>
        <v>465.85201723917186</v>
      </c>
      <c r="CZ135" s="59">
        <f t="shared" si="150"/>
        <v>110.67325285686417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96.666924293948441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96.666924293948441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234.00000000000003</v>
      </c>
      <c r="AJ136" s="13">
        <f>AI136*VLOOKUP('Données projet'!$B$10,Paramètres!$A$1:$I$89,3,0)*VLOOKUP('Données projet'!$B$10,Paramètres!$A$1:$I$89,5,0)</f>
        <v>189.82080000000005</v>
      </c>
      <c r="AK136" s="13">
        <f t="shared" si="143"/>
        <v>47.500332100049796</v>
      </c>
      <c r="AL136" s="20">
        <f t="shared" si="112"/>
        <v>413.33430507425345</v>
      </c>
      <c r="AM136" s="59">
        <f t="shared" si="113"/>
        <v>706.66763840758676</v>
      </c>
      <c r="AN136" s="59">
        <f ca="1">AVERAGE(OFFSET($AM$3,0,0,'Données projet'!$E$10+1,1))-AVERAGE(OFFSET($H$3,0,0,'Données projet'!$E$10+1,1))</f>
        <v>181.20458942529478</v>
      </c>
      <c r="AO136" s="59">
        <f t="shared" si="144"/>
        <v>144.05254691566421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16.204116278579352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16.204116278579352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8.4949999999999939</v>
      </c>
      <c r="BD136" s="12">
        <f>IF('Données projet'!$A$88&gt;35,BD135+BC136-BL135,IF(A136&lt;'Données projet'!$A$88,$BA$205^A136,IF(A136='Données projet'!$A$88,'Données projet'!$B$88,BD135+BC136-BL135)))</f>
        <v>475.78500000000008</v>
      </c>
      <c r="BE136" s="13">
        <f>BD136*VLOOKUP('Données projet'!$B$11,Paramètres!$A$1:$I$89,3,0)*VLOOKUP('Données projet'!$B$11,Paramètres!$A$1:$I$89,5,0)</f>
        <v>519.55722000000003</v>
      </c>
      <c r="BF136" s="13">
        <f t="shared" si="145"/>
        <v>115.63404641050485</v>
      </c>
      <c r="BG136" s="20">
        <f t="shared" si="115"/>
        <v>1106.2914556649628</v>
      </c>
      <c r="BH136" s="59">
        <f t="shared" si="116"/>
        <v>1399.624788998296</v>
      </c>
      <c r="BI136" s="59">
        <f ca="1">AVERAGE(OFFSET($BH$3,0,0,'Données projet'!$E$11+1,1))-AVERAGE(OFFSET($H$3,0,0,'Données projet'!$E$11+1,1))</f>
        <v>584.62172669166989</v>
      </c>
      <c r="BJ136" s="59">
        <f t="shared" si="146"/>
        <v>141.28992520553197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114.37920932531412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114.37920932531412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326.09691594978824</v>
      </c>
      <c r="CE136" s="59">
        <f t="shared" si="148"/>
        <v>605.43570457920714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17.481305808383059</v>
      </c>
      <c r="CL136" s="21">
        <f>EXP(-LN(2)/25)*CL135+(1-EXP(-LN(2)/25))/(LN(2)/25)*Calculateur!CG136*Calculateur!CI136*VLOOKUP('Données projet'!$B$12,Paramètres!$A$1:$I$89,3,0)*0.475*44/12</f>
        <v>2.002588489417128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19.483894297800187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8.4949999999999939</v>
      </c>
      <c r="CT136" s="12">
        <f>IF('Données projet'!$A$140&gt;35,CT135+CS136-DB135,IF(A136&lt;'Données projet'!$A$140,$CQ$205^A136,IF(A136='Données projet'!$A$140,'Données projet'!$B$140,CT135+CS136-DB135)))</f>
        <v>475.78500000000008</v>
      </c>
      <c r="CU136" s="17">
        <f>CT136*VLOOKUP('Données projet'!$B$13,Paramètres!$A$1:$I$89,3,0)*VLOOKUP('Données projet'!$B$13,Paramètres!$A$1:$I$89,5,0)</f>
        <v>430.49026800000007</v>
      </c>
      <c r="CV136" s="13">
        <f t="shared" si="149"/>
        <v>97.93142415829584</v>
      </c>
      <c r="CW136" s="20">
        <f t="shared" si="121"/>
        <v>920.33444717569864</v>
      </c>
      <c r="CX136" s="59">
        <f t="shared" si="122"/>
        <v>1213.6677805090319</v>
      </c>
      <c r="CY136" s="59">
        <f ca="1">AVERAGE(OFFSET($CX$3,0,0,'Données projet'!$E$13+1,1))-AVERAGE(OFFSET($H$3,0,0,'Données projet'!$E$13+1,1))</f>
        <v>465.85201723917186</v>
      </c>
      <c r="CZ136" s="59">
        <f t="shared" si="150"/>
        <v>110.67325285686417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94.771344869546013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94.771344869546013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234.00000000000003</v>
      </c>
      <c r="AJ137" s="13">
        <f>AI137*VLOOKUP('Données projet'!$B$10,Paramètres!$A$1:$I$89,3,0)*VLOOKUP('Données projet'!$B$10,Paramètres!$A$1:$I$89,5,0)</f>
        <v>189.82080000000005</v>
      </c>
      <c r="AK137" s="13">
        <f t="shared" si="143"/>
        <v>47.500332100049796</v>
      </c>
      <c r="AL137" s="20">
        <f t="shared" si="112"/>
        <v>413.33430507425345</v>
      </c>
      <c r="AM137" s="59">
        <f t="shared" si="113"/>
        <v>706.66763840758676</v>
      </c>
      <c r="AN137" s="59">
        <f ca="1">AVERAGE(OFFSET($AM$3,0,0,'Données projet'!$E$10+1,1))-AVERAGE(OFFSET($H$3,0,0,'Données projet'!$E$10+1,1))</f>
        <v>181.20458942529478</v>
      </c>
      <c r="AO137" s="59">
        <f t="shared" si="144"/>
        <v>144.05254691566421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15.886363441891424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15.886363441891424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8.4949999999999939</v>
      </c>
      <c r="BC137" s="12">
        <f t="array" ref="BC137">INDEX(BB:BB,MIN(IF(ISNUMBER(BB137:BB333),ROW(BB137:BB333),"")))</f>
        <v>8.4949999999999939</v>
      </c>
      <c r="BD137" s="12">
        <f>IF('Données projet'!$A$88&gt;35,BD136+BC137-BL136,IF(A137&lt;'Données projet'!$A$88,$BA$205^A137,IF(A137='Données projet'!$A$88,'Données projet'!$B$88,BD136+BC137-BL136)))</f>
        <v>484.28000000000009</v>
      </c>
      <c r="BE137" s="13">
        <f>BD137*VLOOKUP('Données projet'!$B$11,Paramètres!$A$1:$I$89,3,0)*VLOOKUP('Données projet'!$B$11,Paramètres!$A$1:$I$89,5,0)</f>
        <v>528.8337600000001</v>
      </c>
      <c r="BF137" s="13">
        <f t="shared" si="145"/>
        <v>117.456453987033</v>
      </c>
      <c r="BG137" s="20">
        <f t="shared" si="115"/>
        <v>1125.6221226940827</v>
      </c>
      <c r="BH137" s="59">
        <f t="shared" si="116"/>
        <v>1418.9554560274159</v>
      </c>
      <c r="BI137" s="59">
        <f ca="1">AVERAGE(OFFSET($BH$3,0,0,'Données projet'!$E$11+1,1))-AVERAGE(OFFSET($H$3,0,0,'Données projet'!$E$11+1,1))</f>
        <v>584.62172669166989</v>
      </c>
      <c r="BJ137" s="59">
        <f t="shared" si="146"/>
        <v>141.28992520553197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0.43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140.66000548904512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140.66000548904512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326.09691594978824</v>
      </c>
      <c r="CE137" s="59">
        <f t="shared" si="148"/>
        <v>605.43570457920714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17.138508064024371</v>
      </c>
      <c r="CL137" s="21">
        <f>EXP(-LN(2)/25)*CL136+(1-EXP(-LN(2)/25))/(LN(2)/25)*Calculateur!CG137*Calculateur!CI137*VLOOKUP('Données projet'!$B$12,Paramètres!$A$1:$I$89,3,0)*0.475*44/12</f>
        <v>1.947827601862465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19.086335665886835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8.4949999999999939</v>
      </c>
      <c r="CS137" s="12">
        <f t="array" ref="CS137">INDEX(CR:CR,MIN(IF(ISNUMBER(CR137:CR333),ROW(CR137:CR333),"")))</f>
        <v>8.4949999999999939</v>
      </c>
      <c r="CT137" s="12">
        <f>IF('Données projet'!$A$140&gt;35,CT136+CS137-DB136,IF(A137&lt;'Données projet'!$A$140,$CQ$205^A137,IF(A137='Données projet'!$A$140,'Données projet'!$B$140,CT136+CS137-DB136)))</f>
        <v>484.28000000000009</v>
      </c>
      <c r="CU137" s="17">
        <f>CT137*VLOOKUP('Données projet'!$B$13,Paramètres!$A$1:$I$89,3,0)*VLOOKUP('Données projet'!$B$13,Paramètres!$A$1:$I$89,5,0)</f>
        <v>438.17654400000004</v>
      </c>
      <c r="CV137" s="13">
        <f t="shared" si="149"/>
        <v>99.474836110971893</v>
      </c>
      <c r="CW137" s="20">
        <f t="shared" si="121"/>
        <v>936.40948702660933</v>
      </c>
      <c r="CX137" s="59">
        <f t="shared" si="122"/>
        <v>1229.7428203599427</v>
      </c>
      <c r="CY137" s="59">
        <f ca="1">AVERAGE(OFFSET($CX$3,0,0,'Données projet'!$E$13+1,1))-AVERAGE(OFFSET($H$3,0,0,'Données projet'!$E$13+1,1))</f>
        <v>465.85201723917186</v>
      </c>
      <c r="CZ137" s="59">
        <f t="shared" si="150"/>
        <v>110.67325285686417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0.43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116.54686169092314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116.54686169092314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234.00000000000003</v>
      </c>
      <c r="AJ138" s="13">
        <f>AI138*VLOOKUP('Données projet'!$B$10,Paramètres!$A$1:$I$89,3,0)*VLOOKUP('Données projet'!$B$10,Paramètres!$A$1:$I$89,5,0)</f>
        <v>189.82080000000005</v>
      </c>
      <c r="AK138" s="13">
        <f t="shared" si="143"/>
        <v>47.500332100049796</v>
      </c>
      <c r="AL138" s="20">
        <f t="shared" si="112"/>
        <v>413.33430507425345</v>
      </c>
      <c r="AM138" s="59">
        <f t="shared" si="113"/>
        <v>706.66763840758676</v>
      </c>
      <c r="AN138" s="59">
        <f ca="1">AVERAGE(OFFSET($AM$3,0,0,'Données projet'!$E$10+1,1))-AVERAGE(OFFSET($H$3,0,0,'Données projet'!$E$10+1,1))</f>
        <v>181.20458942529478</v>
      </c>
      <c r="AO138" s="59">
        <f t="shared" si="144"/>
        <v>144.05254691566421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15.574841544520853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15.574841544520853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8.561000000000007</v>
      </c>
      <c r="BD138" s="12">
        <f>IF('Données projet'!$A$88&gt;35,BD137+BC138-BL137,IF(A138&lt;'Données projet'!$A$88,$BA$205^A138,IF(A138='Données projet'!$A$88,'Données projet'!$B$88,BD137+BC138-BL137)))</f>
        <v>437.89100000000013</v>
      </c>
      <c r="BE138" s="13">
        <f>BD138*VLOOKUP('Données projet'!$B$11,Paramètres!$A$1:$I$89,3,0)*VLOOKUP('Données projet'!$B$11,Paramètres!$A$1:$I$89,5,0)</f>
        <v>478.17697200000015</v>
      </c>
      <c r="BF138" s="13">
        <f t="shared" si="145"/>
        <v>107.45746788759651</v>
      </c>
      <c r="BG138" s="20">
        <f t="shared" si="115"/>
        <v>1019.9799828042309</v>
      </c>
      <c r="BH138" s="59">
        <f t="shared" si="116"/>
        <v>1313.3133161375642</v>
      </c>
      <c r="BI138" s="59">
        <f ca="1">AVERAGE(OFFSET($BH$3,0,0,'Données projet'!$E$11+1,1))-AVERAGE(OFFSET($H$3,0,0,'Données projet'!$E$11+1,1))</f>
        <v>584.62172669166989</v>
      </c>
      <c r="BJ138" s="59">
        <f t="shared" si="146"/>
        <v>141.28992520553197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137.90174857553683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137.90174857553683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326.09691594978824</v>
      </c>
      <c r="CE138" s="59">
        <f t="shared" si="148"/>
        <v>605.43570457920714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16.80243237434658</v>
      </c>
      <c r="CL138" s="21">
        <f>EXP(-LN(2)/25)*CL137+(1-EXP(-LN(2)/25))/(LN(2)/25)*Calculateur!CG138*Calculateur!CI138*VLOOKUP('Données projet'!$B$12,Paramètres!$A$1:$I$89,3,0)*0.475*44/12</f>
        <v>1.894564153657734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18.696996528004313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8.561000000000007</v>
      </c>
      <c r="CT138" s="12">
        <f>IF('Données projet'!$A$140&gt;35,CT137+CS138-DB137,IF(A138&lt;'Données projet'!$A$140,$CQ$205^A138,IF(A138='Données projet'!$A$140,'Données projet'!$B$140,CT137+CS138-DB137)))</f>
        <v>437.89100000000013</v>
      </c>
      <c r="CU138" s="17">
        <f>CT138*VLOOKUP('Données projet'!$B$13,Paramètres!$A$1:$I$89,3,0)*VLOOKUP('Données projet'!$B$13,Paramètres!$A$1:$I$89,5,0)</f>
        <v>396.20377680000007</v>
      </c>
      <c r="CV138" s="13">
        <f t="shared" si="149"/>
        <v>91.006612614056621</v>
      </c>
      <c r="CW138" s="20">
        <f t="shared" si="121"/>
        <v>848.55809489614876</v>
      </c>
      <c r="CX138" s="59">
        <f t="shared" si="122"/>
        <v>1141.891428229482</v>
      </c>
      <c r="CY138" s="59">
        <f ca="1">AVERAGE(OFFSET($CX$3,0,0,'Données projet'!$E$13+1,1))-AVERAGE(OFFSET($H$3,0,0,'Données projet'!$E$13+1,1))</f>
        <v>465.85201723917186</v>
      </c>
      <c r="CZ138" s="59">
        <f t="shared" si="150"/>
        <v>110.67325285686417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114.26144881973055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114.26144881973055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234.00000000000003</v>
      </c>
      <c r="AJ139" s="13">
        <f>AI139*VLOOKUP('Données projet'!$B$10,Paramètres!$A$1:$I$89,3,0)*VLOOKUP('Données projet'!$B$10,Paramètres!$A$1:$I$89,5,0)</f>
        <v>189.82080000000005</v>
      </c>
      <c r="AK139" s="13">
        <f t="shared" si="143"/>
        <v>47.500332100049796</v>
      </c>
      <c r="AL139" s="20">
        <f t="shared" si="112"/>
        <v>413.33430507425345</v>
      </c>
      <c r="AM139" s="59">
        <f t="shared" si="113"/>
        <v>706.66763840758676</v>
      </c>
      <c r="AN139" s="59">
        <f ca="1">AVERAGE(OFFSET($AM$3,0,0,'Données projet'!$E$10+1,1))-AVERAGE(OFFSET($H$3,0,0,'Données projet'!$E$10+1,1))</f>
        <v>181.20458942529478</v>
      </c>
      <c r="AO139" s="59">
        <f t="shared" si="144"/>
        <v>144.05254691566421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15.269428401548122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15.269428401548122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8.561000000000007</v>
      </c>
      <c r="BD139" s="12">
        <f>IF('Données projet'!$A$88&gt;35,BD138+BC139-BL138,IF(A139&lt;'Données projet'!$A$88,$BA$205^A139,IF(A139='Données projet'!$A$88,'Données projet'!$B$88,BD138+BC139-BL138)))</f>
        <v>446.45200000000011</v>
      </c>
      <c r="BE139" s="13">
        <f>BD139*VLOOKUP('Données projet'!$B$11,Paramètres!$A$1:$I$89,3,0)*VLOOKUP('Données projet'!$B$11,Paramètres!$A$1:$I$89,5,0)</f>
        <v>487.52558400000009</v>
      </c>
      <c r="BF139" s="13">
        <f t="shared" si="145"/>
        <v>109.31168212293043</v>
      </c>
      <c r="BG139" s="20">
        <f t="shared" si="115"/>
        <v>1039.4915718307705</v>
      </c>
      <c r="BH139" s="59">
        <f t="shared" si="116"/>
        <v>1332.8249051641037</v>
      </c>
      <c r="BI139" s="59">
        <f ca="1">AVERAGE(OFFSET($BH$3,0,0,'Données projet'!$E$11+1,1))-AVERAGE(OFFSET($H$3,0,0,'Données projet'!$E$11+1,1))</f>
        <v>584.62172669166989</v>
      </c>
      <c r="BJ139" s="59">
        <f t="shared" si="146"/>
        <v>141.28992520553197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135.19757939773183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135.19757939773183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326.09691594978824</v>
      </c>
      <c r="CE139" s="59">
        <f t="shared" si="148"/>
        <v>605.43570457920714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16.472946923957441</v>
      </c>
      <c r="CL139" s="21">
        <f>EXP(-LN(2)/25)*CL138+(1-EXP(-LN(2)/25))/(LN(2)/25)*Calculateur!CG139*Calculateur!CI139*VLOOKUP('Données projet'!$B$12,Paramètres!$A$1:$I$89,3,0)*0.475*44/12</f>
        <v>1.8427571972451646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18.315704121202604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8.561000000000007</v>
      </c>
      <c r="CT139" s="12">
        <f>IF('Données projet'!$A$140&gt;35,CT138+CS139-DB138,IF(A139&lt;'Données projet'!$A$140,$CQ$205^A139,IF(A139='Données projet'!$A$140,'Données projet'!$B$140,CT138+CS139-DB138)))</f>
        <v>446.45200000000011</v>
      </c>
      <c r="CU139" s="17">
        <f>CT139*VLOOKUP('Données projet'!$B$13,Paramètres!$A$1:$I$89,3,0)*VLOOKUP('Données projet'!$B$13,Paramètres!$A$1:$I$89,5,0)</f>
        <v>403.94976960000008</v>
      </c>
      <c r="CV139" s="13">
        <f t="shared" si="149"/>
        <v>92.576961887454956</v>
      </c>
      <c r="CW139" s="20">
        <f t="shared" si="121"/>
        <v>864.78405734065075</v>
      </c>
      <c r="CX139" s="59">
        <f t="shared" si="122"/>
        <v>1158.1173906739841</v>
      </c>
      <c r="CY139" s="59">
        <f ca="1">AVERAGE(OFFSET($CX$3,0,0,'Données projet'!$E$13+1,1))-AVERAGE(OFFSET($H$3,0,0,'Données projet'!$E$13+1,1))</f>
        <v>465.85201723917186</v>
      </c>
      <c r="CZ139" s="59">
        <f t="shared" si="150"/>
        <v>110.67325285686417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112.02085150097784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112.02085150097784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234.00000000000003</v>
      </c>
      <c r="AJ140" s="13">
        <f>AI140*VLOOKUP('Données projet'!$B$10,Paramètres!$A$1:$I$89,3,0)*VLOOKUP('Données projet'!$B$10,Paramètres!$A$1:$I$89,5,0)</f>
        <v>189.82080000000005</v>
      </c>
      <c r="AK140" s="13">
        <f t="shared" si="143"/>
        <v>47.500332100049796</v>
      </c>
      <c r="AL140" s="20">
        <f t="shared" si="112"/>
        <v>413.33430507425345</v>
      </c>
      <c r="AM140" s="59">
        <f t="shared" si="113"/>
        <v>706.66763840758676</v>
      </c>
      <c r="AN140" s="59">
        <f ca="1">AVERAGE(OFFSET($AM$3,0,0,'Données projet'!$E$10+1,1))-AVERAGE(OFFSET($H$3,0,0,'Données projet'!$E$10+1,1))</f>
        <v>181.20458942529478</v>
      </c>
      <c r="AO140" s="59">
        <f t="shared" si="144"/>
        <v>144.05254691566421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14.970004224025464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14.970004224025464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8.561000000000007</v>
      </c>
      <c r="BD140" s="12">
        <f>IF('Données projet'!$A$88&gt;35,BD139+BC140-BL139,IF(A140&lt;'Données projet'!$A$88,$BA$205^A140,IF(A140='Données projet'!$A$88,'Données projet'!$B$88,BD139+BC140-BL139)))</f>
        <v>455.01300000000015</v>
      </c>
      <c r="BE140" s="13">
        <f>BD140*VLOOKUP('Données projet'!$B$11,Paramètres!$A$1:$I$89,3,0)*VLOOKUP('Données projet'!$B$11,Paramètres!$A$1:$I$89,5,0)</f>
        <v>496.87419600000015</v>
      </c>
      <c r="BF140" s="13">
        <f t="shared" si="145"/>
        <v>111.16176201854444</v>
      </c>
      <c r="BG140" s="20">
        <f t="shared" si="115"/>
        <v>1058.9959602156316</v>
      </c>
      <c r="BH140" s="59">
        <f t="shared" si="116"/>
        <v>1352.3292935489649</v>
      </c>
      <c r="BI140" s="59">
        <f ca="1">AVERAGE(OFFSET($BH$3,0,0,'Données projet'!$E$11+1,1))-AVERAGE(OFFSET($H$3,0,0,'Données projet'!$E$11+1,1))</f>
        <v>584.62172669166989</v>
      </c>
      <c r="BJ140" s="59">
        <f t="shared" si="146"/>
        <v>141.28992520553197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132.54643732812326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132.54643732812326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326.09691594978824</v>
      </c>
      <c r="CE140" s="59">
        <f t="shared" si="148"/>
        <v>605.43570457920714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16.149922482284151</v>
      </c>
      <c r="CL140" s="21">
        <f>EXP(-LN(2)/25)*CL139+(1-EXP(-LN(2)/25))/(LN(2)/25)*Calculateur!CG140*Calculateur!CI140*VLOOKUP('Données projet'!$B$12,Paramètres!$A$1:$I$89,3,0)*0.475*44/12</f>
        <v>1.7923669047801063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17.942289387064257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8.561000000000007</v>
      </c>
      <c r="CT140" s="12">
        <f>IF('Données projet'!$A$140&gt;35,CT139+CS140-DB139,IF(A140&lt;'Données projet'!$A$140,$CQ$205^A140,IF(A140='Données projet'!$A$140,'Données projet'!$B$140,CT139+CS140-DB139)))</f>
        <v>455.01300000000015</v>
      </c>
      <c r="CU140" s="17">
        <f>CT140*VLOOKUP('Données projet'!$B$13,Paramètres!$A$1:$I$89,3,0)*VLOOKUP('Données projet'!$B$13,Paramètres!$A$1:$I$89,5,0)</f>
        <v>411.69576240000009</v>
      </c>
      <c r="CV140" s="13">
        <f t="shared" si="149"/>
        <v>94.143809754569304</v>
      </c>
      <c r="CW140" s="20">
        <f t="shared" si="121"/>
        <v>881.00392150254174</v>
      </c>
      <c r="CX140" s="59">
        <f t="shared" si="122"/>
        <v>1174.337254835875</v>
      </c>
      <c r="CY140" s="59">
        <f ca="1">AVERAGE(OFFSET($CX$3,0,0,'Données projet'!$E$13+1,1))-AVERAGE(OFFSET($H$3,0,0,'Données projet'!$E$13+1,1))</f>
        <v>465.85201723917186</v>
      </c>
      <c r="CZ140" s="59">
        <f t="shared" si="150"/>
        <v>110.67325285686417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109.82419092901645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109.82419092901645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234.00000000000003</v>
      </c>
      <c r="AJ141" s="13">
        <f>AI141*VLOOKUP('Données projet'!$B$10,Paramètres!$A$1:$I$89,3,0)*VLOOKUP('Données projet'!$B$10,Paramètres!$A$1:$I$89,5,0)</f>
        <v>189.82080000000005</v>
      </c>
      <c r="AK141" s="13">
        <f t="shared" si="143"/>
        <v>47.500332100049796</v>
      </c>
      <c r="AL141" s="20">
        <f t="shared" si="112"/>
        <v>413.33430507425345</v>
      </c>
      <c r="AM141" s="59">
        <f t="shared" si="113"/>
        <v>706.66763840758676</v>
      </c>
      <c r="AN141" s="59">
        <f ca="1">AVERAGE(OFFSET($AM$3,0,0,'Données projet'!$E$10+1,1))-AVERAGE(OFFSET($H$3,0,0,'Données projet'!$E$10+1,1))</f>
        <v>181.20458942529478</v>
      </c>
      <c r="AO141" s="59">
        <f t="shared" si="144"/>
        <v>144.05254691566421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14.67645157199331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14.67645157199331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8.561000000000007</v>
      </c>
      <c r="BD141" s="12">
        <f>IF('Données projet'!$A$88&gt;35,BD140+BC141-BL140,IF(A141&lt;'Données projet'!$A$88,$BA$205^A141,IF(A141='Données projet'!$A$88,'Données projet'!$B$88,BD140+BC141-BL140)))</f>
        <v>463.57400000000018</v>
      </c>
      <c r="BE141" s="13">
        <f>BD141*VLOOKUP('Données projet'!$B$11,Paramètres!$A$1:$I$89,3,0)*VLOOKUP('Données projet'!$B$11,Paramètres!$A$1:$I$89,5,0)</f>
        <v>506.22280800000021</v>
      </c>
      <c r="BF141" s="13">
        <f t="shared" si="145"/>
        <v>113.00779433111202</v>
      </c>
      <c r="BG141" s="20">
        <f t="shared" si="115"/>
        <v>1078.4932990600203</v>
      </c>
      <c r="BH141" s="59">
        <f t="shared" si="116"/>
        <v>1371.8266323933535</v>
      </c>
      <c r="BI141" s="59">
        <f ca="1">AVERAGE(OFFSET($BH$3,0,0,'Données projet'!$E$11+1,1))-AVERAGE(OFFSET($H$3,0,0,'Données projet'!$E$11+1,1))</f>
        <v>584.62172669166989</v>
      </c>
      <c r="BJ141" s="59">
        <f t="shared" si="146"/>
        <v>141.28992520553197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129.94728253746271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129.94728253746271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326.09691594978824</v>
      </c>
      <c r="CE141" s="59">
        <f t="shared" si="148"/>
        <v>605.43570457920714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15.833232352886618</v>
      </c>
      <c r="CL141" s="21">
        <f>EXP(-LN(2)/25)*CL140+(1-EXP(-LN(2)/25))/(LN(2)/25)*Calculateur!CG141*Calculateur!CI141*VLOOKUP('Données projet'!$B$12,Paramètres!$A$1:$I$89,3,0)*0.475*44/12</f>
        <v>1.7433545375124153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17.576586890399035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8.561000000000007</v>
      </c>
      <c r="CT141" s="12">
        <f>IF('Données projet'!$A$140&gt;35,CT140+CS141-DB140,IF(A141&lt;'Données projet'!$A$140,$CQ$205^A141,IF(A141='Données projet'!$A$140,'Données projet'!$B$140,CT140+CS141-DB140)))</f>
        <v>463.57400000000018</v>
      </c>
      <c r="CU141" s="17">
        <f>CT141*VLOOKUP('Données projet'!$B$13,Paramètres!$A$1:$I$89,3,0)*VLOOKUP('Données projet'!$B$13,Paramètres!$A$1:$I$89,5,0)</f>
        <v>419.44175520000016</v>
      </c>
      <c r="CV141" s="13">
        <f t="shared" si="149"/>
        <v>95.707229690339801</v>
      </c>
      <c r="CW141" s="20">
        <f t="shared" si="121"/>
        <v>897.21781535067532</v>
      </c>
      <c r="CX141" s="59">
        <f t="shared" si="122"/>
        <v>1190.5511486840087</v>
      </c>
      <c r="CY141" s="59">
        <f ca="1">AVERAGE(OFFSET($CX$3,0,0,'Données projet'!$E$13+1,1))-AVERAGE(OFFSET($H$3,0,0,'Données projet'!$E$13+1,1))</f>
        <v>465.85201723917186</v>
      </c>
      <c r="CZ141" s="59">
        <f t="shared" si="150"/>
        <v>110.67325285686417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107.67060553104058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107.67060553104058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234.00000000000003</v>
      </c>
      <c r="AJ142" s="13">
        <f>AI142*VLOOKUP('Données projet'!$B$10,Paramètres!$A$1:$I$89,3,0)*VLOOKUP('Données projet'!$B$10,Paramètres!$A$1:$I$89,5,0)</f>
        <v>189.82080000000005</v>
      </c>
      <c r="AK142" s="13">
        <f t="shared" si="143"/>
        <v>47.500332100049796</v>
      </c>
      <c r="AL142" s="20">
        <f t="shared" si="112"/>
        <v>413.33430507425345</v>
      </c>
      <c r="AM142" s="59">
        <f t="shared" si="113"/>
        <v>706.66763840758676</v>
      </c>
      <c r="AN142" s="59">
        <f ca="1">AVERAGE(OFFSET($AM$3,0,0,'Données projet'!$E$10+1,1))-AVERAGE(OFFSET($H$3,0,0,'Données projet'!$E$10+1,1))</f>
        <v>181.20458942529478</v>
      </c>
      <c r="AO142" s="59">
        <f t="shared" si="144"/>
        <v>144.05254691566421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14.388655308418068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14.388655308418068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8.561000000000007</v>
      </c>
      <c r="BD142" s="12">
        <f>IF('Données projet'!$A$88&gt;35,BD141+BC142-BL141,IF(A142&lt;'Données projet'!$A$88,$BA$205^A142,IF(A142='Données projet'!$A$88,'Données projet'!$B$88,BD141+BC142-BL141)))</f>
        <v>472.13500000000022</v>
      </c>
      <c r="BE142" s="13">
        <f>BD142*VLOOKUP('Données projet'!$B$11,Paramètres!$A$1:$I$89,3,0)*VLOOKUP('Données projet'!$B$11,Paramètres!$A$1:$I$89,5,0)</f>
        <v>515.57142000000022</v>
      </c>
      <c r="BF142" s="13">
        <f t="shared" si="145"/>
        <v>114.84986242954177</v>
      </c>
      <c r="BG142" s="20">
        <f t="shared" si="115"/>
        <v>1097.9837335647856</v>
      </c>
      <c r="BH142" s="59">
        <f t="shared" si="116"/>
        <v>1391.3170668981188</v>
      </c>
      <c r="BI142" s="59">
        <f ca="1">AVERAGE(OFFSET($BH$3,0,0,'Données projet'!$E$11+1,1))-AVERAGE(OFFSET($H$3,0,0,'Données projet'!$E$11+1,1))</f>
        <v>584.62172669166989</v>
      </c>
      <c r="BJ142" s="59">
        <f t="shared" si="146"/>
        <v>141.28992520553197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127.39909558691915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127.39909558691915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326.09691594978824</v>
      </c>
      <c r="CE142" s="59">
        <f t="shared" si="148"/>
        <v>605.43570457920714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15.522752323764665</v>
      </c>
      <c r="CL142" s="21">
        <f>EXP(-LN(2)/25)*CL141+(1-EXP(-LN(2)/25))/(LN(2)/25)*Calculateur!CG142*Calculateur!CI142*VLOOKUP('Données projet'!$B$12,Paramètres!$A$1:$I$89,3,0)*0.475*44/12</f>
        <v>1.6956824160051076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17.218434739769773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8.561000000000007</v>
      </c>
      <c r="CT142" s="12">
        <f>IF('Données projet'!$A$140&gt;35,CT141+CS142-DB141,IF(A142&lt;'Données projet'!$A$140,$CQ$205^A142,IF(A142='Données projet'!$A$140,'Données projet'!$B$140,CT141+CS142-DB141)))</f>
        <v>472.13500000000022</v>
      </c>
      <c r="CU142" s="17">
        <f>CT142*VLOOKUP('Données projet'!$B$13,Paramètres!$A$1:$I$89,3,0)*VLOOKUP('Données projet'!$B$13,Paramètres!$A$1:$I$89,5,0)</f>
        <v>427.18774800000017</v>
      </c>
      <c r="CV142" s="13">
        <f t="shared" si="149"/>
        <v>97.267292300579669</v>
      </c>
      <c r="CW142" s="20">
        <f t="shared" si="121"/>
        <v>913.4258618568432</v>
      </c>
      <c r="CX142" s="59">
        <f t="shared" si="122"/>
        <v>1206.7591951901766</v>
      </c>
      <c r="CY142" s="59">
        <f ca="1">AVERAGE(OFFSET($CX$3,0,0,'Données projet'!$E$13+1,1))-AVERAGE(OFFSET($H$3,0,0,'Données projet'!$E$13+1,1))</f>
        <v>465.85201723917186</v>
      </c>
      <c r="CZ142" s="59">
        <f t="shared" si="150"/>
        <v>110.67325285686417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105.55925062916162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105.55925062916162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234.00000000000003</v>
      </c>
      <c r="AJ143" s="13">
        <f>AI143*VLOOKUP('Données projet'!$B$10,Paramètres!$A$1:$I$89,3,0)*VLOOKUP('Données projet'!$B$10,Paramètres!$A$1:$I$89,5,0)</f>
        <v>189.82080000000005</v>
      </c>
      <c r="AK143" s="13">
        <f t="shared" si="143"/>
        <v>47.500332100049796</v>
      </c>
      <c r="AL143" s="20">
        <f t="shared" si="112"/>
        <v>413.33430507425345</v>
      </c>
      <c r="AM143" s="59">
        <f t="shared" si="113"/>
        <v>706.66763840758676</v>
      </c>
      <c r="AN143" s="59">
        <f ca="1">AVERAGE(OFFSET($AM$3,0,0,'Données projet'!$E$10+1,1))-AVERAGE(OFFSET($H$3,0,0,'Données projet'!$E$10+1,1))</f>
        <v>181.20458942529478</v>
      </c>
      <c r="AO143" s="59">
        <f t="shared" si="144"/>
        <v>144.05254691566421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14.106502554033149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14.106502554033149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8.561000000000007</v>
      </c>
      <c r="BD143" s="12">
        <f>IF('Données projet'!$A$88&gt;35,BD142+BC143-BL142,IF(A143&lt;'Données projet'!$A$88,$BA$205^A143,IF(A143='Données projet'!$A$88,'Données projet'!$B$88,BD142+BC143-BL142)))</f>
        <v>480.69600000000025</v>
      </c>
      <c r="BE143" s="13">
        <f>BD143*VLOOKUP('Données projet'!$B$11,Paramètres!$A$1:$I$89,3,0)*VLOOKUP('Données projet'!$B$11,Paramètres!$A$1:$I$89,5,0)</f>
        <v>524.92003200000022</v>
      </c>
      <c r="BF143" s="13">
        <f t="shared" si="145"/>
        <v>116.68804648625293</v>
      </c>
      <c r="BG143" s="20">
        <f t="shared" si="115"/>
        <v>1117.4674033635574</v>
      </c>
      <c r="BH143" s="59">
        <f t="shared" si="116"/>
        <v>1410.8007366968907</v>
      </c>
      <c r="BI143" s="59">
        <f ca="1">AVERAGE(OFFSET($BH$3,0,0,'Données projet'!$E$11+1,1))-AVERAGE(OFFSET($H$3,0,0,'Données projet'!$E$11+1,1))</f>
        <v>584.62172669166989</v>
      </c>
      <c r="BJ143" s="59">
        <f t="shared" si="146"/>
        <v>141.28992520553197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124.90087702823516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124.90087702823516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326.09691594978824</v>
      </c>
      <c r="CE143" s="59">
        <f t="shared" si="148"/>
        <v>605.43570457920714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15.218360618639675</v>
      </c>
      <c r="CL143" s="21">
        <f>EXP(-LN(2)/25)*CL142+(1-EXP(-LN(2)/25))/(LN(2)/25)*Calculateur!CG143*Calculateur!CI143*VLOOKUP('Données projet'!$B$12,Paramètres!$A$1:$I$89,3,0)*0.475*44/12</f>
        <v>1.6493138911673852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16.86767450980706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8.561000000000007</v>
      </c>
      <c r="CT143" s="12">
        <f>IF('Données projet'!$A$140&gt;35,CT142+CS143-DB142,IF(A143&lt;'Données projet'!$A$140,$CQ$205^A143,IF(A143='Données projet'!$A$140,'Données projet'!$B$140,CT142+CS143-DB142)))</f>
        <v>480.69600000000025</v>
      </c>
      <c r="CU143" s="17">
        <f>CT143*VLOOKUP('Données projet'!$B$13,Paramètres!$A$1:$I$89,3,0)*VLOOKUP('Données projet'!$B$13,Paramètres!$A$1:$I$89,5,0)</f>
        <v>434.93374080000024</v>
      </c>
      <c r="CV143" s="13">
        <f t="shared" si="149"/>
        <v>98.824065483970173</v>
      </c>
      <c r="CW143" s="20">
        <f t="shared" si="121"/>
        <v>929.62817927791514</v>
      </c>
      <c r="CX143" s="59">
        <f t="shared" si="122"/>
        <v>1222.9615126112485</v>
      </c>
      <c r="CY143" s="59">
        <f ca="1">AVERAGE(OFFSET($CX$3,0,0,'Données projet'!$E$13+1,1))-AVERAGE(OFFSET($H$3,0,0,'Données projet'!$E$13+1,1))</f>
        <v>465.85201723917186</v>
      </c>
      <c r="CZ143" s="59">
        <f t="shared" si="150"/>
        <v>110.67325285686417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103.48929810910919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103.48929810910919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234.00000000000003</v>
      </c>
      <c r="AJ144" s="13">
        <f>AI144*VLOOKUP('Données projet'!$B$10,Paramètres!$A$1:$I$89,3,0)*VLOOKUP('Données projet'!$B$10,Paramètres!$A$1:$I$89,5,0)</f>
        <v>189.82080000000005</v>
      </c>
      <c r="AK144" s="13">
        <f t="shared" si="143"/>
        <v>47.500332100049796</v>
      </c>
      <c r="AL144" s="20">
        <f t="shared" si="112"/>
        <v>413.33430507425345</v>
      </c>
      <c r="AM144" s="59">
        <f t="shared" si="113"/>
        <v>706.66763840758676</v>
      </c>
      <c r="AN144" s="59">
        <f ca="1">AVERAGE(OFFSET($AM$3,0,0,'Données projet'!$E$10+1,1))-AVERAGE(OFFSET($H$3,0,0,'Données projet'!$E$10+1,1))</f>
        <v>181.20458942529478</v>
      </c>
      <c r="AO144" s="59">
        <f t="shared" si="144"/>
        <v>144.05254691566421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13.829882643065531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13.829882643065531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8.561000000000007</v>
      </c>
      <c r="BD144" s="12">
        <f>IF('Données projet'!$A$88&gt;35,BD143+BC144-BL143,IF(A144&lt;'Données projet'!$A$88,$BA$205^A144,IF(A144='Données projet'!$A$88,'Données projet'!$B$88,BD143+BC144-BL143)))</f>
        <v>489.25700000000029</v>
      </c>
      <c r="BE144" s="13">
        <f>BD144*VLOOKUP('Données projet'!$B$11,Paramètres!$A$1:$I$89,3,0)*VLOOKUP('Données projet'!$B$11,Paramètres!$A$1:$I$89,5,0)</f>
        <v>534.26864400000022</v>
      </c>
      <c r="BF144" s="13">
        <f t="shared" si="145"/>
        <v>118.52242365444097</v>
      </c>
      <c r="BG144" s="20">
        <f t="shared" si="115"/>
        <v>1136.9444428314853</v>
      </c>
      <c r="BH144" s="59">
        <f t="shared" si="116"/>
        <v>1430.2777761648185</v>
      </c>
      <c r="BI144" s="59">
        <f ca="1">AVERAGE(OFFSET($BH$3,0,0,'Données projet'!$E$11+1,1))-AVERAGE(OFFSET($H$3,0,0,'Données projet'!$E$11+1,1))</f>
        <v>584.62172669166989</v>
      </c>
      <c r="BJ144" s="59">
        <f t="shared" si="146"/>
        <v>141.28992520553197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122.45164701172411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122.45164701172411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326.09691594978824</v>
      </c>
      <c r="CE144" s="59">
        <f t="shared" si="148"/>
        <v>605.43570457920714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14.919937849191578</v>
      </c>
      <c r="CL144" s="21">
        <f>EXP(-LN(2)/25)*CL143+(1-EXP(-LN(2)/25))/(LN(2)/25)*Calculateur!CG144*Calculateur!CI144*VLOOKUP('Données projet'!$B$12,Paramètres!$A$1:$I$89,3,0)*0.475*44/12</f>
        <v>1.6042133160797651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16.524151165271345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8.561000000000007</v>
      </c>
      <c r="CT144" s="12">
        <f>IF('Données projet'!$A$140&gt;35,CT143+CS144-DB143,IF(A144&lt;'Données projet'!$A$140,$CQ$205^A144,IF(A144='Données projet'!$A$140,'Données projet'!$B$140,CT143+CS144-DB143)))</f>
        <v>489.25700000000029</v>
      </c>
      <c r="CU144" s="17">
        <f>CT144*VLOOKUP('Données projet'!$B$13,Paramètres!$A$1:$I$89,3,0)*VLOOKUP('Données projet'!$B$13,Paramètres!$A$1:$I$89,5,0)</f>
        <v>442.67973360000025</v>
      </c>
      <c r="CV144" s="13">
        <f t="shared" si="149"/>
        <v>100.37761458218634</v>
      </c>
      <c r="CW144" s="20">
        <f t="shared" si="121"/>
        <v>945.82488141730835</v>
      </c>
      <c r="CX144" s="59">
        <f t="shared" si="122"/>
        <v>1239.1582147506417</v>
      </c>
      <c r="CY144" s="59">
        <f ca="1">AVERAGE(OFFSET($CX$3,0,0,'Données projet'!$E$13+1,1))-AVERAGE(OFFSET($H$3,0,0,'Données projet'!$E$13+1,1))</f>
        <v>465.85201723917186</v>
      </c>
      <c r="CZ144" s="59">
        <f t="shared" si="150"/>
        <v>110.67325285686417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101.4599360954286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101.4599360954286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234.00000000000003</v>
      </c>
      <c r="AJ145" s="13">
        <f>AI145*VLOOKUP('Données projet'!$B$10,Paramètres!$A$1:$I$89,3,0)*VLOOKUP('Données projet'!$B$10,Paramètres!$A$1:$I$89,5,0)</f>
        <v>189.82080000000005</v>
      </c>
      <c r="AK145" s="13">
        <f t="shared" si="143"/>
        <v>47.500332100049796</v>
      </c>
      <c r="AL145" s="20">
        <f t="shared" si="112"/>
        <v>413.33430507425345</v>
      </c>
      <c r="AM145" s="59">
        <f t="shared" si="113"/>
        <v>706.66763840758676</v>
      </c>
      <c r="AN145" s="59">
        <f ca="1">AVERAGE(OFFSET($AM$3,0,0,'Données projet'!$E$10+1,1))-AVERAGE(OFFSET($H$3,0,0,'Données projet'!$E$10+1,1))</f>
        <v>181.20458942529478</v>
      </c>
      <c r="AO145" s="59">
        <f t="shared" si="144"/>
        <v>144.05254691566421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13.558687079830502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13.558687079830502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8.561000000000007</v>
      </c>
      <c r="BD145" s="12">
        <f>IF('Données projet'!$A$88&gt;35,BD144+BC145-BL144,IF(A145&lt;'Données projet'!$A$88,$BA$205^A145,IF(A145='Données projet'!$A$88,'Données projet'!$B$88,BD144+BC145-BL144)))</f>
        <v>497.81800000000032</v>
      </c>
      <c r="BE145" s="13">
        <f>BD145*VLOOKUP('Données projet'!$B$11,Paramètres!$A$1:$I$89,3,0)*VLOOKUP('Données projet'!$B$11,Paramètres!$A$1:$I$89,5,0)</f>
        <v>543.61725600000034</v>
      </c>
      <c r="BF145" s="13">
        <f t="shared" si="145"/>
        <v>120.35306823258307</v>
      </c>
      <c r="BG145" s="20">
        <f t="shared" si="115"/>
        <v>1156.4149813717493</v>
      </c>
      <c r="BH145" s="59">
        <f t="shared" si="116"/>
        <v>1449.7483147050825</v>
      </c>
      <c r="BI145" s="59">
        <f ca="1">AVERAGE(OFFSET($BH$3,0,0,'Données projet'!$E$11+1,1))-AVERAGE(OFFSET($H$3,0,0,'Données projet'!$E$11+1,1))</f>
        <v>584.62172669166989</v>
      </c>
      <c r="BJ145" s="59">
        <f t="shared" si="146"/>
        <v>141.28992520553197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120.05044490195404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120.05044490195404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326.09691594978824</v>
      </c>
      <c r="CE145" s="59">
        <f t="shared" si="148"/>
        <v>605.43570457920714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14.627366968232444</v>
      </c>
      <c r="CL145" s="21">
        <f>EXP(-LN(2)/25)*CL144+(1-EXP(-LN(2)/25))/(LN(2)/25)*Calculateur!CG145*Calculateur!CI145*VLOOKUP('Données projet'!$B$12,Paramètres!$A$1:$I$89,3,0)*0.475*44/12</f>
        <v>1.5603460185896521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16.187712986822095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8.561000000000007</v>
      </c>
      <c r="CT145" s="12">
        <f>IF('Données projet'!$A$140&gt;35,CT144+CS145-DB144,IF(A145&lt;'Données projet'!$A$140,$CQ$205^A145,IF(A145='Données projet'!$A$140,'Données projet'!$B$140,CT144+CS145-DB144)))</f>
        <v>497.81800000000032</v>
      </c>
      <c r="CU145" s="17">
        <f>CT145*VLOOKUP('Données projet'!$B$13,Paramètres!$A$1:$I$89,3,0)*VLOOKUP('Données projet'!$B$13,Paramètres!$A$1:$I$89,5,0)</f>
        <v>450.42572640000031</v>
      </c>
      <c r="CV145" s="13">
        <f t="shared" si="149"/>
        <v>101.92800251921889</v>
      </c>
      <c r="CW145" s="20">
        <f t="shared" si="121"/>
        <v>962.01607786763998</v>
      </c>
      <c r="CX145" s="59">
        <f t="shared" si="122"/>
        <v>1255.3494112009732</v>
      </c>
      <c r="CY145" s="59">
        <f ca="1">AVERAGE(OFFSET($CX$3,0,0,'Données projet'!$E$13+1,1))-AVERAGE(OFFSET($H$3,0,0,'Données projet'!$E$13+1,1))</f>
        <v>465.85201723917186</v>
      </c>
      <c r="CZ145" s="59">
        <f t="shared" si="150"/>
        <v>110.67325285686417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99.470368633047684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99.470368633047684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234.00000000000003</v>
      </c>
      <c r="AJ146" s="13">
        <f>AI146*VLOOKUP('Données projet'!$B$10,Paramètres!$A$1:$I$89,3,0)*VLOOKUP('Données projet'!$B$10,Paramètres!$A$1:$I$89,5,0)</f>
        <v>189.82080000000005</v>
      </c>
      <c r="AK146" s="13">
        <f t="shared" si="143"/>
        <v>47.500332100049796</v>
      </c>
      <c r="AL146" s="20">
        <f t="shared" si="112"/>
        <v>413.33430507425345</v>
      </c>
      <c r="AM146" s="59">
        <f t="shared" si="113"/>
        <v>706.66763840758676</v>
      </c>
      <c r="AN146" s="59">
        <f ca="1">AVERAGE(OFFSET($AM$3,0,0,'Données projet'!$E$10+1,1))-AVERAGE(OFFSET($H$3,0,0,'Données projet'!$E$10+1,1))</f>
        <v>181.20458942529478</v>
      </c>
      <c r="AO146" s="59">
        <f t="shared" si="144"/>
        <v>144.05254691566421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13.292809496177552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13.292809496177552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8.561000000000007</v>
      </c>
      <c r="BD146" s="12">
        <f>IF('Données projet'!$A$88&gt;35,BD145+BC146-BL145,IF(A146&lt;'Données projet'!$A$88,$BA$205^A146,IF(A146='Données projet'!$A$88,'Données projet'!$B$88,BD145+BC146-BL145)))</f>
        <v>506.37900000000036</v>
      </c>
      <c r="BE146" s="13">
        <f>BD146*VLOOKUP('Données projet'!$B$11,Paramètres!$A$1:$I$89,3,0)*VLOOKUP('Données projet'!$B$11,Paramètres!$A$1:$I$89,5,0)</f>
        <v>552.96586800000034</v>
      </c>
      <c r="BF146" s="13">
        <f t="shared" si="145"/>
        <v>122.18005181730788</v>
      </c>
      <c r="BG146" s="20">
        <f t="shared" si="115"/>
        <v>1175.8791436818117</v>
      </c>
      <c r="BH146" s="59">
        <f t="shared" si="116"/>
        <v>1469.2124770151449</v>
      </c>
      <c r="BI146" s="59">
        <f ca="1">AVERAGE(OFFSET($BH$3,0,0,'Données projet'!$E$11+1,1))-AVERAGE(OFFSET($H$3,0,0,'Données projet'!$E$11+1,1))</f>
        <v>584.62172669166989</v>
      </c>
      <c r="BJ146" s="59">
        <f t="shared" si="146"/>
        <v>141.28992520553197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117.69632890096788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117.69632890096788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326.09691594978824</v>
      </c>
      <c r="CE146" s="59">
        <f t="shared" si="148"/>
        <v>605.43570457920714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14.3405332237983</v>
      </c>
      <c r="CL146" s="21">
        <f>EXP(-LN(2)/25)*CL145+(1-EXP(-LN(2)/25))/(LN(2)/25)*Calculateur!CG146*Calculateur!CI146*VLOOKUP('Données projet'!$B$12,Paramètres!$A$1:$I$89,3,0)*0.475*44/12</f>
        <v>1.5176782746562871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15.858211498454587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8.561000000000007</v>
      </c>
      <c r="CT146" s="12">
        <f>IF('Données projet'!$A$140&gt;35,CT145+CS146-DB145,IF(A146&lt;'Données projet'!$A$140,$CQ$205^A146,IF(A146='Données projet'!$A$140,'Données projet'!$B$140,CT145+CS146-DB145)))</f>
        <v>506.37900000000036</v>
      </c>
      <c r="CU146" s="17">
        <f>CT146*VLOOKUP('Données projet'!$B$13,Paramètres!$A$1:$I$89,3,0)*VLOOKUP('Données projet'!$B$13,Paramètres!$A$1:$I$89,5,0)</f>
        <v>458.17171920000033</v>
      </c>
      <c r="CV146" s="13">
        <f t="shared" si="149"/>
        <v>103.47528993084117</v>
      </c>
      <c r="CW146" s="20">
        <f t="shared" si="121"/>
        <v>978.20187423621553</v>
      </c>
      <c r="CX146" s="59">
        <f t="shared" si="122"/>
        <v>1271.5352075695489</v>
      </c>
      <c r="CY146" s="59">
        <f ca="1">AVERAGE(OFFSET($CX$3,0,0,'Données projet'!$E$13+1,1))-AVERAGE(OFFSET($H$3,0,0,'Données projet'!$E$13+1,1))</f>
        <v>465.85201723917186</v>
      </c>
      <c r="CZ146" s="59">
        <f t="shared" si="150"/>
        <v>110.67325285686417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97.519815375087731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97.519815375087731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234.00000000000003</v>
      </c>
      <c r="AJ147" s="13">
        <f>AI147*VLOOKUP('Données projet'!$B$10,Paramètres!$A$1:$I$89,3,0)*VLOOKUP('Données projet'!$B$10,Paramètres!$A$1:$I$89,5,0)</f>
        <v>189.82080000000005</v>
      </c>
      <c r="AK147" s="13">
        <f t="shared" si="143"/>
        <v>47.500332100049796</v>
      </c>
      <c r="AL147" s="20">
        <f t="shared" si="112"/>
        <v>413.33430507425345</v>
      </c>
      <c r="AM147" s="59">
        <f t="shared" si="113"/>
        <v>706.66763840758676</v>
      </c>
      <c r="AN147" s="59">
        <f ca="1">AVERAGE(OFFSET($AM$3,0,0,'Données projet'!$E$10+1,1))-AVERAGE(OFFSET($H$3,0,0,'Données projet'!$E$10+1,1))</f>
        <v>181.20458942529478</v>
      </c>
      <c r="AO147" s="59">
        <f t="shared" si="144"/>
        <v>144.05254691566421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13.032145609770723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13.032145609770723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8.561000000000007</v>
      </c>
      <c r="BC147" s="12">
        <f t="array" ref="BC147">INDEX(BB:BB,MIN(IF(ISNUMBER(BB147:BB343),ROW(BB147:BB343),"")))</f>
        <v>8.561000000000007</v>
      </c>
      <c r="BD147" s="12">
        <f>IF('Données projet'!$A$88&gt;35,BD146+BC147-BL146,IF(A147&lt;'Données projet'!$A$88,$BA$205^A147,IF(A147='Données projet'!$A$88,'Données projet'!$B$88,BD146+BC147-BL146)))</f>
        <v>514.9400000000004</v>
      </c>
      <c r="BE147" s="13">
        <f>BD147*VLOOKUP('Données projet'!$B$11,Paramètres!$A$1:$I$89,3,0)*VLOOKUP('Données projet'!$B$11,Paramètres!$A$1:$I$89,5,0)</f>
        <v>562.31448000000046</v>
      </c>
      <c r="BF147" s="13">
        <f t="shared" si="145"/>
        <v>124.00344344563422</v>
      </c>
      <c r="BG147" s="20">
        <f t="shared" si="115"/>
        <v>1195.3370500011472</v>
      </c>
      <c r="BH147" s="59">
        <f t="shared" si="116"/>
        <v>1488.6703833344804</v>
      </c>
      <c r="BI147" s="59">
        <f ca="1">AVERAGE(OFFSET($BH$3,0,0,'Données projet'!$E$11+1,1))-AVERAGE(OFFSET($H$3,0,0,'Données projet'!$E$11+1,1))</f>
        <v>584.62172669166989</v>
      </c>
      <c r="BJ147" s="59">
        <f t="shared" si="146"/>
        <v>141.28992520553197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0.43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144.46230812476179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144.46230812476179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326.09691594978824</v>
      </c>
      <c r="CE147" s="59">
        <f t="shared" si="148"/>
        <v>605.43570457920714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14.059324114141202</v>
      </c>
      <c r="CL147" s="21">
        <f>EXP(-LN(2)/25)*CL146+(1-EXP(-LN(2)/25))/(LN(2)/25)*Calculateur!CG147*Calculateur!CI147*VLOOKUP('Données projet'!$B$12,Paramètres!$A$1:$I$89,3,0)*0.475*44/12</f>
        <v>1.4761772824245791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15.535501396565781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8.561000000000007</v>
      </c>
      <c r="CS147" s="12">
        <f t="array" ref="CS147">INDEX(CR:CR,MIN(IF(ISNUMBER(CR147:CR343),ROW(CR147:CR343),"")))</f>
        <v>8.561000000000007</v>
      </c>
      <c r="CT147" s="12">
        <f>IF('Données projet'!$A$140&gt;35,CT146+CS147-DB146,IF(A147&lt;'Données projet'!$A$140,$CQ$205^A147,IF(A147='Données projet'!$A$140,'Données projet'!$B$140,CT146+CS147-DB146)))</f>
        <v>514.9400000000004</v>
      </c>
      <c r="CU147" s="17">
        <f>CT147*VLOOKUP('Données projet'!$B$13,Paramètres!$A$1:$I$89,3,0)*VLOOKUP('Données projet'!$B$13,Paramètres!$A$1:$I$89,5,0)</f>
        <v>465.91771200000034</v>
      </c>
      <c r="CV147" s="13">
        <f t="shared" si="149"/>
        <v>105.0195352850718</v>
      </c>
      <c r="CW147" s="20">
        <f t="shared" si="121"/>
        <v>994.38237235483382</v>
      </c>
      <c r="CX147" s="59">
        <f t="shared" si="122"/>
        <v>1287.7157056881672</v>
      </c>
      <c r="CY147" s="59">
        <f ca="1">AVERAGE(OFFSET($CX$3,0,0,'Données projet'!$E$13+1,1))-AVERAGE(OFFSET($H$3,0,0,'Données projet'!$E$13+1,1))</f>
        <v>465.85201723917186</v>
      </c>
      <c r="CZ147" s="59">
        <f t="shared" si="150"/>
        <v>110.67325285686417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0.43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119.69734101765982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119.69734101765982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234.00000000000003</v>
      </c>
      <c r="AJ148" s="13">
        <f>AI148*VLOOKUP('Données projet'!$B$10,Paramètres!$A$1:$I$89,3,0)*VLOOKUP('Données projet'!$B$10,Paramètres!$A$1:$I$89,5,0)</f>
        <v>189.82080000000005</v>
      </c>
      <c r="AK148" s="13">
        <f t="shared" si="143"/>
        <v>47.500332100049796</v>
      </c>
      <c r="AL148" s="20">
        <f t="shared" si="112"/>
        <v>413.33430507425345</v>
      </c>
      <c r="AM148" s="59">
        <f t="shared" si="113"/>
        <v>706.66763840758676</v>
      </c>
      <c r="AN148" s="59">
        <f ca="1">AVERAGE(OFFSET($AM$3,0,0,'Données projet'!$E$10+1,1))-AVERAGE(OFFSET($H$3,0,0,'Données projet'!$E$10+1,1))</f>
        <v>181.20458942529478</v>
      </c>
      <c r="AO148" s="59">
        <f t="shared" si="144"/>
        <v>144.05254691566421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12.77659318318706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12.77659318318706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8.7559999999999949</v>
      </c>
      <c r="BD148" s="12">
        <f>IF('Données projet'!$A$88&gt;35,BD147+BC148-BL147,IF(A148&lt;'Données projet'!$A$88,$BA$205^A148,IF(A148='Données projet'!$A$88,'Données projet'!$B$88,BD147+BC148-BL147)))</f>
        <v>467.68600000000038</v>
      </c>
      <c r="BE148" s="13">
        <f>BD148*VLOOKUP('Données projet'!$B$11,Paramètres!$A$1:$I$89,3,0)*VLOOKUP('Données projet'!$B$11,Paramètres!$A$1:$I$89,5,0)</f>
        <v>510.71311200000036</v>
      </c>
      <c r="BF148" s="13">
        <f t="shared" si="145"/>
        <v>113.89306202892035</v>
      </c>
      <c r="BG148" s="20">
        <f t="shared" si="115"/>
        <v>1087.8557531003703</v>
      </c>
      <c r="BH148" s="59">
        <f t="shared" si="116"/>
        <v>1381.1890864337036</v>
      </c>
      <c r="BI148" s="59">
        <f ca="1">AVERAGE(OFFSET($BH$3,0,0,'Données projet'!$E$11+1,1))-AVERAGE(OFFSET($H$3,0,0,'Données projet'!$E$11+1,1))</f>
        <v>584.62172669166989</v>
      </c>
      <c r="BJ148" s="59">
        <f t="shared" si="146"/>
        <v>141.28992520553197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141.62949037574271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141.62949037574271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326.09691594978824</v>
      </c>
      <c r="CE148" s="59">
        <f t="shared" si="148"/>
        <v>605.43570457920714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13.783629343603858</v>
      </c>
      <c r="CL148" s="21">
        <f>EXP(-LN(2)/25)*CL147+(1-EXP(-LN(2)/25))/(LN(2)/25)*Calculateur!CG148*Calculateur!CI148*VLOOKUP('Données projet'!$B$12,Paramètres!$A$1:$I$89,3,0)*0.475*44/12</f>
        <v>1.4358111370078896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15.219440480611748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8.7559999999999949</v>
      </c>
      <c r="CT148" s="12">
        <f>IF('Données projet'!$A$140&gt;35,CT147+CS148-DB147,IF(A148&lt;'Données projet'!$A$140,$CQ$205^A148,IF(A148='Données projet'!$A$140,'Données projet'!$B$140,CT147+CS148-DB147)))</f>
        <v>467.68600000000038</v>
      </c>
      <c r="CU148" s="17">
        <f>CT148*VLOOKUP('Données projet'!$B$13,Paramètres!$A$1:$I$89,3,0)*VLOOKUP('Données projet'!$B$13,Paramètres!$A$1:$I$89,5,0)</f>
        <v>423.16229280000039</v>
      </c>
      <c r="CV148" s="13">
        <f t="shared" si="149"/>
        <v>96.456970178534121</v>
      </c>
      <c r="CW148" s="20">
        <f t="shared" si="121"/>
        <v>905.00354968761405</v>
      </c>
      <c r="CX148" s="59">
        <f t="shared" si="122"/>
        <v>1198.3368830209474</v>
      </c>
      <c r="CY148" s="59">
        <f ca="1">AVERAGE(OFFSET($CX$3,0,0,'Données projet'!$E$13+1,1))-AVERAGE(OFFSET($H$3,0,0,'Données projet'!$E$13+1,1))</f>
        <v>465.85201723917186</v>
      </c>
      <c r="CZ148" s="59">
        <f t="shared" si="150"/>
        <v>110.67325285686417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117.35014916847258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117.35014916847258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234.00000000000003</v>
      </c>
      <c r="AJ149" s="13">
        <f>AI149*VLOOKUP('Données projet'!$B$10,Paramètres!$A$1:$I$89,3,0)*VLOOKUP('Données projet'!$B$10,Paramètres!$A$1:$I$89,5,0)</f>
        <v>189.82080000000005</v>
      </c>
      <c r="AK149" s="13">
        <f t="shared" si="143"/>
        <v>47.500332100049796</v>
      </c>
      <c r="AL149" s="20">
        <f t="shared" si="112"/>
        <v>413.33430507425345</v>
      </c>
      <c r="AM149" s="59">
        <f t="shared" si="113"/>
        <v>706.66763840758676</v>
      </c>
      <c r="AN149" s="59">
        <f ca="1">AVERAGE(OFFSET($AM$3,0,0,'Données projet'!$E$10+1,1))-AVERAGE(OFFSET($H$3,0,0,'Données projet'!$E$10+1,1))</f>
        <v>181.20458942529478</v>
      </c>
      <c r="AO149" s="59">
        <f t="shared" si="144"/>
        <v>144.05254691566421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12.526051983817114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12.526051983817114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8.7559999999999949</v>
      </c>
      <c r="BD149" s="12">
        <f>IF('Données projet'!$A$88&gt;35,BD148+BC149-BL148,IF(A149&lt;'Données projet'!$A$88,$BA$205^A149,IF(A149='Données projet'!$A$88,'Données projet'!$B$88,BD148+BC149-BL148)))</f>
        <v>476.44200000000035</v>
      </c>
      <c r="BE149" s="13">
        <f>BD149*VLOOKUP('Données projet'!$B$11,Paramètres!$A$1:$I$89,3,0)*VLOOKUP('Données projet'!$B$11,Paramètres!$A$1:$I$89,5,0)</f>
        <v>520.27466400000037</v>
      </c>
      <c r="BF149" s="13">
        <f t="shared" si="145"/>
        <v>115.77512501907172</v>
      </c>
      <c r="BG149" s="20">
        <f t="shared" si="115"/>
        <v>1107.7867158748838</v>
      </c>
      <c r="BH149" s="59">
        <f t="shared" si="116"/>
        <v>1401.1200492082171</v>
      </c>
      <c r="BI149" s="59">
        <f ca="1">AVERAGE(OFFSET($BH$3,0,0,'Données projet'!$E$11+1,1))-AVERAGE(OFFSET($H$3,0,0,'Données projet'!$E$11+1,1))</f>
        <v>584.62172669166989</v>
      </c>
      <c r="BJ149" s="59">
        <f t="shared" si="146"/>
        <v>141.28992520553197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138.85222245493367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138.85222245493367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326.09691594978824</v>
      </c>
      <c r="CE149" s="59">
        <f t="shared" si="148"/>
        <v>605.43570457920714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13.513340779359545</v>
      </c>
      <c r="CL149" s="21">
        <f>EXP(-LN(2)/25)*CL148+(1-EXP(-LN(2)/25))/(LN(2)/25)*Calculateur!CG149*Calculateur!CI149*VLOOKUP('Données projet'!$B$12,Paramètres!$A$1:$I$89,3,0)*0.475*44/12</f>
        <v>1.3965488059603828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14.909889585319927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8.7559999999999949</v>
      </c>
      <c r="CT149" s="12">
        <f>IF('Données projet'!$A$140&gt;35,CT148+CS149-DB148,IF(A149&lt;'Données projet'!$A$140,$CQ$205^A149,IF(A149='Données projet'!$A$140,'Données projet'!$B$140,CT148+CS149-DB148)))</f>
        <v>476.44200000000035</v>
      </c>
      <c r="CU149" s="17">
        <f>CT149*VLOOKUP('Données projet'!$B$13,Paramètres!$A$1:$I$89,3,0)*VLOOKUP('Données projet'!$B$13,Paramètres!$A$1:$I$89,5,0)</f>
        <v>431.08472160000031</v>
      </c>
      <c r="CV149" s="13">
        <f t="shared" si="149"/>
        <v>98.050904791241848</v>
      </c>
      <c r="CW149" s="20">
        <f t="shared" si="121"/>
        <v>921.57788263141322</v>
      </c>
      <c r="CX149" s="59">
        <f t="shared" si="122"/>
        <v>1214.9112159647466</v>
      </c>
      <c r="CY149" s="59">
        <f ca="1">AVERAGE(OFFSET($CX$3,0,0,'Données projet'!$E$13+1,1))-AVERAGE(OFFSET($H$3,0,0,'Données projet'!$E$13+1,1))</f>
        <v>465.85201723917186</v>
      </c>
      <c r="CZ149" s="59">
        <f t="shared" si="150"/>
        <v>110.67325285686417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115.04898431980223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115.04898431980223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234.00000000000003</v>
      </c>
      <c r="AJ150" s="13">
        <f>AI150*VLOOKUP('Données projet'!$B$10,Paramètres!$A$1:$I$89,3,0)*VLOOKUP('Données projet'!$B$10,Paramètres!$A$1:$I$89,5,0)</f>
        <v>189.82080000000005</v>
      </c>
      <c r="AK150" s="13">
        <f t="shared" si="143"/>
        <v>47.500332100049796</v>
      </c>
      <c r="AL150" s="20">
        <f t="shared" si="112"/>
        <v>413.33430507425345</v>
      </c>
      <c r="AM150" s="59">
        <f t="shared" si="113"/>
        <v>706.66763840758676</v>
      </c>
      <c r="AN150" s="59">
        <f ca="1">AVERAGE(OFFSET($AM$3,0,0,'Données projet'!$E$10+1,1))-AVERAGE(OFFSET($H$3,0,0,'Données projet'!$E$10+1,1))</f>
        <v>181.20458942529478</v>
      </c>
      <c r="AO150" s="59">
        <f t="shared" si="144"/>
        <v>144.05254691566421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12.28042374455177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12.28042374455177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8.7559999999999949</v>
      </c>
      <c r="BD150" s="12">
        <f>IF('Données projet'!$A$88&gt;35,BD149+BC150-BL149,IF(A150&lt;'Données projet'!$A$88,$BA$205^A150,IF(A150='Données projet'!$A$88,'Données projet'!$B$88,BD149+BC150-BL149)))</f>
        <v>485.19800000000032</v>
      </c>
      <c r="BE150" s="13">
        <f>BD150*VLOOKUP('Données projet'!$B$11,Paramètres!$A$1:$I$89,3,0)*VLOOKUP('Données projet'!$B$11,Paramètres!$A$1:$I$89,5,0)</f>
        <v>529.83621600000038</v>
      </c>
      <c r="BF150" s="13">
        <f t="shared" si="145"/>
        <v>117.65316598892505</v>
      </c>
      <c r="BG150" s="20">
        <f t="shared" si="115"/>
        <v>1127.7106736307117</v>
      </c>
      <c r="BH150" s="59">
        <f t="shared" si="116"/>
        <v>1421.0440069640449</v>
      </c>
      <c r="BI150" s="59">
        <f ca="1">AVERAGE(OFFSET($BH$3,0,0,'Données projet'!$E$11+1,1))-AVERAGE(OFFSET($H$3,0,0,'Données projet'!$E$11+1,1))</f>
        <v>584.62172669166989</v>
      </c>
      <c r="BJ150" s="59">
        <f t="shared" si="146"/>
        <v>141.28992520553197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136.12941506408552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136.12941506408552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326.09691594978824</v>
      </c>
      <c r="CE150" s="59">
        <f t="shared" si="148"/>
        <v>605.43570457920714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13.248352409000319</v>
      </c>
      <c r="CL150" s="21">
        <f>EXP(-LN(2)/25)*CL149+(1-EXP(-LN(2)/25))/(LN(2)/25)*Calculateur!CG150*Calculateur!CI150*VLOOKUP('Données projet'!$B$12,Paramètres!$A$1:$I$89,3,0)*0.475*44/12</f>
        <v>1.3583601054200862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14.606712514420405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8.7559999999999949</v>
      </c>
      <c r="CT150" s="12">
        <f>IF('Données projet'!$A$140&gt;35,CT149+CS150-DB149,IF(A150&lt;'Données projet'!$A$140,$CQ$205^A150,IF(A150='Données projet'!$A$140,'Données projet'!$B$140,CT149+CS150-DB149)))</f>
        <v>485.19800000000032</v>
      </c>
      <c r="CU150" s="17">
        <f>CT150*VLOOKUP('Données projet'!$B$13,Paramètres!$A$1:$I$89,3,0)*VLOOKUP('Données projet'!$B$13,Paramètres!$A$1:$I$89,5,0)</f>
        <v>439.00715040000023</v>
      </c>
      <c r="CV150" s="13">
        <f t="shared" si="149"/>
        <v>99.641433121906957</v>
      </c>
      <c r="CW150" s="20">
        <f t="shared" si="121"/>
        <v>938.14628296732155</v>
      </c>
      <c r="CX150" s="59">
        <f t="shared" si="122"/>
        <v>1231.4796163006549</v>
      </c>
      <c r="CY150" s="59">
        <f ca="1">AVERAGE(OFFSET($CX$3,0,0,'Données projet'!$E$13+1,1))-AVERAGE(OFFSET($H$3,0,0,'Données projet'!$E$13+1,1))</f>
        <v>465.85201723917186</v>
      </c>
      <c r="CZ150" s="59">
        <f t="shared" si="150"/>
        <v>110.67325285686417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112.79294391024234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112.79294391024234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234.00000000000003</v>
      </c>
      <c r="AJ151" s="13">
        <f>AI151*VLOOKUP('Données projet'!$B$10,Paramètres!$A$1:$I$89,3,0)*VLOOKUP('Données projet'!$B$10,Paramètres!$A$1:$I$89,5,0)</f>
        <v>189.82080000000005</v>
      </c>
      <c r="AK151" s="13">
        <f t="shared" si="143"/>
        <v>47.500332100049796</v>
      </c>
      <c r="AL151" s="20">
        <f t="shared" si="112"/>
        <v>413.33430507425345</v>
      </c>
      <c r="AM151" s="59">
        <f t="shared" si="113"/>
        <v>706.66763840758676</v>
      </c>
      <c r="AN151" s="59">
        <f ca="1">AVERAGE(OFFSET($AM$3,0,0,'Données projet'!$E$10+1,1))-AVERAGE(OFFSET($H$3,0,0,'Données projet'!$E$10+1,1))</f>
        <v>181.20458942529478</v>
      </c>
      <c r="AO151" s="59">
        <f t="shared" si="144"/>
        <v>144.05254691566421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12.039612125239987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12.039612125239987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8.7559999999999949</v>
      </c>
      <c r="BD151" s="12">
        <f>IF('Données projet'!$A$88&gt;35,BD150+BC151-BL150,IF(A151&lt;'Données projet'!$A$88,$BA$205^A151,IF(A151='Données projet'!$A$88,'Données projet'!$B$88,BD150+BC151-BL150)))</f>
        <v>493.95400000000029</v>
      </c>
      <c r="BE151" s="13">
        <f>BD151*VLOOKUP('Données projet'!$B$11,Paramètres!$A$1:$I$89,3,0)*VLOOKUP('Données projet'!$B$11,Paramètres!$A$1:$I$89,5,0)</f>
        <v>539.39776800000027</v>
      </c>
      <c r="BF151" s="13">
        <f t="shared" si="145"/>
        <v>119.52726589322627</v>
      </c>
      <c r="BG151" s="20">
        <f t="shared" si="115"/>
        <v>1147.6277673640363</v>
      </c>
      <c r="BH151" s="59">
        <f t="shared" si="116"/>
        <v>1440.9611006973696</v>
      </c>
      <c r="BI151" s="59">
        <f ca="1">AVERAGE(OFFSET($BH$3,0,0,'Données projet'!$E$11+1,1))-AVERAGE(OFFSET($H$3,0,0,'Données projet'!$E$11+1,1))</f>
        <v>584.62172669166989</v>
      </c>
      <c r="BJ151" s="59">
        <f t="shared" si="146"/>
        <v>141.28992520553197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133.46000026542339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133.46000026542339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326.09691594978824</v>
      </c>
      <c r="CE151" s="59">
        <f t="shared" si="148"/>
        <v>605.43570457920714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12.988560298956889</v>
      </c>
      <c r="CL151" s="21">
        <f>EXP(-LN(2)/25)*CL150+(1-EXP(-LN(2)/25))/(LN(2)/25)*Calculateur!CG151*Calculateur!CI151*VLOOKUP('Données projet'!$B$12,Paramètres!$A$1:$I$89,3,0)*0.475*44/12</f>
        <v>1.3212156769043206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14.309775975861211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8.7559999999999949</v>
      </c>
      <c r="CT151" s="12">
        <f>IF('Données projet'!$A$140&gt;35,CT150+CS151-DB150,IF(A151&lt;'Données projet'!$A$140,$CQ$205^A151,IF(A151='Données projet'!$A$140,'Données projet'!$B$140,CT150+CS151-DB150)))</f>
        <v>493.95400000000029</v>
      </c>
      <c r="CU151" s="17">
        <f>CT151*VLOOKUP('Données projet'!$B$13,Paramètres!$A$1:$I$89,3,0)*VLOOKUP('Données projet'!$B$13,Paramètres!$A$1:$I$89,5,0)</f>
        <v>446.92957920000026</v>
      </c>
      <c r="CV151" s="13">
        <f t="shared" si="149"/>
        <v>101.22862373176935</v>
      </c>
      <c r="CW151" s="20">
        <f t="shared" si="121"/>
        <v>954.70887010616536</v>
      </c>
      <c r="CX151" s="59">
        <f t="shared" si="122"/>
        <v>1248.0422034394987</v>
      </c>
      <c r="CY151" s="59">
        <f ca="1">AVERAGE(OFFSET($CX$3,0,0,'Données projet'!$E$13+1,1))-AVERAGE(OFFSET($H$3,0,0,'Données projet'!$E$13+1,1))</f>
        <v>465.85201723917186</v>
      </c>
      <c r="CZ151" s="59">
        <f t="shared" si="150"/>
        <v>110.67325285686417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110.58114307706515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110.58114307706515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234.00000000000003</v>
      </c>
      <c r="AJ152" s="13">
        <f>AI152*VLOOKUP('Données projet'!$B$10,Paramètres!$A$1:$I$89,3,0)*VLOOKUP('Données projet'!$B$10,Paramètres!$A$1:$I$89,5,0)</f>
        <v>189.82080000000005</v>
      </c>
      <c r="AK152" s="13">
        <f t="shared" si="143"/>
        <v>47.500332100049796</v>
      </c>
      <c r="AL152" s="20">
        <f t="shared" si="112"/>
        <v>413.33430507425345</v>
      </c>
      <c r="AM152" s="59">
        <f t="shared" si="113"/>
        <v>706.66763840758676</v>
      </c>
      <c r="AN152" s="59">
        <f ca="1">AVERAGE(OFFSET($AM$3,0,0,'Données projet'!$E$10+1,1))-AVERAGE(OFFSET($H$3,0,0,'Données projet'!$E$10+1,1))</f>
        <v>181.20458942529478</v>
      </c>
      <c r="AO152" s="59">
        <f t="shared" si="144"/>
        <v>144.05254691566421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11.803522674902323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11.803522674902323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8.7559999999999949</v>
      </c>
      <c r="BD152" s="12">
        <f>IF('Données projet'!$A$88&gt;35,BD151+BC152-BL151,IF(A152&lt;'Données projet'!$A$88,$BA$205^A152,IF(A152='Données projet'!$A$88,'Données projet'!$B$88,BD151+BC152-BL151)))</f>
        <v>502.71000000000026</v>
      </c>
      <c r="BE152" s="13">
        <f>BD152*VLOOKUP('Données projet'!$B$11,Paramètres!$A$1:$I$89,3,0)*VLOOKUP('Données projet'!$B$11,Paramètres!$A$1:$I$89,5,0)</f>
        <v>548.95932000000028</v>
      </c>
      <c r="BF152" s="13">
        <f t="shared" si="145"/>
        <v>121.39750265227576</v>
      </c>
      <c r="BG152" s="20">
        <f t="shared" si="115"/>
        <v>1167.5381327860473</v>
      </c>
      <c r="BH152" s="59">
        <f t="shared" si="116"/>
        <v>1460.8714661193806</v>
      </c>
      <c r="BI152" s="59">
        <f ca="1">AVERAGE(OFFSET($BH$3,0,0,'Données projet'!$E$11+1,1))-AVERAGE(OFFSET($H$3,0,0,'Données projet'!$E$11+1,1))</f>
        <v>584.62172669166989</v>
      </c>
      <c r="BJ152" s="59">
        <f t="shared" si="146"/>
        <v>141.28992520553197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130.84293106278076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130.84293106278076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326.09691594978824</v>
      </c>
      <c r="CE152" s="59">
        <f t="shared" si="148"/>
        <v>605.43570457920714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12.733862553733871</v>
      </c>
      <c r="CL152" s="21">
        <f>EXP(-LN(2)/25)*CL151+(1-EXP(-LN(2)/25))/(LN(2)/25)*Calculateur!CG152*Calculateur!CI152*VLOOKUP('Données projet'!$B$12,Paramètres!$A$1:$I$89,3,0)*0.475*44/12</f>
        <v>1.2850869647396592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14.01894951847353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8.7559999999999949</v>
      </c>
      <c r="CT152" s="12">
        <f>IF('Données projet'!$A$140&gt;35,CT151+CS152-DB151,IF(A152&lt;'Données projet'!$A$140,$CQ$205^A152,IF(A152='Données projet'!$A$140,'Données projet'!$B$140,CT151+CS152-DB151)))</f>
        <v>502.71000000000026</v>
      </c>
      <c r="CU152" s="17">
        <f>CT152*VLOOKUP('Données projet'!$B$13,Paramètres!$A$1:$I$89,3,0)*VLOOKUP('Données projet'!$B$13,Paramètres!$A$1:$I$89,5,0)</f>
        <v>454.85200800000018</v>
      </c>
      <c r="CV152" s="13">
        <f t="shared" si="149"/>
        <v>102.81254261217163</v>
      </c>
      <c r="CW152" s="20">
        <f t="shared" si="121"/>
        <v>971.26575898286592</v>
      </c>
      <c r="CX152" s="59">
        <f t="shared" si="122"/>
        <v>1264.5990923161992</v>
      </c>
      <c r="CY152" s="59">
        <f ca="1">AVERAGE(OFFSET($CX$3,0,0,'Données projet'!$E$13+1,1))-AVERAGE(OFFSET($H$3,0,0,'Données projet'!$E$13+1,1))</f>
        <v>465.85201723917186</v>
      </c>
      <c r="CZ152" s="59">
        <f t="shared" si="150"/>
        <v>110.67325285686417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108.41271430916126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108.41271430916126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234.00000000000003</v>
      </c>
      <c r="AJ153" s="13">
        <f>AI153*VLOOKUP('Données projet'!$B$10,Paramètres!$A$1:$I$89,3,0)*VLOOKUP('Données projet'!$B$10,Paramètres!$A$1:$I$89,5,0)</f>
        <v>189.82080000000005</v>
      </c>
      <c r="AK153" s="13">
        <f t="shared" si="143"/>
        <v>47.500332100049796</v>
      </c>
      <c r="AL153" s="20">
        <f t="shared" si="112"/>
        <v>413.33430507425345</v>
      </c>
      <c r="AM153" s="59">
        <f t="shared" si="113"/>
        <v>706.66763840758676</v>
      </c>
      <c r="AN153" s="59">
        <f ca="1">AVERAGE(OFFSET($AM$3,0,0,'Données projet'!$E$10+1,1))-AVERAGE(OFFSET($H$3,0,0,'Données projet'!$E$10+1,1))</f>
        <v>181.20458942529478</v>
      </c>
      <c r="AO153" s="59">
        <f t="shared" si="144"/>
        <v>144.05254691566421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11.572062794685435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11.572062794685435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8.7559999999999949</v>
      </c>
      <c r="BD153" s="12">
        <f>IF('Données projet'!$A$88&gt;35,BD152+BC153-BL152,IF(A153&lt;'Données projet'!$A$88,$BA$205^A153,IF(A153='Données projet'!$A$88,'Données projet'!$B$88,BD152+BC153-BL152)))</f>
        <v>511.46600000000024</v>
      </c>
      <c r="BE153" s="13">
        <f>BD153*VLOOKUP('Données projet'!$B$11,Paramètres!$A$1:$I$89,3,0)*VLOOKUP('Données projet'!$B$11,Paramètres!$A$1:$I$89,5,0)</f>
        <v>558.52087200000017</v>
      </c>
      <c r="BF153" s="13">
        <f t="shared" si="145"/>
        <v>123.26395131650432</v>
      </c>
      <c r="BG153" s="20">
        <f t="shared" si="115"/>
        <v>1187.4419006095786</v>
      </c>
      <c r="BH153" s="59">
        <f t="shared" si="116"/>
        <v>1480.7752339429119</v>
      </c>
      <c r="BI153" s="59">
        <f ca="1">AVERAGE(OFFSET($BH$3,0,0,'Données projet'!$E$11+1,1))-AVERAGE(OFFSET($H$3,0,0,'Données projet'!$E$11+1,1))</f>
        <v>584.62172669166989</v>
      </c>
      <c r="BJ153" s="59">
        <f t="shared" si="146"/>
        <v>141.28992520553197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128.27718099094736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128.27718099094736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326.09691594978824</v>
      </c>
      <c r="CE153" s="59">
        <f t="shared" si="148"/>
        <v>605.43570457920714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12.484159275944391</v>
      </c>
      <c r="CL153" s="21">
        <f>EXP(-LN(2)/25)*CL152+(1-EXP(-LN(2)/25))/(LN(2)/25)*Calculateur!CG153*Calculateur!CI153*VLOOKUP('Données projet'!$B$12,Paramètres!$A$1:$I$89,3,0)*0.475*44/12</f>
        <v>1.2499461941090668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13.734105470053457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8.7559999999999949</v>
      </c>
      <c r="CT153" s="12">
        <f>IF('Données projet'!$A$140&gt;35,CT152+CS153-DB152,IF(A153&lt;'Données projet'!$A$140,$CQ$205^A153,IF(A153='Données projet'!$A$140,'Données projet'!$B$140,CT152+CS153-DB152)))</f>
        <v>511.46600000000024</v>
      </c>
      <c r="CU153" s="17">
        <f>CT153*VLOOKUP('Données projet'!$B$13,Paramètres!$A$1:$I$89,3,0)*VLOOKUP('Données projet'!$B$13,Paramètres!$A$1:$I$89,5,0)</f>
        <v>462.77443680000022</v>
      </c>
      <c r="CV153" s="13">
        <f t="shared" si="149"/>
        <v>104.39325332394039</v>
      </c>
      <c r="CW153" s="20">
        <f t="shared" si="121"/>
        <v>987.81706029919644</v>
      </c>
      <c r="CX153" s="59">
        <f t="shared" si="122"/>
        <v>1281.1503936325298</v>
      </c>
      <c r="CY153" s="59">
        <f ca="1">AVERAGE(OFFSET($CX$3,0,0,'Données projet'!$E$13+1,1))-AVERAGE(OFFSET($H$3,0,0,'Données projet'!$E$13+1,1))</f>
        <v>465.85201723917186</v>
      </c>
      <c r="CZ153" s="59">
        <f t="shared" si="150"/>
        <v>110.67325285686417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106.28680710678501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106.28680710678501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234.00000000000003</v>
      </c>
      <c r="AJ154" s="13">
        <f>AI154*VLOOKUP('Données projet'!$B$10,Paramètres!$A$1:$I$89,3,0)*VLOOKUP('Données projet'!$B$10,Paramètres!$A$1:$I$89,5,0)</f>
        <v>189.82080000000005</v>
      </c>
      <c r="AK154" s="13">
        <f t="shared" ref="AK154:AK203" si="164">EXP(-1.0587+0.8836*LN(AJ154)+0.284)</f>
        <v>47.500332100049796</v>
      </c>
      <c r="AL154" s="20">
        <f t="shared" ref="AL154:AL203" si="165">(AJ154+AK154)*0.475*44/12</f>
        <v>413.33430507425345</v>
      </c>
      <c r="AM154" s="59">
        <f t="shared" si="113"/>
        <v>706.66763840758676</v>
      </c>
      <c r="AN154" s="59">
        <f ca="1">AVERAGE(OFFSET($AM$3,0,0,'Données projet'!$E$10+1,1))-AVERAGE(OFFSET($H$3,0,0,'Données projet'!$E$10+1,1))</f>
        <v>181.20458942529478</v>
      </c>
      <c r="AO154" s="59">
        <f t="shared" si="144"/>
        <v>144.05254691566421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11.345141701543012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11.345141701543012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8.7559999999999949</v>
      </c>
      <c r="BD154" s="12">
        <f>IF('Données projet'!$A$88&gt;35,BD153+BC154-BL153,IF(A154&lt;'Données projet'!$A$88,$BA$205^A154,IF(A154='Données projet'!$A$88,'Données projet'!$B$88,BD153+BC154-BL153)))</f>
        <v>520.22200000000021</v>
      </c>
      <c r="BE154" s="13">
        <f>BD154*VLOOKUP('Données projet'!$B$11,Paramètres!$A$1:$I$89,3,0)*VLOOKUP('Données projet'!$B$11,Paramètres!$A$1:$I$89,5,0)</f>
        <v>568.08242400000017</v>
      </c>
      <c r="BF154" s="13">
        <f t="shared" ref="BF154:BF203" si="167">EXP(-1.0587+0.8836*LN(BE154)+0.284)</f>
        <v>125.12668421946067</v>
      </c>
      <c r="BG154" s="20">
        <f t="shared" ref="BG154:BG203" si="168">(BE154+BF154)*0.475*44/12</f>
        <v>1207.3391968155609</v>
      </c>
      <c r="BH154" s="59">
        <f t="shared" si="116"/>
        <v>1500.6725301488941</v>
      </c>
      <c r="BI154" s="59">
        <f ca="1">AVERAGE(OFFSET($BH$3,0,0,'Données projet'!$E$11+1,1))-AVERAGE(OFFSET($H$3,0,0,'Données projet'!$E$11+1,1))</f>
        <v>584.62172669166989</v>
      </c>
      <c r="BJ154" s="59">
        <f t="shared" si="146"/>
        <v>141.28992520553197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125.76174371306959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125.76174371306959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326.09691594978824</v>
      </c>
      <c r="CE154" s="59">
        <f t="shared" si="148"/>
        <v>605.43570457920714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12.239352527128402</v>
      </c>
      <c r="CL154" s="21">
        <f>EXP(-LN(2)/25)*CL153+(1-EXP(-LN(2)/25))/(LN(2)/25)*Calculateur!CG154*Calculateur!CI154*VLOOKUP('Données projet'!$B$12,Paramètres!$A$1:$I$89,3,0)*0.475*44/12</f>
        <v>1.2157663496993409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13.455118876827743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8.7559999999999949</v>
      </c>
      <c r="CT154" s="12">
        <f>IF('Données projet'!$A$140&gt;35,CT153+CS154-DB153,IF(A154&lt;'Données projet'!$A$140,$CQ$205^A154,IF(A154='Données projet'!$A$140,'Données projet'!$B$140,CT153+CS154-DB153)))</f>
        <v>520.22200000000021</v>
      </c>
      <c r="CU154" s="17">
        <f>CT154*VLOOKUP('Données projet'!$B$13,Paramètres!$A$1:$I$89,3,0)*VLOOKUP('Données projet'!$B$13,Paramètres!$A$1:$I$89,5,0)</f>
        <v>470.69686560000014</v>
      </c>
      <c r="CV154" s="13">
        <f t="shared" ref="CV154:CV203" si="173">EXP(-1.0587+0.8836*LN(CU154)+0.284)</f>
        <v>105.97081712695257</v>
      </c>
      <c r="CW154" s="20">
        <f t="shared" ref="CW154:CW203" si="174">(CU154+CV154)*0.475*44/12</f>
        <v>1004.3628807494425</v>
      </c>
      <c r="CX154" s="59">
        <f t="shared" si="122"/>
        <v>1297.6962140827759</v>
      </c>
      <c r="CY154" s="59">
        <f ca="1">AVERAGE(OFFSET($CX$3,0,0,'Données projet'!$E$13+1,1))-AVERAGE(OFFSET($H$3,0,0,'Données projet'!$E$13+1,1))</f>
        <v>465.85201723917186</v>
      </c>
      <c r="CZ154" s="59">
        <f t="shared" si="150"/>
        <v>110.67325285686417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104.202587647972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104.202587647972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234.00000000000003</v>
      </c>
      <c r="AJ155" s="13">
        <f>AI155*VLOOKUP('Données projet'!$B$10,Paramètres!$A$1:$I$89,3,0)*VLOOKUP('Données projet'!$B$10,Paramètres!$A$1:$I$89,5,0)</f>
        <v>189.82080000000005</v>
      </c>
      <c r="AK155" s="13">
        <f t="shared" si="164"/>
        <v>47.500332100049796</v>
      </c>
      <c r="AL155" s="20">
        <f t="shared" si="165"/>
        <v>413.33430507425345</v>
      </c>
      <c r="AM155" s="59">
        <f t="shared" si="113"/>
        <v>706.66763840758676</v>
      </c>
      <c r="AN155" s="59">
        <f ca="1">AVERAGE(OFFSET($AM$3,0,0,'Données projet'!$E$10+1,1))-AVERAGE(OFFSET($H$3,0,0,'Données projet'!$E$10+1,1))</f>
        <v>181.20458942529478</v>
      </c>
      <c r="AO155" s="59">
        <f t="shared" si="144"/>
        <v>144.05254691566421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11.122670392628914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11.122670392628914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8.7559999999999949</v>
      </c>
      <c r="BD155" s="12">
        <f>IF('Données projet'!$A$88&gt;35,BD154+BC155-BL154,IF(A155&lt;'Données projet'!$A$88,$BA$205^A155,IF(A155='Données projet'!$A$88,'Données projet'!$B$88,BD154+BC155-BL154)))</f>
        <v>528.97800000000018</v>
      </c>
      <c r="BE155" s="13">
        <f>BD155*VLOOKUP('Données projet'!$B$11,Paramètres!$A$1:$I$89,3,0)*VLOOKUP('Données projet'!$B$11,Paramètres!$A$1:$I$89,5,0)</f>
        <v>577.64397600000018</v>
      </c>
      <c r="BF155" s="13">
        <f t="shared" si="167"/>
        <v>126.98577112020845</v>
      </c>
      <c r="BG155" s="20">
        <f t="shared" si="168"/>
        <v>1227.2301429010301</v>
      </c>
      <c r="BH155" s="59">
        <f t="shared" si="116"/>
        <v>1520.5634762343634</v>
      </c>
      <c r="BI155" s="59">
        <f ca="1">AVERAGE(OFFSET($BH$3,0,0,'Données projet'!$E$11+1,1))-AVERAGE(OFFSET($H$3,0,0,'Données projet'!$E$11+1,1))</f>
        <v>584.62172669166989</v>
      </c>
      <c r="BJ155" s="59">
        <f t="shared" si="146"/>
        <v>141.28992520553197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123.29563262594577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123.29563262594577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326.09691594978824</v>
      </c>
      <c r="CE155" s="59">
        <f t="shared" si="148"/>
        <v>605.43570457920714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11.999346289339321</v>
      </c>
      <c r="CL155" s="21">
        <f>EXP(-LN(2)/25)*CL154+(1-EXP(-LN(2)/25))/(LN(2)/25)*Calculateur!CG155*Calculateur!CI155*VLOOKUP('Données projet'!$B$12,Paramètres!$A$1:$I$89,3,0)*0.475*44/12</f>
        <v>1.1825211549324388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13.181867444271759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8.7559999999999949</v>
      </c>
      <c r="CT155" s="12">
        <f>IF('Données projet'!$A$140&gt;35,CT154+CS155-DB154,IF(A155&lt;'Données projet'!$A$140,$CQ$205^A155,IF(A155='Données projet'!$A$140,'Données projet'!$B$140,CT154+CS155-DB154)))</f>
        <v>528.97800000000018</v>
      </c>
      <c r="CU155" s="17">
        <f>CT155*VLOOKUP('Données projet'!$B$13,Paramètres!$A$1:$I$89,3,0)*VLOOKUP('Données projet'!$B$13,Paramètres!$A$1:$I$89,5,0)</f>
        <v>478.61929440000017</v>
      </c>
      <c r="CV155" s="13">
        <f t="shared" si="173"/>
        <v>107.54529310073205</v>
      </c>
      <c r="CW155" s="20">
        <f t="shared" si="174"/>
        <v>1020.9033232304419</v>
      </c>
      <c r="CX155" s="59">
        <f t="shared" si="122"/>
        <v>1314.2366565637751</v>
      </c>
      <c r="CY155" s="59">
        <f ca="1">AVERAGE(OFFSET($CX$3,0,0,'Données projet'!$E$13+1,1))-AVERAGE(OFFSET($H$3,0,0,'Données projet'!$E$13+1,1))</f>
        <v>465.85201723917186</v>
      </c>
      <c r="CZ155" s="59">
        <f t="shared" si="150"/>
        <v>110.67325285686417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102.15923846149796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102.15923846149796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234.00000000000003</v>
      </c>
      <c r="AJ156" s="13">
        <f>AI156*VLOOKUP('Données projet'!$B$10,Paramètres!$A$1:$I$89,3,0)*VLOOKUP('Données projet'!$B$10,Paramètres!$A$1:$I$89,5,0)</f>
        <v>189.82080000000005</v>
      </c>
      <c r="AK156" s="13">
        <f t="shared" si="164"/>
        <v>47.500332100049796</v>
      </c>
      <c r="AL156" s="20">
        <f t="shared" si="165"/>
        <v>413.33430507425345</v>
      </c>
      <c r="AM156" s="59">
        <f t="shared" si="113"/>
        <v>706.66763840758676</v>
      </c>
      <c r="AN156" s="59">
        <f ca="1">AVERAGE(OFFSET($AM$3,0,0,'Données projet'!$E$10+1,1))-AVERAGE(OFFSET($H$3,0,0,'Données projet'!$E$10+1,1))</f>
        <v>181.20458942529478</v>
      </c>
      <c r="AO156" s="59">
        <f t="shared" si="144"/>
        <v>144.05254691566421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10.904561610388519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10.904561610388519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8.7559999999999949</v>
      </c>
      <c r="BD156" s="12">
        <f>IF('Données projet'!$A$88&gt;35,BD155+BC156-BL155,IF(A156&lt;'Données projet'!$A$88,$BA$205^A156,IF(A156='Données projet'!$A$88,'Données projet'!$B$88,BD155+BC156-BL155)))</f>
        <v>537.73400000000015</v>
      </c>
      <c r="BE156" s="13">
        <f>BD156*VLOOKUP('Données projet'!$B$11,Paramètres!$A$1:$I$89,3,0)*VLOOKUP('Données projet'!$B$11,Paramètres!$A$1:$I$89,5,0)</f>
        <v>587.20552800000019</v>
      </c>
      <c r="BF156" s="13">
        <f t="shared" si="167"/>
        <v>128.84127933602468</v>
      </c>
      <c r="BG156" s="20">
        <f t="shared" si="168"/>
        <v>1247.1148561102434</v>
      </c>
      <c r="BH156" s="59">
        <f t="shared" si="116"/>
        <v>1540.4481894435767</v>
      </c>
      <c r="BI156" s="59">
        <f ca="1">AVERAGE(OFFSET($BH$3,0,0,'Données projet'!$E$11+1,1))-AVERAGE(OFFSET($H$3,0,0,'Données projet'!$E$11+1,1))</f>
        <v>584.62172669166989</v>
      </c>
      <c r="BJ156" s="59">
        <f t="shared" si="146"/>
        <v>141.28992520553197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120.87788047306121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120.87788047306121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326.09691594978824</v>
      </c>
      <c r="CE156" s="59">
        <f t="shared" si="148"/>
        <v>605.43570457920714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11.764046427483935</v>
      </c>
      <c r="CL156" s="21">
        <f>EXP(-LN(2)/25)*CL155+(1-EXP(-LN(2)/25))/(LN(2)/25)*Calculateur!CG156*Calculateur!CI156*VLOOKUP('Données projet'!$B$12,Paramètres!$A$1:$I$89,3,0)*0.475*44/12</f>
        <v>1.1501850517647265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12.914231479248661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8.7559999999999949</v>
      </c>
      <c r="CT156" s="12">
        <f>IF('Données projet'!$A$140&gt;35,CT155+CS156-DB155,IF(A156&lt;'Données projet'!$A$140,$CQ$205^A156,IF(A156='Données projet'!$A$140,'Données projet'!$B$140,CT155+CS156-DB155)))</f>
        <v>537.73400000000015</v>
      </c>
      <c r="CU156" s="17">
        <f>CT156*VLOOKUP('Données projet'!$B$13,Paramètres!$A$1:$I$89,3,0)*VLOOKUP('Données projet'!$B$13,Paramètres!$A$1:$I$89,5,0)</f>
        <v>486.54172320000009</v>
      </c>
      <c r="CV156" s="13">
        <f t="shared" si="173"/>
        <v>109.11673825683451</v>
      </c>
      <c r="CW156" s="20">
        <f t="shared" si="174"/>
        <v>1037.4384870373203</v>
      </c>
      <c r="CX156" s="59">
        <f t="shared" si="122"/>
        <v>1330.7718203706536</v>
      </c>
      <c r="CY156" s="59">
        <f ca="1">AVERAGE(OFFSET($CX$3,0,0,'Données projet'!$E$13+1,1))-AVERAGE(OFFSET($H$3,0,0,'Données projet'!$E$13+1,1))</f>
        <v>465.85201723917186</v>
      </c>
      <c r="CZ156" s="59">
        <f t="shared" si="150"/>
        <v>110.67325285686417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100.15595810625075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100.15595810625075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234.00000000000003</v>
      </c>
      <c r="AJ157" s="13">
        <f>AI157*VLOOKUP('Données projet'!$B$10,Paramètres!$A$1:$I$89,3,0)*VLOOKUP('Données projet'!$B$10,Paramètres!$A$1:$I$89,5,0)</f>
        <v>189.82080000000005</v>
      </c>
      <c r="AK157" s="13">
        <f t="shared" si="164"/>
        <v>47.500332100049796</v>
      </c>
      <c r="AL157" s="20">
        <f t="shared" si="165"/>
        <v>413.33430507425345</v>
      </c>
      <c r="AM157" s="59">
        <f t="shared" si="113"/>
        <v>706.66763840758676</v>
      </c>
      <c r="AN157" s="59">
        <f ca="1">AVERAGE(OFFSET($AM$3,0,0,'Données projet'!$E$10+1,1))-AVERAGE(OFFSET($H$3,0,0,'Données projet'!$E$10+1,1))</f>
        <v>181.20458942529478</v>
      </c>
      <c r="AO157" s="59">
        <f t="shared" si="144"/>
        <v>144.05254691566421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10.690729808334639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10.690729808334639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8.7559999999999949</v>
      </c>
      <c r="BC157" s="12">
        <f t="array" ref="BC157">INDEX(BB:BB,MIN(IF(ISNUMBER(BB157:BB353),ROW(BB157:BB353),"")))</f>
        <v>8.7559999999999949</v>
      </c>
      <c r="BD157" s="12">
        <f>IF('Données projet'!$A$88&gt;35,BD156+BC157-BL156,IF(A157&lt;'Données projet'!$A$88,$BA$205^A157,IF(A157='Données projet'!$A$88,'Données projet'!$B$88,BD156+BC157-BL156)))</f>
        <v>546.49000000000012</v>
      </c>
      <c r="BE157" s="13">
        <f>BD157*VLOOKUP('Données projet'!$B$11,Paramètres!$A$1:$I$89,3,0)*VLOOKUP('Données projet'!$B$11,Paramètres!$A$1:$I$89,5,0)</f>
        <v>596.76708000000008</v>
      </c>
      <c r="BF157" s="13">
        <f t="shared" si="167"/>
        <v>130.6932738662143</v>
      </c>
      <c r="BG157" s="20">
        <f t="shared" si="168"/>
        <v>1266.9934496503233</v>
      </c>
      <c r="BH157" s="59">
        <f t="shared" si="116"/>
        <v>1560.3267829836566</v>
      </c>
      <c r="BI157" s="59">
        <f ca="1">AVERAGE(OFFSET($BH$3,0,0,'Données projet'!$E$11+1,1))-AVERAGE(OFFSET($H$3,0,0,'Données projet'!$E$11+1,1))</f>
        <v>584.62172669166989</v>
      </c>
      <c r="BJ157" s="59">
        <f t="shared" si="146"/>
        <v>141.28992520553197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0.43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147.12467690023732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147.12467690023732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326.09691594978824</v>
      </c>
      <c r="CE157" s="59">
        <f t="shared" si="148"/>
        <v>605.43570457920714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11.533360652400788</v>
      </c>
      <c r="CL157" s="21">
        <f>EXP(-LN(2)/25)*CL156+(1-EXP(-LN(2)/25))/(LN(2)/25)*Calculateur!CG157*Calculateur!CI157*VLOOKUP('Données projet'!$B$12,Paramètres!$A$1:$I$89,3,0)*0.475*44/12</f>
        <v>1.118733181038617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12.652093833439405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8.7559999999999949</v>
      </c>
      <c r="CS157" s="12">
        <f t="array" ref="CS157">INDEX(CR:CR,MIN(IF(ISNUMBER(CR157:CR353),ROW(CR157:CR353),"")))</f>
        <v>8.7559999999999949</v>
      </c>
      <c r="CT157" s="12">
        <f>IF('Données projet'!$A$140&gt;35,CT156+CS157-DB156,IF(A157&lt;'Données projet'!$A$140,$CQ$205^A157,IF(A157='Données projet'!$A$140,'Données projet'!$B$140,CT156+CS157-DB156)))</f>
        <v>546.49000000000012</v>
      </c>
      <c r="CU157" s="17">
        <f>CT157*VLOOKUP('Données projet'!$B$13,Paramètres!$A$1:$I$89,3,0)*VLOOKUP('Données projet'!$B$13,Paramètres!$A$1:$I$89,5,0)</f>
        <v>494.46415200000013</v>
      </c>
      <c r="CV157" s="13">
        <f t="shared" si="173"/>
        <v>110.68520764370504</v>
      </c>
      <c r="CW157" s="20">
        <f t="shared" si="174"/>
        <v>1053.9684680461196</v>
      </c>
      <c r="CX157" s="59">
        <f t="shared" si="122"/>
        <v>1347.3018013794529</v>
      </c>
      <c r="CY157" s="59">
        <f ca="1">AVERAGE(OFFSET($CX$3,0,0,'Données projet'!$E$13+1,1))-AVERAGE(OFFSET($H$3,0,0,'Données projet'!$E$13+1,1))</f>
        <v>465.85201723917186</v>
      </c>
      <c r="CZ157" s="59">
        <f t="shared" si="150"/>
        <v>110.67325285686417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0.43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121.90330371733953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121.90330371733953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234.00000000000003</v>
      </c>
      <c r="AJ158" s="13">
        <f>AI158*VLOOKUP('Données projet'!$B$10,Paramètres!$A$1:$I$89,3,0)*VLOOKUP('Données projet'!$B$10,Paramètres!$A$1:$I$89,5,0)</f>
        <v>189.82080000000005</v>
      </c>
      <c r="AK158" s="13">
        <f t="shared" si="164"/>
        <v>47.500332100049796</v>
      </c>
      <c r="AL158" s="20">
        <f t="shared" si="165"/>
        <v>413.33430507425345</v>
      </c>
      <c r="AM158" s="59">
        <f t="shared" si="113"/>
        <v>706.66763840758676</v>
      </c>
      <c r="AN158" s="59">
        <f ca="1">AVERAGE(OFFSET($AM$3,0,0,'Données projet'!$E$10+1,1))-AVERAGE(OFFSET($H$3,0,0,'Données projet'!$E$10+1,1))</f>
        <v>181.20458942529478</v>
      </c>
      <c r="AO158" s="59">
        <f t="shared" si="144"/>
        <v>144.05254691566421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10.481091117494515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10.481091117494515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8.8960000000000043</v>
      </c>
      <c r="BD158" s="12">
        <f>IF('Données projet'!$A$88&gt;35,BD157+BC158-BL157,IF(A158&lt;'Données projet'!$A$88,$BA$205^A158,IF(A158='Données projet'!$A$88,'Données projet'!$B$88,BD157+BC158-BL157)))</f>
        <v>500.25600000000009</v>
      </c>
      <c r="BE158" s="13">
        <f>BD158*VLOOKUP('Données projet'!$B$11,Paramètres!$A$1:$I$89,3,0)*VLOOKUP('Données projet'!$B$11,Paramètres!$A$1:$I$89,5,0)</f>
        <v>546.27955200000008</v>
      </c>
      <c r="BF158" s="13">
        <f t="shared" si="167"/>
        <v>120.87372605903938</v>
      </c>
      <c r="BG158" s="20">
        <f t="shared" si="168"/>
        <v>1161.9586259528271</v>
      </c>
      <c r="BH158" s="59">
        <f t="shared" si="116"/>
        <v>1455.2919592861604</v>
      </c>
      <c r="BI158" s="59">
        <f ca="1">AVERAGE(OFFSET($BH$3,0,0,'Données projet'!$E$11+1,1))-AVERAGE(OFFSET($H$3,0,0,'Données projet'!$E$11+1,1))</f>
        <v>584.62172669166989</v>
      </c>
      <c r="BJ158" s="59">
        <f t="shared" si="146"/>
        <v>141.28992520553197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144.23965172341576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144.23965172341576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326.09691594978824</v>
      </c>
      <c r="CE158" s="59">
        <f t="shared" si="148"/>
        <v>605.43570457920714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11.307198484662592</v>
      </c>
      <c r="CL158" s="21">
        <f>EXP(-LN(2)/25)*CL157+(1-EXP(-LN(2)/25))/(LN(2)/25)*Calculateur!CG158*Calculateur!CI158*VLOOKUP('Données projet'!$B$12,Paramètres!$A$1:$I$89,3,0)*0.475*44/12</f>
        <v>1.0881413633714949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12.395339848034087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8.8960000000000043</v>
      </c>
      <c r="CT158" s="12">
        <f>IF('Données projet'!$A$140&gt;35,CT157+CS158-DB157,IF(A158&lt;'Données projet'!$A$140,$CQ$205^A158,IF(A158='Données projet'!$A$140,'Données projet'!$B$140,CT157+CS158-DB157)))</f>
        <v>500.25600000000009</v>
      </c>
      <c r="CU158" s="17">
        <f>CT158*VLOOKUP('Données projet'!$B$13,Paramètres!$A$1:$I$89,3,0)*VLOOKUP('Données projet'!$B$13,Paramètres!$A$1:$I$89,5,0)</f>
        <v>452.63162880000004</v>
      </c>
      <c r="CV158" s="13">
        <f t="shared" si="173"/>
        <v>102.36895191108759</v>
      </c>
      <c r="CW158" s="20">
        <f t="shared" si="174"/>
        <v>966.62601140514414</v>
      </c>
      <c r="CX158" s="59">
        <f t="shared" si="122"/>
        <v>1259.9593447384775</v>
      </c>
      <c r="CY158" s="59">
        <f ca="1">AVERAGE(OFFSET($CX$3,0,0,'Données projet'!$E$13+1,1))-AVERAGE(OFFSET($H$3,0,0,'Données projet'!$E$13+1,1))</f>
        <v>465.85201723917186</v>
      </c>
      <c r="CZ158" s="59">
        <f t="shared" si="150"/>
        <v>110.67325285686417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119.51285428511595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119.51285428511595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234.00000000000003</v>
      </c>
      <c r="AJ159" s="13">
        <f>AI159*VLOOKUP('Données projet'!$B$10,Paramètres!$A$1:$I$89,3,0)*VLOOKUP('Données projet'!$B$10,Paramètres!$A$1:$I$89,5,0)</f>
        <v>189.82080000000005</v>
      </c>
      <c r="AK159" s="13">
        <f t="shared" si="164"/>
        <v>47.500332100049796</v>
      </c>
      <c r="AL159" s="20">
        <f t="shared" si="165"/>
        <v>413.33430507425345</v>
      </c>
      <c r="AM159" s="59">
        <f t="shared" si="113"/>
        <v>706.66763840758676</v>
      </c>
      <c r="AN159" s="59">
        <f ca="1">AVERAGE(OFFSET($AM$3,0,0,'Données projet'!$E$10+1,1))-AVERAGE(OFFSET($H$3,0,0,'Données projet'!$E$10+1,1))</f>
        <v>181.20458942529478</v>
      </c>
      <c r="AO159" s="59">
        <f t="shared" si="144"/>
        <v>144.05254691566421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10.275563313514789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10.275563313514789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8.8960000000000043</v>
      </c>
      <c r="BD159" s="12">
        <f>IF('Données projet'!$A$88&gt;35,BD158+BC159-BL158,IF(A159&lt;'Données projet'!$A$88,$BA$205^A159,IF(A159='Données projet'!$A$88,'Données projet'!$B$88,BD158+BC159-BL158)))</f>
        <v>509.1520000000001</v>
      </c>
      <c r="BE159" s="13">
        <f>BD159*VLOOKUP('Données projet'!$B$11,Paramètres!$A$1:$I$89,3,0)*VLOOKUP('Données projet'!$B$11,Paramètres!$A$1:$I$89,5,0)</f>
        <v>555.99398400000018</v>
      </c>
      <c r="BF159" s="13">
        <f t="shared" si="167"/>
        <v>122.7710580212207</v>
      </c>
      <c r="BG159" s="20">
        <f t="shared" si="168"/>
        <v>1182.1824481869596</v>
      </c>
      <c r="BH159" s="59">
        <f t="shared" si="116"/>
        <v>1475.5157815202929</v>
      </c>
      <c r="BI159" s="59">
        <f ca="1">AVERAGE(OFFSET($BH$3,0,0,'Données projet'!$E$11+1,1))-AVERAGE(OFFSET($H$3,0,0,'Données projet'!$E$11+1,1))</f>
        <v>584.62172669166989</v>
      </c>
      <c r="BJ159" s="59">
        <f t="shared" si="146"/>
        <v>141.28992520553197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141.41120013062007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141.41120013062007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326.09691594978824</v>
      </c>
      <c r="CE159" s="59">
        <f t="shared" si="148"/>
        <v>605.43570457920714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11.085471219088442</v>
      </c>
      <c r="CL159" s="21">
        <f>EXP(-LN(2)/25)*CL158+(1-EXP(-LN(2)/25))/(LN(2)/25)*Calculateur!CG159*Calculateur!CI159*VLOOKUP('Données projet'!$B$12,Paramètres!$A$1:$I$89,3,0)*0.475*44/12</f>
        <v>1.058386080567234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12.143857299655675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8.8960000000000043</v>
      </c>
      <c r="CT159" s="12">
        <f>IF('Données projet'!$A$140&gt;35,CT158+CS159-DB158,IF(A159&lt;'Données projet'!$A$140,$CQ$205^A159,IF(A159='Données projet'!$A$140,'Données projet'!$B$140,CT158+CS159-DB158)))</f>
        <v>509.1520000000001</v>
      </c>
      <c r="CU159" s="17">
        <f>CT159*VLOOKUP('Données projet'!$B$13,Paramètres!$A$1:$I$89,3,0)*VLOOKUP('Données projet'!$B$13,Paramètres!$A$1:$I$89,5,0)</f>
        <v>460.68072960000006</v>
      </c>
      <c r="CV159" s="13">
        <f t="shared" si="173"/>
        <v>103.97581794168418</v>
      </c>
      <c r="CW159" s="20">
        <f t="shared" si="174"/>
        <v>983.44348696843338</v>
      </c>
      <c r="CX159" s="59">
        <f t="shared" si="122"/>
        <v>1276.7768203017667</v>
      </c>
      <c r="CY159" s="59">
        <f ca="1">AVERAGE(OFFSET($CX$3,0,0,'Données projet'!$E$13+1,1))-AVERAGE(OFFSET($H$3,0,0,'Données projet'!$E$13+1,1))</f>
        <v>465.85201723917186</v>
      </c>
      <c r="CZ159" s="59">
        <f t="shared" si="150"/>
        <v>110.67325285686417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117.16928010822809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117.16928010822809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234.00000000000003</v>
      </c>
      <c r="AJ160" s="13">
        <f>AI160*VLOOKUP('Données projet'!$B$10,Paramètres!$A$1:$I$89,3,0)*VLOOKUP('Données projet'!$B$10,Paramètres!$A$1:$I$89,5,0)</f>
        <v>189.82080000000005</v>
      </c>
      <c r="AK160" s="13">
        <f t="shared" si="164"/>
        <v>47.500332100049796</v>
      </c>
      <c r="AL160" s="20">
        <f t="shared" si="165"/>
        <v>413.33430507425345</v>
      </c>
      <c r="AM160" s="59">
        <f t="shared" si="113"/>
        <v>706.66763840758676</v>
      </c>
      <c r="AN160" s="59">
        <f ca="1">AVERAGE(OFFSET($AM$3,0,0,'Données projet'!$E$10+1,1))-AVERAGE(OFFSET($H$3,0,0,'Données projet'!$E$10+1,1))</f>
        <v>181.20458942529478</v>
      </c>
      <c r="AO160" s="59">
        <f t="shared" si="144"/>
        <v>144.05254691566421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10.074065784411523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10.074065784411523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8.8960000000000043</v>
      </c>
      <c r="BD160" s="12">
        <f>IF('Données projet'!$A$88&gt;35,BD159+BC160-BL159,IF(A160&lt;'Données projet'!$A$88,$BA$205^A160,IF(A160='Données projet'!$A$88,'Données projet'!$B$88,BD159+BC160-BL159)))</f>
        <v>518.04800000000012</v>
      </c>
      <c r="BE160" s="13">
        <f>BD160*VLOOKUP('Données projet'!$B$11,Paramètres!$A$1:$I$89,3,0)*VLOOKUP('Données projet'!$B$11,Paramètres!$A$1:$I$89,5,0)</f>
        <v>565.70841600000006</v>
      </c>
      <c r="BF160" s="13">
        <f t="shared" si="167"/>
        <v>124.6645349740714</v>
      </c>
      <c r="BG160" s="20">
        <f t="shared" si="168"/>
        <v>1202.3995562798411</v>
      </c>
      <c r="BH160" s="59">
        <f t="shared" si="116"/>
        <v>1495.7328896131744</v>
      </c>
      <c r="BI160" s="59">
        <f ca="1">AVERAGE(OFFSET($BH$3,0,0,'Données projet'!$E$11+1,1))-AVERAGE(OFFSET($H$3,0,0,'Données projet'!$E$11+1,1))</f>
        <v>584.62172669166989</v>
      </c>
      <c r="BJ160" s="59">
        <f t="shared" si="146"/>
        <v>141.28992520553197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138.63821274837397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138.63821274837397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326.09691594978824</v>
      </c>
      <c r="CE160" s="59">
        <f t="shared" si="148"/>
        <v>605.43570457920714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10.868091889951922</v>
      </c>
      <c r="CL160" s="21">
        <f>EXP(-LN(2)/25)*CL159+(1-EXP(-LN(2)/25))/(LN(2)/25)*Calculateur!CG160*Calculateur!CI160*VLOOKUP('Données projet'!$B$12,Paramètres!$A$1:$I$89,3,0)*0.475*44/12</f>
        <v>1.029444457536018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11.897536347487939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8.8960000000000043</v>
      </c>
      <c r="CT160" s="12">
        <f>IF('Données projet'!$A$140&gt;35,CT159+CS160-DB159,IF(A160&lt;'Données projet'!$A$140,$CQ$205^A160,IF(A160='Données projet'!$A$140,'Données projet'!$B$140,CT159+CS160-DB159)))</f>
        <v>518.04800000000012</v>
      </c>
      <c r="CU160" s="17">
        <f>CT160*VLOOKUP('Données projet'!$B$13,Paramètres!$A$1:$I$89,3,0)*VLOOKUP('Données projet'!$B$13,Paramètres!$A$1:$I$89,5,0)</f>
        <v>468.72983040000003</v>
      </c>
      <c r="CV160" s="13">
        <f t="shared" si="173"/>
        <v>105.57941913319922</v>
      </c>
      <c r="CW160" s="20">
        <f t="shared" si="174"/>
        <v>1000.2552762703218</v>
      </c>
      <c r="CX160" s="59">
        <f t="shared" si="122"/>
        <v>1293.5886096036552</v>
      </c>
      <c r="CY160" s="59">
        <f ca="1">AVERAGE(OFFSET($CX$3,0,0,'Données projet'!$E$13+1,1))-AVERAGE(OFFSET($H$3,0,0,'Données projet'!$E$13+1,1))</f>
        <v>465.85201723917186</v>
      </c>
      <c r="CZ160" s="59">
        <f t="shared" si="150"/>
        <v>110.67325285686417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114.87166199150991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114.87166199150991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234.00000000000003</v>
      </c>
      <c r="AJ161" s="13">
        <f>AI161*VLOOKUP('Données projet'!$B$10,Paramètres!$A$1:$I$89,3,0)*VLOOKUP('Données projet'!$B$10,Paramètres!$A$1:$I$89,5,0)</f>
        <v>189.82080000000005</v>
      </c>
      <c r="AK161" s="13">
        <f t="shared" si="164"/>
        <v>47.500332100049796</v>
      </c>
      <c r="AL161" s="20">
        <f t="shared" si="165"/>
        <v>413.33430507425345</v>
      </c>
      <c r="AM161" s="59">
        <f t="shared" si="113"/>
        <v>706.66763840758676</v>
      </c>
      <c r="AN161" s="59">
        <f ca="1">AVERAGE(OFFSET($AM$3,0,0,'Données projet'!$E$10+1,1))-AVERAGE(OFFSET($H$3,0,0,'Données projet'!$E$10+1,1))</f>
        <v>181.20458942529478</v>
      </c>
      <c r="AO161" s="59">
        <f t="shared" si="144"/>
        <v>144.05254691566421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9.8765194989526162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9.8765194989526162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8.8960000000000043</v>
      </c>
      <c r="BD161" s="12">
        <f>IF('Données projet'!$A$88&gt;35,BD160+BC161-BL160,IF(A161&lt;'Données projet'!$A$88,$BA$205^A161,IF(A161='Données projet'!$A$88,'Données projet'!$B$88,BD160+BC161-BL160)))</f>
        <v>526.94400000000007</v>
      </c>
      <c r="BE161" s="13">
        <f>BD161*VLOOKUP('Données projet'!$B$11,Paramètres!$A$1:$I$89,3,0)*VLOOKUP('Données projet'!$B$11,Paramètres!$A$1:$I$89,5,0)</f>
        <v>575.42284800000004</v>
      </c>
      <c r="BF161" s="13">
        <f t="shared" si="167"/>
        <v>126.55423075544957</v>
      </c>
      <c r="BG161" s="20">
        <f t="shared" si="168"/>
        <v>1222.6100788324079</v>
      </c>
      <c r="BH161" s="59">
        <f t="shared" si="116"/>
        <v>1515.9434121657412</v>
      </c>
      <c r="BI161" s="59">
        <f ca="1">AVERAGE(OFFSET($BH$3,0,0,'Données projet'!$E$11+1,1))-AVERAGE(OFFSET($H$3,0,0,'Données projet'!$E$11+1,1))</f>
        <v>584.62172669166989</v>
      </c>
      <c r="BJ161" s="59">
        <f t="shared" si="146"/>
        <v>141.28992520553197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135.91960195733844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135.91960195733844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326.09691594978824</v>
      </c>
      <c r="CE161" s="59">
        <f t="shared" si="148"/>
        <v>605.43570457920714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10.65497523687147</v>
      </c>
      <c r="CL161" s="21">
        <f>EXP(-LN(2)/25)*CL160+(1-EXP(-LN(2)/25))/(LN(2)/25)*Calculateur!CG161*Calculateur!CI161*VLOOKUP('Données projet'!$B$12,Paramètres!$A$1:$I$89,3,0)*0.475*44/12</f>
        <v>1.0012942447085644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11.656269481580035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8.8960000000000043</v>
      </c>
      <c r="CT161" s="12">
        <f>IF('Données projet'!$A$140&gt;35,CT160+CS161-DB160,IF(A161&lt;'Données projet'!$A$140,$CQ$205^A161,IF(A161='Données projet'!$A$140,'Données projet'!$B$140,CT160+CS161-DB160)))</f>
        <v>526.94400000000007</v>
      </c>
      <c r="CU161" s="17">
        <f>CT161*VLOOKUP('Données projet'!$B$13,Paramètres!$A$1:$I$89,3,0)*VLOOKUP('Données projet'!$B$13,Paramètres!$A$1:$I$89,5,0)</f>
        <v>476.77893120000005</v>
      </c>
      <c r="CV161" s="13">
        <f t="shared" si="173"/>
        <v>107.17981801952122</v>
      </c>
      <c r="CW161" s="20">
        <f t="shared" si="174"/>
        <v>1017.0614882239994</v>
      </c>
      <c r="CX161" s="59">
        <f t="shared" si="122"/>
        <v>1310.3948215573328</v>
      </c>
      <c r="CY161" s="59">
        <f ca="1">AVERAGE(OFFSET($CX$3,0,0,'Données projet'!$E$13+1,1))-AVERAGE(OFFSET($H$3,0,0,'Données projet'!$E$13+1,1))</f>
        <v>465.85201723917186</v>
      </c>
      <c r="CZ161" s="59">
        <f t="shared" si="150"/>
        <v>110.67325285686417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112.61909876465189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112.61909876465189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234.00000000000003</v>
      </c>
      <c r="AJ162" s="13">
        <f>AI162*VLOOKUP('Données projet'!$B$10,Paramètres!$A$1:$I$89,3,0)*VLOOKUP('Données projet'!$B$10,Paramètres!$A$1:$I$89,5,0)</f>
        <v>189.82080000000005</v>
      </c>
      <c r="AK162" s="13">
        <f t="shared" si="164"/>
        <v>47.500332100049796</v>
      </c>
      <c r="AL162" s="20">
        <f t="shared" si="165"/>
        <v>413.33430507425345</v>
      </c>
      <c r="AM162" s="59">
        <f t="shared" si="113"/>
        <v>706.66763840758676</v>
      </c>
      <c r="AN162" s="59">
        <f ca="1">AVERAGE(OFFSET($AM$3,0,0,'Données projet'!$E$10+1,1))-AVERAGE(OFFSET($H$3,0,0,'Données projet'!$E$10+1,1))</f>
        <v>181.20458942529478</v>
      </c>
      <c r="AO162" s="59">
        <f t="shared" si="144"/>
        <v>144.05254691566421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9.6828469756602207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9.6828469756602207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8.8960000000000043</v>
      </c>
      <c r="BD162" s="12">
        <f>IF('Données projet'!$A$88&gt;35,BD161+BC162-BL161,IF(A162&lt;'Données projet'!$A$88,$BA$205^A162,IF(A162='Données projet'!$A$88,'Données projet'!$B$88,BD161+BC162-BL161)))</f>
        <v>535.84</v>
      </c>
      <c r="BE162" s="13">
        <f>BD162*VLOOKUP('Données projet'!$B$11,Paramètres!$A$1:$I$89,3,0)*VLOOKUP('Données projet'!$B$11,Paramètres!$A$1:$I$89,5,0)</f>
        <v>585.13728000000003</v>
      </c>
      <c r="BF162" s="13">
        <f t="shared" si="167"/>
        <v>128.44021656723217</v>
      </c>
      <c r="BG162" s="20">
        <f t="shared" si="168"/>
        <v>1242.8141398545961</v>
      </c>
      <c r="BH162" s="59">
        <f t="shared" si="116"/>
        <v>1536.1474731879293</v>
      </c>
      <c r="BI162" s="59">
        <f ca="1">AVERAGE(OFFSET($BH$3,0,0,'Données projet'!$E$11+1,1))-AVERAGE(OFFSET($H$3,0,0,'Données projet'!$E$11+1,1))</f>
        <v>584.62172669166989</v>
      </c>
      <c r="BJ162" s="59">
        <f t="shared" si="146"/>
        <v>141.28992520553197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133.25430146572626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133.25430146572626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326.09691594978824</v>
      </c>
      <c r="CE162" s="59">
        <f t="shared" si="148"/>
        <v>605.43570457920714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10.446037671369602</v>
      </c>
      <c r="CL162" s="21">
        <f>EXP(-LN(2)/25)*CL161+(1-EXP(-LN(2)/25))/(LN(2)/25)*Calculateur!CG162*Calculateur!CI162*VLOOKUP('Données projet'!$B$12,Paramètres!$A$1:$I$89,3,0)*0.475*44/12</f>
        <v>0.97391380093123292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11.419951472300834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8.8960000000000043</v>
      </c>
      <c r="CT162" s="12">
        <f>IF('Données projet'!$A$140&gt;35,CT161+CS162-DB161,IF(A162&lt;'Données projet'!$A$140,$CQ$205^A162,IF(A162='Données projet'!$A$140,'Données projet'!$B$140,CT161+CS162-DB161)))</f>
        <v>535.84</v>
      </c>
      <c r="CU162" s="17">
        <f>CT162*VLOOKUP('Données projet'!$B$13,Paramètres!$A$1:$I$89,3,0)*VLOOKUP('Données projet'!$B$13,Paramètres!$A$1:$I$89,5,0)</f>
        <v>484.82803200000001</v>
      </c>
      <c r="CV162" s="13">
        <f t="shared" si="173"/>
        <v>108.77707490210506</v>
      </c>
      <c r="CW162" s="20">
        <f t="shared" si="174"/>
        <v>1033.8622278544997</v>
      </c>
      <c r="CX162" s="59">
        <f t="shared" si="122"/>
        <v>1327.1955611878329</v>
      </c>
      <c r="CY162" s="59">
        <f ca="1">AVERAGE(OFFSET($CX$3,0,0,'Données projet'!$E$13+1,1))-AVERAGE(OFFSET($H$3,0,0,'Données projet'!$E$13+1,1))</f>
        <v>465.85201723917186</v>
      </c>
      <c r="CZ162" s="59">
        <f t="shared" si="150"/>
        <v>110.67325285686417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110.41070692874466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110.41070692874466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234.00000000000003</v>
      </c>
      <c r="AJ163" s="13">
        <f>AI163*VLOOKUP('Données projet'!$B$10,Paramètres!$A$1:$I$89,3,0)*VLOOKUP('Données projet'!$B$10,Paramètres!$A$1:$I$89,5,0)</f>
        <v>189.82080000000005</v>
      </c>
      <c r="AK163" s="13">
        <f t="shared" si="164"/>
        <v>47.500332100049796</v>
      </c>
      <c r="AL163" s="20">
        <f t="shared" si="165"/>
        <v>413.33430507425345</v>
      </c>
      <c r="AM163" s="59">
        <f t="shared" si="113"/>
        <v>706.66763840758676</v>
      </c>
      <c r="AN163" s="59">
        <f ca="1">AVERAGE(OFFSET($AM$3,0,0,'Données projet'!$E$10+1,1))-AVERAGE(OFFSET($H$3,0,0,'Données projet'!$E$10+1,1))</f>
        <v>181.20458942529478</v>
      </c>
      <c r="AO163" s="59">
        <f t="shared" si="144"/>
        <v>144.05254691566421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9.4929722524210138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9.4929722524210138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8.8960000000000043</v>
      </c>
      <c r="BD163" s="12">
        <f>IF('Données projet'!$A$88&gt;35,BD162+BC163-BL162,IF(A163&lt;'Données projet'!$A$88,$BA$205^A163,IF(A163='Données projet'!$A$88,'Données projet'!$B$88,BD162+BC163-BL162)))</f>
        <v>544.73599999999999</v>
      </c>
      <c r="BE163" s="13">
        <f>BD163*VLOOKUP('Données projet'!$B$11,Paramètres!$A$1:$I$89,3,0)*VLOOKUP('Données projet'!$B$11,Paramètres!$A$1:$I$89,5,0)</f>
        <v>594.85171199999991</v>
      </c>
      <c r="BF163" s="13">
        <f t="shared" si="167"/>
        <v>130.32256111159032</v>
      </c>
      <c r="BG163" s="20">
        <f t="shared" si="168"/>
        <v>1263.0118590026862</v>
      </c>
      <c r="BH163" s="59">
        <f t="shared" si="116"/>
        <v>1556.3451923360194</v>
      </c>
      <c r="BI163" s="59">
        <f ca="1">AVERAGE(OFFSET($BH$3,0,0,'Données projet'!$E$11+1,1))-AVERAGE(OFFSET($H$3,0,0,'Données projet'!$E$11+1,1))</f>
        <v>584.62172669166989</v>
      </c>
      <c r="BJ163" s="59">
        <f t="shared" si="146"/>
        <v>141.28992520553197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130.64126589108182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130.64126589108182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326.09691594978824</v>
      </c>
      <c r="CE163" s="59">
        <f t="shared" si="148"/>
        <v>605.43570457920714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10.241197244087894</v>
      </c>
      <c r="CL163" s="21">
        <f>EXP(-LN(2)/25)*CL162+(1-EXP(-LN(2)/25))/(LN(2)/25)*Calculateur!CG163*Calculateur!CI163*VLOOKUP('Données projet'!$B$12,Paramètres!$A$1:$I$89,3,0)*0.475*44/12</f>
        <v>0.94728207682886745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11.188479320916763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8.8960000000000043</v>
      </c>
      <c r="CT163" s="12">
        <f>IF('Données projet'!$A$140&gt;35,CT162+CS163-DB162,IF(A163&lt;'Données projet'!$A$140,$CQ$205^A163,IF(A163='Données projet'!$A$140,'Données projet'!$B$140,CT162+CS163-DB162)))</f>
        <v>544.73599999999999</v>
      </c>
      <c r="CU163" s="17">
        <f>CT163*VLOOKUP('Données projet'!$B$13,Paramètres!$A$1:$I$89,3,0)*VLOOKUP('Données projet'!$B$13,Paramètres!$A$1:$I$89,5,0)</f>
        <v>492.87713279999997</v>
      </c>
      <c r="CV163" s="13">
        <f t="shared" si="173"/>
        <v>110.37124796538414</v>
      </c>
      <c r="CW163" s="20">
        <f t="shared" si="174"/>
        <v>1050.6575964997107</v>
      </c>
      <c r="CX163" s="59">
        <f t="shared" si="122"/>
        <v>1343.990929833044</v>
      </c>
      <c r="CY163" s="59">
        <f ca="1">AVERAGE(OFFSET($CX$3,0,0,'Données projet'!$E$13+1,1))-AVERAGE(OFFSET($H$3,0,0,'Données projet'!$E$13+1,1))</f>
        <v>465.85201723917186</v>
      </c>
      <c r="CZ163" s="59">
        <f t="shared" si="150"/>
        <v>110.67325285686417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108.24562030975355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108.24562030975355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234.00000000000003</v>
      </c>
      <c r="AJ164" s="13">
        <f>AI164*VLOOKUP('Données projet'!$B$10,Paramètres!$A$1:$I$89,3,0)*VLOOKUP('Données projet'!$B$10,Paramètres!$A$1:$I$89,5,0)</f>
        <v>189.82080000000005</v>
      </c>
      <c r="AK164" s="13">
        <f t="shared" si="164"/>
        <v>47.500332100049796</v>
      </c>
      <c r="AL164" s="20">
        <f t="shared" si="165"/>
        <v>413.33430507425345</v>
      </c>
      <c r="AM164" s="59">
        <f t="shared" si="113"/>
        <v>706.66763840758676</v>
      </c>
      <c r="AN164" s="59">
        <f ca="1">AVERAGE(OFFSET($AM$3,0,0,'Données projet'!$E$10+1,1))-AVERAGE(OFFSET($H$3,0,0,'Données projet'!$E$10+1,1))</f>
        <v>181.20458942529478</v>
      </c>
      <c r="AO164" s="59">
        <f t="shared" si="144"/>
        <v>144.05254691566421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9.3068208566923829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9.3068208566923829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8.8960000000000043</v>
      </c>
      <c r="BD164" s="12">
        <f>IF('Données projet'!$A$88&gt;35,BD163+BC164-BL163,IF(A164&lt;'Données projet'!$A$88,$BA$205^A164,IF(A164='Données projet'!$A$88,'Données projet'!$B$88,BD163+BC164-BL163)))</f>
        <v>553.63199999999995</v>
      </c>
      <c r="BE164" s="13">
        <f>BD164*VLOOKUP('Données projet'!$B$11,Paramètres!$A$1:$I$89,3,0)*VLOOKUP('Données projet'!$B$11,Paramètres!$A$1:$I$89,5,0)</f>
        <v>604.56614399999989</v>
      </c>
      <c r="BF164" s="13">
        <f t="shared" si="167"/>
        <v>132.20133071810972</v>
      </c>
      <c r="BG164" s="20">
        <f t="shared" si="168"/>
        <v>1283.2033518007074</v>
      </c>
      <c r="BH164" s="59">
        <f t="shared" si="116"/>
        <v>1576.5366851340407</v>
      </c>
      <c r="BI164" s="59">
        <f ca="1">AVERAGE(OFFSET($BH$3,0,0,'Données projet'!$E$11+1,1))-AVERAGE(OFFSET($H$3,0,0,'Données projet'!$E$11+1,1))</f>
        <v>584.62172669166989</v>
      </c>
      <c r="BJ164" s="59">
        <f t="shared" si="146"/>
        <v>141.28992520553197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128.07947035026183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128.07947035026183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326.09691594978824</v>
      </c>
      <c r="CE164" s="59">
        <f t="shared" si="148"/>
        <v>605.43570457920714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10.040373612644858</v>
      </c>
      <c r="CL164" s="21">
        <f>EXP(-LN(2)/25)*CL163+(1-EXP(-LN(2)/25))/(LN(2)/25)*Calculateur!CG164*Calculateur!CI164*VLOOKUP('Données projet'!$B$12,Paramètres!$A$1:$I$89,3,0)*0.475*44/12</f>
        <v>0.92137859862258265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10.961752211267441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8.8960000000000043</v>
      </c>
      <c r="CT164" s="12">
        <f>IF('Données projet'!$A$140&gt;35,CT163+CS164-DB163,IF(A164&lt;'Données projet'!$A$140,$CQ$205^A164,IF(A164='Données projet'!$A$140,'Données projet'!$B$140,CT163+CS164-DB163)))</f>
        <v>553.63199999999995</v>
      </c>
      <c r="CU164" s="17">
        <f>CT164*VLOOKUP('Données projet'!$B$13,Paramètres!$A$1:$I$89,3,0)*VLOOKUP('Données projet'!$B$13,Paramètres!$A$1:$I$89,5,0)</f>
        <v>500.92623359999993</v>
      </c>
      <c r="CV164" s="13">
        <f t="shared" si="173"/>
        <v>111.96239338442973</v>
      </c>
      <c r="CW164" s="20">
        <f t="shared" si="174"/>
        <v>1067.4476919978817</v>
      </c>
      <c r="CX164" s="59">
        <f t="shared" si="122"/>
        <v>1360.781025331215</v>
      </c>
      <c r="CY164" s="59">
        <f ca="1">AVERAGE(OFFSET($CX$3,0,0,'Données projet'!$E$13+1,1))-AVERAGE(OFFSET($H$3,0,0,'Données projet'!$E$13+1,1))</f>
        <v>465.85201723917186</v>
      </c>
      <c r="CZ164" s="59">
        <f t="shared" si="150"/>
        <v>110.67325285686417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106.1229897187884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106.1229897187884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234.00000000000003</v>
      </c>
      <c r="AJ165" s="13">
        <f>AI165*VLOOKUP('Données projet'!$B$10,Paramètres!$A$1:$I$89,3,0)*VLOOKUP('Données projet'!$B$10,Paramètres!$A$1:$I$89,5,0)</f>
        <v>189.82080000000005</v>
      </c>
      <c r="AK165" s="13">
        <f t="shared" si="164"/>
        <v>47.500332100049796</v>
      </c>
      <c r="AL165" s="20">
        <f t="shared" si="165"/>
        <v>413.33430507425345</v>
      </c>
      <c r="AM165" s="59">
        <f t="shared" si="113"/>
        <v>706.66763840758676</v>
      </c>
      <c r="AN165" s="59">
        <f ca="1">AVERAGE(OFFSET($AM$3,0,0,'Données projet'!$E$10+1,1))-AVERAGE(OFFSET($H$3,0,0,'Données projet'!$E$10+1,1))</f>
        <v>181.20458942529478</v>
      </c>
      <c r="AO165" s="59">
        <f t="shared" si="144"/>
        <v>144.05254691566421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9.1243197762928503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9.1243197762928503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8.8960000000000043</v>
      </c>
      <c r="BD165" s="12">
        <f>IF('Données projet'!$A$88&gt;35,BD164+BC165-BL164,IF(A165&lt;'Données projet'!$A$88,$BA$205^A165,IF(A165='Données projet'!$A$88,'Données projet'!$B$88,BD164+BC165-BL164)))</f>
        <v>562.52799999999991</v>
      </c>
      <c r="BE165" s="13">
        <f>BD165*VLOOKUP('Données projet'!$B$11,Paramètres!$A$1:$I$89,3,0)*VLOOKUP('Données projet'!$B$11,Paramètres!$A$1:$I$89,5,0)</f>
        <v>614.28057599999988</v>
      </c>
      <c r="BF165" s="13">
        <f t="shared" si="167"/>
        <v>134.07658946250868</v>
      </c>
      <c r="BG165" s="20">
        <f t="shared" si="168"/>
        <v>1303.3887298472023</v>
      </c>
      <c r="BH165" s="59">
        <f t="shared" si="116"/>
        <v>1596.7220631805355</v>
      </c>
      <c r="BI165" s="59">
        <f ca="1">AVERAGE(OFFSET($BH$3,0,0,'Données projet'!$E$11+1,1))-AVERAGE(OFFSET($H$3,0,0,'Données projet'!$E$11+1,1))</f>
        <v>584.62172669166989</v>
      </c>
      <c r="BJ165" s="59">
        <f t="shared" si="146"/>
        <v>141.28992520553197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125.56791005745632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125.56791005745632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326.09691594978824</v>
      </c>
      <c r="CE165" s="59">
        <f t="shared" si="148"/>
        <v>605.43570457920714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9.8434880101240996</v>
      </c>
      <c r="CL165" s="21">
        <f>EXP(-LN(2)/25)*CL164+(1-EXP(-LN(2)/25))/(LN(2)/25)*Calculateur!CG165*Calculateur!CI165*VLOOKUP('Données projet'!$B$12,Paramètres!$A$1:$I$89,3,0)*0.475*44/12</f>
        <v>0.89618345239005348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10.739671462514153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8.8960000000000043</v>
      </c>
      <c r="CT165" s="12">
        <f>IF('Données projet'!$A$140&gt;35,CT164+CS165-DB164,IF(A165&lt;'Données projet'!$A$140,$CQ$205^A165,IF(A165='Données projet'!$A$140,'Données projet'!$B$140,CT164+CS165-DB164)))</f>
        <v>562.52799999999991</v>
      </c>
      <c r="CU165" s="17">
        <f>CT165*VLOOKUP('Données projet'!$B$13,Paramètres!$A$1:$I$89,3,0)*VLOOKUP('Données projet'!$B$13,Paramètres!$A$1:$I$89,5,0)</f>
        <v>508.97533439999989</v>
      </c>
      <c r="CV165" s="13">
        <f t="shared" si="173"/>
        <v>113.55056542549386</v>
      </c>
      <c r="CW165" s="20">
        <f t="shared" si="174"/>
        <v>1084.2326088627349</v>
      </c>
      <c r="CX165" s="59">
        <f t="shared" si="122"/>
        <v>1377.5659421960681</v>
      </c>
      <c r="CY165" s="59">
        <f ca="1">AVERAGE(OFFSET($CX$3,0,0,'Données projet'!$E$13+1,1))-AVERAGE(OFFSET($H$3,0,0,'Données projet'!$E$13+1,1))</f>
        <v>465.85201723917186</v>
      </c>
      <c r="CZ165" s="59">
        <f t="shared" si="150"/>
        <v>110.67325285686417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104.04198261903527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104.04198261903527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234.00000000000003</v>
      </c>
      <c r="AJ166" s="13">
        <f>AI166*VLOOKUP('Données projet'!$B$10,Paramètres!$A$1:$I$89,3,0)*VLOOKUP('Données projet'!$B$10,Paramètres!$A$1:$I$89,5,0)</f>
        <v>189.82080000000005</v>
      </c>
      <c r="AK166" s="13">
        <f t="shared" si="164"/>
        <v>47.500332100049796</v>
      </c>
      <c r="AL166" s="20">
        <f t="shared" si="165"/>
        <v>413.33430507425345</v>
      </c>
      <c r="AM166" s="59">
        <f t="shared" si="113"/>
        <v>706.66763840758676</v>
      </c>
      <c r="AN166" s="59">
        <f ca="1">AVERAGE(OFFSET($AM$3,0,0,'Données projet'!$E$10+1,1))-AVERAGE(OFFSET($H$3,0,0,'Données projet'!$E$10+1,1))</f>
        <v>181.20458942529478</v>
      </c>
      <c r="AO166" s="59">
        <f t="shared" si="144"/>
        <v>144.05254691566421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8.9453974307652846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8.9453974307652846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8.8960000000000043</v>
      </c>
      <c r="BD166" s="12">
        <f>IF('Données projet'!$A$88&gt;35,BD165+BC166-BL165,IF(A166&lt;'Données projet'!$A$88,$BA$205^A166,IF(A166='Données projet'!$A$88,'Données projet'!$B$88,BD165+BC166-BL165)))</f>
        <v>571.42399999999986</v>
      </c>
      <c r="BE166" s="13">
        <f>BD166*VLOOKUP('Données projet'!$B$11,Paramètres!$A$1:$I$89,3,0)*VLOOKUP('Données projet'!$B$11,Paramètres!$A$1:$I$89,5,0)</f>
        <v>623.99500799999987</v>
      </c>
      <c r="BF166" s="13">
        <f t="shared" si="167"/>
        <v>135.94839927763263</v>
      </c>
      <c r="BG166" s="20">
        <f t="shared" si="168"/>
        <v>1323.5681010085434</v>
      </c>
      <c r="BH166" s="59">
        <f t="shared" si="116"/>
        <v>1616.9014343418767</v>
      </c>
      <c r="BI166" s="59">
        <f ca="1">AVERAGE(OFFSET($BH$3,0,0,'Données projet'!$E$11+1,1))-AVERAGE(OFFSET($H$3,0,0,'Données projet'!$E$11+1,1))</f>
        <v>584.62172669166989</v>
      </c>
      <c r="BJ166" s="59">
        <f t="shared" si="146"/>
        <v>141.28992520553197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123.10559993009221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123.10559993009221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326.09691594978824</v>
      </c>
      <c r="CE166" s="59">
        <f t="shared" si="148"/>
        <v>605.43570457920714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9.6504632141804123</v>
      </c>
      <c r="CL166" s="21">
        <f>EXP(-LN(2)/25)*CL165+(1-EXP(-LN(2)/25))/(LN(2)/25)*Calculateur!CG166*Calculateur!CI166*VLOOKUP('Données projet'!$B$12,Paramètres!$A$1:$I$89,3,0)*0.475*44/12</f>
        <v>0.87167726875620799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10.522140482936621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8.8960000000000043</v>
      </c>
      <c r="CT166" s="12">
        <f>IF('Données projet'!$A$140&gt;35,CT165+CS166-DB165,IF(A166&lt;'Données projet'!$A$140,$CQ$205^A166,IF(A166='Données projet'!$A$140,'Données projet'!$B$140,CT165+CS166-DB165)))</f>
        <v>571.42399999999986</v>
      </c>
      <c r="CU166" s="17">
        <f>CT166*VLOOKUP('Données projet'!$B$13,Paramètres!$A$1:$I$89,3,0)*VLOOKUP('Données projet'!$B$13,Paramètres!$A$1:$I$89,5,0)</f>
        <v>517.02443519999986</v>
      </c>
      <c r="CV166" s="13">
        <f t="shared" si="173"/>
        <v>115.1358165400127</v>
      </c>
      <c r="CW166" s="20">
        <f t="shared" si="174"/>
        <v>1101.0124384471885</v>
      </c>
      <c r="CX166" s="59">
        <f t="shared" si="122"/>
        <v>1394.3457717805218</v>
      </c>
      <c r="CY166" s="59">
        <f ca="1">AVERAGE(OFFSET($CX$3,0,0,'Données projet'!$E$13+1,1))-AVERAGE(OFFSET($H$3,0,0,'Données projet'!$E$13+1,1))</f>
        <v>465.85201723917186</v>
      </c>
      <c r="CZ166" s="59">
        <f t="shared" si="150"/>
        <v>110.67325285686417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102.0017827992193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102.0017827992193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234.00000000000003</v>
      </c>
      <c r="AJ167" s="13">
        <f>AI167*VLOOKUP('Données projet'!$B$10,Paramètres!$A$1:$I$89,3,0)*VLOOKUP('Données projet'!$B$10,Paramètres!$A$1:$I$89,5,0)</f>
        <v>189.82080000000005</v>
      </c>
      <c r="AK167" s="13">
        <f t="shared" si="164"/>
        <v>47.500332100049796</v>
      </c>
      <c r="AL167" s="20">
        <f t="shared" si="165"/>
        <v>413.33430507425345</v>
      </c>
      <c r="AM167" s="59">
        <f t="shared" si="113"/>
        <v>706.66763840758676</v>
      </c>
      <c r="AN167" s="59">
        <f ca="1">AVERAGE(OFFSET($AM$3,0,0,'Données projet'!$E$10+1,1))-AVERAGE(OFFSET($H$3,0,0,'Données projet'!$E$10+1,1))</f>
        <v>181.20458942529478</v>
      </c>
      <c r="AO167" s="59">
        <f t="shared" si="144"/>
        <v>144.05254691566421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8.7699836433016589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8.7699836433016589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8.8960000000000043</v>
      </c>
      <c r="BC167" s="12">
        <f t="array" ref="BC167">INDEX(BB:BB,MIN(IF(ISNUMBER(BB167:BB363),ROW(BB167:BB363),"")))</f>
        <v>8.8960000000000043</v>
      </c>
      <c r="BD167" s="12">
        <f>IF('Données projet'!$A$88&gt;35,BD166+BC167-BL166,IF(A167&lt;'Données projet'!$A$88,$BA$205^A167,IF(A167='Données projet'!$A$88,'Données projet'!$B$88,BD166+BC167-BL166)))</f>
        <v>580.31999999999982</v>
      </c>
      <c r="BE167" s="13">
        <f>BD167*VLOOKUP('Données projet'!$B$11,Paramètres!$A$1:$I$89,3,0)*VLOOKUP('Données projet'!$B$11,Paramètres!$A$1:$I$89,5,0)</f>
        <v>633.70943999999986</v>
      </c>
      <c r="BF167" s="13">
        <f t="shared" si="167"/>
        <v>137.81682005734277</v>
      </c>
      <c r="BG167" s="20">
        <f t="shared" si="168"/>
        <v>1343.7415695998716</v>
      </c>
      <c r="BH167" s="59">
        <f t="shared" si="116"/>
        <v>1637.0749029332048</v>
      </c>
      <c r="BI167" s="59">
        <f ca="1">AVERAGE(OFFSET($BH$3,0,0,'Données projet'!$E$11+1,1))-AVERAGE(OFFSET($H$3,0,0,'Données projet'!$E$11+1,1))</f>
        <v>584.62172669166989</v>
      </c>
      <c r="BJ167" s="59">
        <f t="shared" si="146"/>
        <v>141.28992520553197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0.43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151.61863892528069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151.61863892528069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326.09691594978824</v>
      </c>
      <c r="CE167" s="59">
        <f t="shared" si="148"/>
        <v>605.43570457920714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9.4612235167516818</v>
      </c>
      <c r="CL167" s="21">
        <f>EXP(-LN(2)/25)*CL166+(1-EXP(-LN(2)/25))/(LN(2)/25)*Calculateur!CG167*Calculateur!CI167*VLOOKUP('Données projet'!$B$12,Paramètres!$A$1:$I$89,3,0)*0.475*44/12</f>
        <v>0.84784120800255414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10.309064724754236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8.8960000000000043</v>
      </c>
      <c r="CS167" s="12">
        <f t="array" ref="CS167">INDEX(CR:CR,MIN(IF(ISNUMBER(CR167:CR363),ROW(CR167:CR363),"")))</f>
        <v>8.8960000000000043</v>
      </c>
      <c r="CT167" s="12">
        <f>IF('Données projet'!$A$140&gt;35,CT166+CS167-DB166,IF(A167&lt;'Données projet'!$A$140,$CQ$205^A167,IF(A167='Données projet'!$A$140,'Données projet'!$B$140,CT166+CS167-DB166)))</f>
        <v>580.31999999999982</v>
      </c>
      <c r="CU167" s="17">
        <f>CT167*VLOOKUP('Données projet'!$B$13,Paramètres!$A$1:$I$89,3,0)*VLOOKUP('Données projet'!$B$13,Paramètres!$A$1:$I$89,5,0)</f>
        <v>525.07353599999988</v>
      </c>
      <c r="CV167" s="13">
        <f t="shared" si="173"/>
        <v>116.71819745258918</v>
      </c>
      <c r="CW167" s="20">
        <f t="shared" si="174"/>
        <v>1117.7872690965926</v>
      </c>
      <c r="CX167" s="59">
        <f t="shared" si="122"/>
        <v>1411.1206024299258</v>
      </c>
      <c r="CY167" s="59">
        <f ca="1">AVERAGE(OFFSET($CX$3,0,0,'Données projet'!$E$13+1,1))-AVERAGE(OFFSET($H$3,0,0,'Données projet'!$E$13+1,1))</f>
        <v>465.85201723917186</v>
      </c>
      <c r="CZ167" s="59">
        <f t="shared" si="150"/>
        <v>110.67325285686417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0.43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125.62687225237548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125.62687225237548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234.00000000000003</v>
      </c>
      <c r="AJ168" s="13">
        <f>AI168*VLOOKUP('Données projet'!$B$10,Paramètres!$A$1:$I$89,3,0)*VLOOKUP('Données projet'!$B$10,Paramètres!$A$1:$I$89,5,0)</f>
        <v>189.82080000000005</v>
      </c>
      <c r="AK168" s="13">
        <f t="shared" si="164"/>
        <v>47.500332100049796</v>
      </c>
      <c r="AL168" s="20">
        <f t="shared" si="165"/>
        <v>413.33430507425345</v>
      </c>
      <c r="AM168" s="59">
        <f t="shared" si="113"/>
        <v>706.66763840758676</v>
      </c>
      <c r="AN168" s="59">
        <f ca="1">AVERAGE(OFFSET($AM$3,0,0,'Données projet'!$E$10+1,1))-AVERAGE(OFFSET($H$3,0,0,'Données projet'!$E$10+1,1))</f>
        <v>181.20458942529478</v>
      </c>
      <c r="AO168" s="59">
        <f t="shared" si="144"/>
        <v>144.05254691566421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8.5980096132183501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8.5980096132183501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8.977999999999998</v>
      </c>
      <c r="BD168" s="12">
        <f>IF('Données projet'!$A$88&gt;35,BD167+BC168-BL167,IF(A168&lt;'Données projet'!$A$88,$BA$205^A168,IF(A168='Données projet'!$A$88,'Données projet'!$B$88,BD167+BC168-BL167)))</f>
        <v>529.71799999999973</v>
      </c>
      <c r="BE168" s="13">
        <f>BD168*VLOOKUP('Données projet'!$B$11,Paramètres!$A$1:$I$89,3,0)*VLOOKUP('Données projet'!$B$11,Paramètres!$A$1:$I$89,5,0)</f>
        <v>578.45205599999974</v>
      </c>
      <c r="BF168" s="13">
        <f t="shared" si="167"/>
        <v>127.14272408907243</v>
      </c>
      <c r="BG168" s="20">
        <f t="shared" si="168"/>
        <v>1228.9109086551341</v>
      </c>
      <c r="BH168" s="59">
        <f t="shared" si="116"/>
        <v>1522.2442419884674</v>
      </c>
      <c r="BI168" s="59">
        <f ca="1">AVERAGE(OFFSET($BH$3,0,0,'Données projet'!$E$11+1,1))-AVERAGE(OFFSET($H$3,0,0,'Données projet'!$E$11+1,1))</f>
        <v>584.62172669166989</v>
      </c>
      <c r="BJ168" s="59">
        <f t="shared" si="146"/>
        <v>141.28992520553197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148.64548989419421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148.64548989419421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326.09691594978824</v>
      </c>
      <c r="CE168" s="59">
        <f t="shared" si="148"/>
        <v>605.43570457920714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9.2756946943647094</v>
      </c>
      <c r="CL168" s="21">
        <f>EXP(-LN(2)/25)*CL167+(1-EXP(-LN(2)/25))/(LN(2)/25)*Calculateur!CG168*Calculateur!CI168*VLOOKUP('Données projet'!$B$12,Paramètres!$A$1:$I$89,3,0)*0.475*44/12</f>
        <v>0.82465694558369296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10.100351639948402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8.977999999999998</v>
      </c>
      <c r="CT168" s="12">
        <f>IF('Données projet'!$A$140&gt;35,CT167+CS168-DB167,IF(A168&lt;'Données projet'!$A$140,$CQ$205^A168,IF(A168='Données projet'!$A$140,'Données projet'!$B$140,CT167+CS168-DB167)))</f>
        <v>529.71799999999973</v>
      </c>
      <c r="CU168" s="17">
        <f>CT168*VLOOKUP('Données projet'!$B$13,Paramètres!$A$1:$I$89,3,0)*VLOOKUP('Données projet'!$B$13,Paramètres!$A$1:$I$89,5,0)</f>
        <v>479.28884639999978</v>
      </c>
      <c r="CV168" s="13">
        <f t="shared" si="173"/>
        <v>107.67821785986543</v>
      </c>
      <c r="CW168" s="20">
        <f t="shared" si="174"/>
        <v>1022.3009702525984</v>
      </c>
      <c r="CX168" s="59">
        <f t="shared" si="122"/>
        <v>1315.6343035859318</v>
      </c>
      <c r="CY168" s="59">
        <f ca="1">AVERAGE(OFFSET($CX$3,0,0,'Données projet'!$E$13+1,1))-AVERAGE(OFFSET($H$3,0,0,'Données projet'!$E$13+1,1))</f>
        <v>465.85201723917186</v>
      </c>
      <c r="CZ168" s="59">
        <f t="shared" si="150"/>
        <v>110.67325285686417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123.16340591233239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123.16340591233239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234.00000000000003</v>
      </c>
      <c r="AJ169" s="13">
        <f>AI169*VLOOKUP('Données projet'!$B$10,Paramètres!$A$1:$I$89,3,0)*VLOOKUP('Données projet'!$B$10,Paramètres!$A$1:$I$89,5,0)</f>
        <v>189.82080000000005</v>
      </c>
      <c r="AK169" s="13">
        <f t="shared" si="164"/>
        <v>47.500332100049796</v>
      </c>
      <c r="AL169" s="20">
        <f t="shared" si="165"/>
        <v>413.33430507425345</v>
      </c>
      <c r="AM169" s="59">
        <f t="shared" si="113"/>
        <v>706.66763840758676</v>
      </c>
      <c r="AN169" s="59">
        <f ca="1">AVERAGE(OFFSET($AM$3,0,0,'Données projet'!$E$10+1,1))-AVERAGE(OFFSET($H$3,0,0,'Données projet'!$E$10+1,1))</f>
        <v>181.20458942529478</v>
      </c>
      <c r="AO169" s="59">
        <f t="shared" si="144"/>
        <v>144.05254691566421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8.4294078889711734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8.4294078889711734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8.977999999999998</v>
      </c>
      <c r="BD169" s="12">
        <f>IF('Données projet'!$A$88&gt;35,BD168+BC169-BL168,IF(A169&lt;'Données projet'!$A$88,$BA$205^A169,IF(A169='Données projet'!$A$88,'Données projet'!$B$88,BD168+BC169-BL168)))</f>
        <v>538.69599999999969</v>
      </c>
      <c r="BE169" s="13">
        <f>BD169*VLOOKUP('Données projet'!$B$11,Paramètres!$A$1:$I$89,3,0)*VLOOKUP('Données projet'!$B$11,Paramètres!$A$1:$I$89,5,0)</f>
        <v>588.25603199999966</v>
      </c>
      <c r="BF169" s="13">
        <f t="shared" si="167"/>
        <v>129.04492403993021</v>
      </c>
      <c r="BG169" s="20">
        <f t="shared" si="168"/>
        <v>1249.2991651028776</v>
      </c>
      <c r="BH169" s="59">
        <f t="shared" si="116"/>
        <v>1542.6324984362109</v>
      </c>
      <c r="BI169" s="59">
        <f ca="1">AVERAGE(OFFSET($BH$3,0,0,'Données projet'!$E$11+1,1))-AVERAGE(OFFSET($H$3,0,0,'Données projet'!$E$11+1,1))</f>
        <v>584.62172669166989</v>
      </c>
      <c r="BJ169" s="59">
        <f t="shared" si="146"/>
        <v>141.28992520553197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145.73064250216549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145.73064250216549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326.09691594978824</v>
      </c>
      <c r="CE169" s="59">
        <f t="shared" si="148"/>
        <v>605.43570457920714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9.0938039790233383</v>
      </c>
      <c r="CL169" s="21">
        <f>EXP(-LN(2)/25)*CL168+(1-EXP(-LN(2)/25))/(LN(2)/25)*Calculateur!CG169*Calculateur!CI169*VLOOKUP('Données projet'!$B$12,Paramètres!$A$1:$I$89,3,0)*0.475*44/12</f>
        <v>0.8021066580398829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9.8959106370632206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8.977999999999998</v>
      </c>
      <c r="CT169" s="12">
        <f>IF('Données projet'!$A$140&gt;35,CT168+CS169-DB168,IF(A169&lt;'Données projet'!$A$140,$CQ$205^A169,IF(A169='Données projet'!$A$140,'Données projet'!$B$140,CT168+CS169-DB168)))</f>
        <v>538.69599999999969</v>
      </c>
      <c r="CU169" s="17">
        <f>CT169*VLOOKUP('Données projet'!$B$13,Paramètres!$A$1:$I$89,3,0)*VLOOKUP('Données projet'!$B$13,Paramètres!$A$1:$I$89,5,0)</f>
        <v>487.41214079999969</v>
      </c>
      <c r="CV169" s="13">
        <f t="shared" si="173"/>
        <v>109.28920663007598</v>
      </c>
      <c r="CW169" s="20">
        <f t="shared" si="174"/>
        <v>1039.2548467740485</v>
      </c>
      <c r="CX169" s="59">
        <f t="shared" si="122"/>
        <v>1332.5881801073817</v>
      </c>
      <c r="CY169" s="59">
        <f ca="1">AVERAGE(OFFSET($CX$3,0,0,'Données projet'!$E$13+1,1))-AVERAGE(OFFSET($H$3,0,0,'Données projet'!$E$13+1,1))</f>
        <v>465.85201723917186</v>
      </c>
      <c r="CZ169" s="59">
        <f t="shared" si="150"/>
        <v>110.67325285686417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120.74824664465146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120.74824664465146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234.00000000000003</v>
      </c>
      <c r="AJ170" s="13">
        <f>AI170*VLOOKUP('Données projet'!$B$10,Paramètres!$A$1:$I$89,3,0)*VLOOKUP('Données projet'!$B$10,Paramètres!$A$1:$I$89,5,0)</f>
        <v>189.82080000000005</v>
      </c>
      <c r="AK170" s="13">
        <f t="shared" si="164"/>
        <v>47.500332100049796</v>
      </c>
      <c r="AL170" s="20">
        <f t="shared" si="165"/>
        <v>413.33430507425345</v>
      </c>
      <c r="AM170" s="59">
        <f t="shared" si="113"/>
        <v>706.66763840758676</v>
      </c>
      <c r="AN170" s="59">
        <f ca="1">AVERAGE(OFFSET($AM$3,0,0,'Données projet'!$E$10+1,1))-AVERAGE(OFFSET($H$3,0,0,'Données projet'!$E$10+1,1))</f>
        <v>181.20458942529478</v>
      </c>
      <c r="AO170" s="59">
        <f t="shared" si="144"/>
        <v>144.05254691566421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8.2641123416995868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8.2641123416995868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8.977999999999998</v>
      </c>
      <c r="BD170" s="12">
        <f>IF('Données projet'!$A$88&gt;35,BD169+BC170-BL169,IF(A170&lt;'Données projet'!$A$88,$BA$205^A170,IF(A170='Données projet'!$A$88,'Données projet'!$B$88,BD169+BC170-BL169)))</f>
        <v>547.67399999999964</v>
      </c>
      <c r="BE170" s="13">
        <f>BD170*VLOOKUP('Données projet'!$B$11,Paramètres!$A$1:$I$89,3,0)*VLOOKUP('Données projet'!$B$11,Paramètres!$A$1:$I$89,5,0)</f>
        <v>598.06000799999958</v>
      </c>
      <c r="BF170" s="13">
        <f t="shared" si="167"/>
        <v>130.94343722907945</v>
      </c>
      <c r="BG170" s="20">
        <f t="shared" si="168"/>
        <v>1269.6810004406459</v>
      </c>
      <c r="BH170" s="59">
        <f t="shared" si="116"/>
        <v>1563.0143337739792</v>
      </c>
      <c r="BI170" s="59">
        <f ca="1">AVERAGE(OFFSET($BH$3,0,0,'Données projet'!$E$11+1,1))-AVERAGE(OFFSET($H$3,0,0,'Données projet'!$E$11+1,1))</f>
        <v>584.62172669166989</v>
      </c>
      <c r="BJ170" s="59">
        <f t="shared" si="146"/>
        <v>141.28992520553197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142.87295348961311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142.87295348961311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326.09691594978824</v>
      </c>
      <c r="CE170" s="59">
        <f t="shared" si="148"/>
        <v>605.43570457920714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8.9154800296674299</v>
      </c>
      <c r="CL170" s="21">
        <f>EXP(-LN(2)/25)*CL169+(1-EXP(-LN(2)/25))/(LN(2)/25)*Calculateur!CG170*Calculateur!CI170*VLOOKUP('Données projet'!$B$12,Paramètres!$A$1:$I$89,3,0)*0.475*44/12</f>
        <v>0.78017300929482636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9.6956530389622557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8.977999999999998</v>
      </c>
      <c r="CT170" s="12">
        <f>IF('Données projet'!$A$140&gt;35,CT169+CS170-DB169,IF(A170&lt;'Données projet'!$A$140,$CQ$205^A170,IF(A170='Données projet'!$A$140,'Données projet'!$B$140,CT169+CS170-DB169)))</f>
        <v>547.67399999999964</v>
      </c>
      <c r="CU170" s="17">
        <f>CT170*VLOOKUP('Données projet'!$B$13,Paramètres!$A$1:$I$89,3,0)*VLOOKUP('Données projet'!$B$13,Paramètres!$A$1:$I$89,5,0)</f>
        <v>495.53543519999965</v>
      </c>
      <c r="CV170" s="13">
        <f t="shared" si="173"/>
        <v>110.89707305149885</v>
      </c>
      <c r="CW170" s="20">
        <f t="shared" si="174"/>
        <v>1056.2032852046932</v>
      </c>
      <c r="CX170" s="59">
        <f t="shared" si="122"/>
        <v>1349.5366185380265</v>
      </c>
      <c r="CY170" s="59">
        <f ca="1">AVERAGE(OFFSET($CX$3,0,0,'Données projet'!$E$13+1,1))-AVERAGE(OFFSET($H$3,0,0,'Données projet'!$E$13+1,1))</f>
        <v>465.85201723917186</v>
      </c>
      <c r="CZ170" s="59">
        <f t="shared" si="150"/>
        <v>110.67325285686417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118.38044717710805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118.38044717710805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234.00000000000003</v>
      </c>
      <c r="AJ171" s="13">
        <f>AI171*VLOOKUP('Données projet'!$B$10,Paramètres!$A$1:$I$89,3,0)*VLOOKUP('Données projet'!$B$10,Paramètres!$A$1:$I$89,5,0)</f>
        <v>189.82080000000005</v>
      </c>
      <c r="AK171" s="13">
        <f t="shared" si="164"/>
        <v>47.500332100049796</v>
      </c>
      <c r="AL171" s="20">
        <f t="shared" si="165"/>
        <v>413.33430507425345</v>
      </c>
      <c r="AM171" s="59">
        <f t="shared" si="113"/>
        <v>706.66763840758676</v>
      </c>
      <c r="AN171" s="59">
        <f ca="1">AVERAGE(OFFSET($AM$3,0,0,'Données projet'!$E$10+1,1))-AVERAGE(OFFSET($H$3,0,0,'Données projet'!$E$10+1,1))</f>
        <v>181.20458942529478</v>
      </c>
      <c r="AO171" s="59">
        <f t="shared" si="144"/>
        <v>144.05254691566421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8.1020581392896673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8.1020581392896673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8.977999999999998</v>
      </c>
      <c r="BD171" s="12">
        <f>IF('Données projet'!$A$88&gt;35,BD170+BC171-BL170,IF(A171&lt;'Données projet'!$A$88,$BA$205^A171,IF(A171='Données projet'!$A$88,'Données projet'!$B$88,BD170+BC171-BL170)))</f>
        <v>556.65199999999959</v>
      </c>
      <c r="BE171" s="13">
        <f>BD171*VLOOKUP('Données projet'!$B$11,Paramètres!$A$1:$I$89,3,0)*VLOOKUP('Données projet'!$B$11,Paramètres!$A$1:$I$89,5,0)</f>
        <v>607.8639839999995</v>
      </c>
      <c r="BF171" s="13">
        <f t="shared" si="167"/>
        <v>132.8383310700838</v>
      </c>
      <c r="BG171" s="20">
        <f t="shared" si="168"/>
        <v>1290.0565320803951</v>
      </c>
      <c r="BH171" s="59">
        <f t="shared" si="116"/>
        <v>1583.3898654137283</v>
      </c>
      <c r="BI171" s="59">
        <f ca="1">AVERAGE(OFFSET($BH$3,0,0,'Données projet'!$E$11+1,1))-AVERAGE(OFFSET($H$3,0,0,'Données projet'!$E$11+1,1))</f>
        <v>584.62172669166989</v>
      </c>
      <c r="BJ171" s="59">
        <f t="shared" si="146"/>
        <v>141.28992520553197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140.07130201557868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140.07130201557868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326.09691594978824</v>
      </c>
      <c r="CE171" s="59">
        <f t="shared" si="148"/>
        <v>605.43570457920714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8.7406529041915206</v>
      </c>
      <c r="CL171" s="21">
        <f>EXP(-LN(2)/25)*CL170+(1-EXP(-LN(2)/25))/(LN(2)/25)*Calculateur!CG171*Calculateur!CI171*VLOOKUP('Données projet'!$B$12,Paramètres!$A$1:$I$89,3,0)*0.475*44/12</f>
        <v>0.7588391373281439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9.4994920415196642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8.977999999999998</v>
      </c>
      <c r="CT171" s="12">
        <f>IF('Données projet'!$A$140&gt;35,CT170+CS171-DB170,IF(A171&lt;'Données projet'!$A$140,$CQ$205^A171,IF(A171='Données projet'!$A$140,'Données projet'!$B$140,CT170+CS171-DB170)))</f>
        <v>556.65199999999959</v>
      </c>
      <c r="CU171" s="17">
        <f>CT171*VLOOKUP('Données projet'!$B$13,Paramètres!$A$1:$I$89,3,0)*VLOOKUP('Données projet'!$B$13,Paramètres!$A$1:$I$89,5,0)</f>
        <v>503.65872959999956</v>
      </c>
      <c r="CV171" s="13">
        <f t="shared" si="173"/>
        <v>112.50187421723477</v>
      </c>
      <c r="CW171" s="20">
        <f t="shared" si="174"/>
        <v>1073.1463849816832</v>
      </c>
      <c r="CX171" s="59">
        <f t="shared" si="122"/>
        <v>1366.4797183150165</v>
      </c>
      <c r="CY171" s="59">
        <f ca="1">AVERAGE(OFFSET($CX$3,0,0,'Données projet'!$E$13+1,1))-AVERAGE(OFFSET($H$3,0,0,'Données projet'!$E$13+1,1))</f>
        <v>465.85201723917186</v>
      </c>
      <c r="CZ171" s="59">
        <f t="shared" si="150"/>
        <v>110.67325285686417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116.0590788129081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116.0590788129081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234.00000000000003</v>
      </c>
      <c r="AJ172" s="13">
        <f>AI172*VLOOKUP('Données projet'!$B$10,Paramètres!$A$1:$I$89,3,0)*VLOOKUP('Données projet'!$B$10,Paramètres!$A$1:$I$89,5,0)</f>
        <v>189.82080000000005</v>
      </c>
      <c r="AK172" s="13">
        <f t="shared" si="164"/>
        <v>47.500332100049796</v>
      </c>
      <c r="AL172" s="20">
        <f t="shared" si="165"/>
        <v>413.33430507425345</v>
      </c>
      <c r="AM172" s="59">
        <f t="shared" si="113"/>
        <v>706.66763840758676</v>
      </c>
      <c r="AN172" s="59">
        <f ca="1">AVERAGE(OFFSET($AM$3,0,0,'Données projet'!$E$10+1,1))-AVERAGE(OFFSET($H$3,0,0,'Données projet'!$E$10+1,1))</f>
        <v>181.20458942529478</v>
      </c>
      <c r="AO172" s="59">
        <f t="shared" si="144"/>
        <v>144.05254691566421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7.9431817209457032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7.9431817209457032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8.977999999999998</v>
      </c>
      <c r="BD172" s="12">
        <f>IF('Données projet'!$A$88&gt;35,BD171+BC172-BL171,IF(A172&lt;'Données projet'!$A$88,$BA$205^A172,IF(A172='Données projet'!$A$88,'Données projet'!$B$88,BD171+BC172-BL171)))</f>
        <v>565.62999999999954</v>
      </c>
      <c r="BE172" s="13">
        <f>BD172*VLOOKUP('Données projet'!$B$11,Paramètres!$A$1:$I$89,3,0)*VLOOKUP('Données projet'!$B$11,Paramètres!$A$1:$I$89,5,0)</f>
        <v>617.66795999999943</v>
      </c>
      <c r="BF172" s="13">
        <f t="shared" si="167"/>
        <v>134.72967067723914</v>
      </c>
      <c r="BG172" s="20">
        <f t="shared" si="168"/>
        <v>1310.4258734295238</v>
      </c>
      <c r="BH172" s="59">
        <f t="shared" si="116"/>
        <v>1603.759206762857</v>
      </c>
      <c r="BI172" s="59">
        <f ca="1">AVERAGE(OFFSET($BH$3,0,0,'Données projet'!$E$11+1,1))-AVERAGE(OFFSET($H$3,0,0,'Données projet'!$E$11+1,1))</f>
        <v>584.62172669166989</v>
      </c>
      <c r="BJ172" s="59">
        <f t="shared" si="146"/>
        <v>141.28992520553197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137.32458921811141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137.32458921811141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326.09691594978824</v>
      </c>
      <c r="CE172" s="59">
        <f t="shared" si="148"/>
        <v>605.43570457920714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8.5692540320121768</v>
      </c>
      <c r="CL172" s="21">
        <f>EXP(-LN(2)/25)*CL171+(1-EXP(-LN(2)/25))/(LN(2)/25)*Calculateur!CG172*Calculateur!CI172*VLOOKUP('Données projet'!$B$12,Paramètres!$A$1:$I$89,3,0)*0.475*44/12</f>
        <v>0.7380886412122899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9.3073426732244666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8.977999999999998</v>
      </c>
      <c r="CT172" s="12">
        <f>IF('Données projet'!$A$140&gt;35,CT171+CS172-DB171,IF(A172&lt;'Données projet'!$A$140,$CQ$205^A172,IF(A172='Données projet'!$A$140,'Données projet'!$B$140,CT171+CS172-DB171)))</f>
        <v>565.62999999999954</v>
      </c>
      <c r="CU172" s="17">
        <f>CT172*VLOOKUP('Données projet'!$B$13,Paramètres!$A$1:$I$89,3,0)*VLOOKUP('Données projet'!$B$13,Paramètres!$A$1:$I$89,5,0)</f>
        <v>511.78202399999958</v>
      </c>
      <c r="CV172" s="13">
        <f t="shared" si="173"/>
        <v>114.10366527311611</v>
      </c>
      <c r="CW172" s="20">
        <f t="shared" si="174"/>
        <v>1090.0842421506763</v>
      </c>
      <c r="CX172" s="59">
        <f t="shared" si="122"/>
        <v>1383.4175754840096</v>
      </c>
      <c r="CY172" s="59">
        <f ca="1">AVERAGE(OFFSET($CX$3,0,0,'Données projet'!$E$13+1,1))-AVERAGE(OFFSET($H$3,0,0,'Données projet'!$E$13+1,1))</f>
        <v>465.85201723917186</v>
      </c>
      <c r="CZ172" s="59">
        <f t="shared" si="150"/>
        <v>110.67325285686417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113.78323106643521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113.78323106643521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234.00000000000003</v>
      </c>
      <c r="AJ173" s="13">
        <f>AI173*VLOOKUP('Données projet'!$B$10,Paramètres!$A$1:$I$89,3,0)*VLOOKUP('Données projet'!$B$10,Paramètres!$A$1:$I$89,5,0)</f>
        <v>189.82080000000005</v>
      </c>
      <c r="AK173" s="13">
        <f t="shared" si="164"/>
        <v>47.500332100049796</v>
      </c>
      <c r="AL173" s="20">
        <f t="shared" si="165"/>
        <v>413.33430507425345</v>
      </c>
      <c r="AM173" s="59">
        <f t="shared" si="113"/>
        <v>706.66763840758676</v>
      </c>
      <c r="AN173" s="59">
        <f ca="1">AVERAGE(OFFSET($AM$3,0,0,'Données projet'!$E$10+1,1))-AVERAGE(OFFSET($H$3,0,0,'Données projet'!$E$10+1,1))</f>
        <v>181.20458942529478</v>
      </c>
      <c r="AO173" s="59">
        <f t="shared" si="144"/>
        <v>144.05254691566421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7.7874207722604174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7.7874207722604174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8.977999999999998</v>
      </c>
      <c r="BD173" s="12">
        <f>IF('Données projet'!$A$88&gt;35,BD172+BC173-BL172,IF(A173&lt;'Données projet'!$A$88,$BA$205^A173,IF(A173='Données projet'!$A$88,'Données projet'!$B$88,BD172+BC173-BL172)))</f>
        <v>574.60799999999949</v>
      </c>
      <c r="BE173" s="13">
        <f>BD173*VLOOKUP('Données projet'!$B$11,Paramètres!$A$1:$I$89,3,0)*VLOOKUP('Données projet'!$B$11,Paramètres!$A$1:$I$89,5,0)</f>
        <v>627.47193599999946</v>
      </c>
      <c r="BF173" s="13">
        <f t="shared" si="167"/>
        <v>136.61751897922173</v>
      </c>
      <c r="BG173" s="20">
        <f t="shared" si="168"/>
        <v>1330.7891340888102</v>
      </c>
      <c r="BH173" s="59">
        <f t="shared" si="116"/>
        <v>1624.1224674221435</v>
      </c>
      <c r="BI173" s="59">
        <f ca="1">AVERAGE(OFFSET($BH$3,0,0,'Données projet'!$E$11+1,1))-AVERAGE(OFFSET($H$3,0,0,'Données projet'!$E$11+1,1))</f>
        <v>584.62172669166989</v>
      </c>
      <c r="BJ173" s="59">
        <f t="shared" si="146"/>
        <v>141.28992520553197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134.63173778327308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134.63173778327308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326.09691594978824</v>
      </c>
      <c r="CE173" s="59">
        <f t="shared" si="148"/>
        <v>605.43570457920714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8.4012161871732811</v>
      </c>
      <c r="CL173" s="21">
        <f>EXP(-LN(2)/25)*CL172+(1-EXP(-LN(2)/25))/(LN(2)/25)*Calculateur!CG173*Calculateur!CI173*VLOOKUP('Données projet'!$B$12,Paramètres!$A$1:$I$89,3,0)*0.475*44/12</f>
        <v>0.71790556850394516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9.1191217556772255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8.977999999999998</v>
      </c>
      <c r="CT173" s="12">
        <f>IF('Données projet'!$A$140&gt;35,CT172+CS173-DB172,IF(A173&lt;'Données projet'!$A$140,$CQ$205^A173,IF(A173='Données projet'!$A$140,'Données projet'!$B$140,CT172+CS173-DB172)))</f>
        <v>574.60799999999949</v>
      </c>
      <c r="CU173" s="17">
        <f>CT173*VLOOKUP('Données projet'!$B$13,Paramètres!$A$1:$I$89,3,0)*VLOOKUP('Données projet'!$B$13,Paramètres!$A$1:$I$89,5,0)</f>
        <v>519.90531839999949</v>
      </c>
      <c r="CV173" s="13">
        <f t="shared" si="173"/>
        <v>115.70249951395583</v>
      </c>
      <c r="CW173" s="20">
        <f t="shared" si="174"/>
        <v>1107.0169495334719</v>
      </c>
      <c r="CX173" s="59">
        <f t="shared" si="122"/>
        <v>1400.3502828668052</v>
      </c>
      <c r="CY173" s="59">
        <f ca="1">AVERAGE(OFFSET($CX$3,0,0,'Données projet'!$E$13+1,1))-AVERAGE(OFFSET($H$3,0,0,'Données projet'!$E$13+1,1))</f>
        <v>465.85201723917186</v>
      </c>
      <c r="CZ173" s="59">
        <f t="shared" si="150"/>
        <v>110.67325285686417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111.55201130614059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111.55201130614059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234.00000000000003</v>
      </c>
      <c r="AJ174" s="13">
        <f>AI174*VLOOKUP('Données projet'!$B$10,Paramètres!$A$1:$I$89,3,0)*VLOOKUP('Données projet'!$B$10,Paramètres!$A$1:$I$89,5,0)</f>
        <v>189.82080000000005</v>
      </c>
      <c r="AK174" s="13">
        <f t="shared" si="164"/>
        <v>47.500332100049796</v>
      </c>
      <c r="AL174" s="20">
        <f t="shared" si="165"/>
        <v>413.33430507425345</v>
      </c>
      <c r="AM174" s="59">
        <f t="shared" si="113"/>
        <v>706.66763840758676</v>
      </c>
      <c r="AN174" s="59">
        <f ca="1">AVERAGE(OFFSET($AM$3,0,0,'Données projet'!$E$10+1,1))-AVERAGE(OFFSET($H$3,0,0,'Données projet'!$E$10+1,1))</f>
        <v>181.20458942529478</v>
      </c>
      <c r="AO174" s="59">
        <f t="shared" si="144"/>
        <v>144.05254691566421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7.6347142007740523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7.6347142007740523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8.977999999999998</v>
      </c>
      <c r="BD174" s="12">
        <f>IF('Données projet'!$A$88&gt;35,BD173+BC174-BL173,IF(A174&lt;'Données projet'!$A$88,$BA$205^A174,IF(A174='Données projet'!$A$88,'Données projet'!$B$88,BD173+BC174-BL173)))</f>
        <v>583.58599999999944</v>
      </c>
      <c r="BE174" s="13">
        <f>BD174*VLOOKUP('Données projet'!$B$11,Paramètres!$A$1:$I$89,3,0)*VLOOKUP('Données projet'!$B$11,Paramètres!$A$1:$I$89,5,0)</f>
        <v>637.27591199999938</v>
      </c>
      <c r="BF174" s="13">
        <f t="shared" si="167"/>
        <v>138.5019368254311</v>
      </c>
      <c r="BG174" s="20">
        <f t="shared" si="168"/>
        <v>1351.1464200376247</v>
      </c>
      <c r="BH174" s="59">
        <f t="shared" si="116"/>
        <v>1644.479753370958</v>
      </c>
      <c r="BI174" s="59">
        <f ca="1">AVERAGE(OFFSET($BH$3,0,0,'Données projet'!$E$11+1,1))-AVERAGE(OFFSET($H$3,0,0,'Données projet'!$E$11+1,1))</f>
        <v>584.62172669166989</v>
      </c>
      <c r="BJ174" s="59">
        <f t="shared" si="146"/>
        <v>141.28992520553197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131.99169152259475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131.99169152259475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326.09691594978824</v>
      </c>
      <c r="CE174" s="59">
        <f t="shared" si="148"/>
        <v>605.43570457920714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8.2364734619787114</v>
      </c>
      <c r="CL174" s="21">
        <f>EXP(-LN(2)/25)*CL173+(1-EXP(-LN(2)/25))/(LN(2)/25)*Calculateur!CG174*Calculateur!CI174*VLOOKUP('Données projet'!$B$12,Paramètres!$A$1:$I$89,3,0)*0.475*44/12</f>
        <v>0.69827440298019172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8.9347478649589025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8.977999999999998</v>
      </c>
      <c r="CT174" s="12">
        <f>IF('Données projet'!$A$140&gt;35,CT173+CS174-DB173,IF(A174&lt;'Données projet'!$A$140,$CQ$205^A174,IF(A174='Données projet'!$A$140,'Données projet'!$B$140,CT173+CS174-DB173)))</f>
        <v>583.58599999999944</v>
      </c>
      <c r="CU174" s="17">
        <f>CT174*VLOOKUP('Données projet'!$B$13,Paramètres!$A$1:$I$89,3,0)*VLOOKUP('Données projet'!$B$13,Paramètres!$A$1:$I$89,5,0)</f>
        <v>528.02861279999945</v>
      </c>
      <c r="CV174" s="13">
        <f t="shared" si="173"/>
        <v>117.29842847361064</v>
      </c>
      <c r="CW174" s="20">
        <f t="shared" si="174"/>
        <v>1123.9445968848709</v>
      </c>
      <c r="CX174" s="59">
        <f t="shared" si="122"/>
        <v>1417.2779302182041</v>
      </c>
      <c r="CY174" s="59">
        <f ca="1">AVERAGE(OFFSET($CX$3,0,0,'Données projet'!$E$13+1,1))-AVERAGE(OFFSET($H$3,0,0,'Données projet'!$E$13+1,1))</f>
        <v>465.85201723917186</v>
      </c>
      <c r="CZ174" s="59">
        <f t="shared" si="150"/>
        <v>110.67325285686417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109.36454440443568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109.36454440443568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234.00000000000003</v>
      </c>
      <c r="AJ175" s="13">
        <f>AI175*VLOOKUP('Données projet'!$B$10,Paramètres!$A$1:$I$89,3,0)*VLOOKUP('Données projet'!$B$10,Paramètres!$A$1:$I$89,5,0)</f>
        <v>189.82080000000005</v>
      </c>
      <c r="AK175" s="13">
        <f t="shared" si="164"/>
        <v>47.500332100049796</v>
      </c>
      <c r="AL175" s="20">
        <f t="shared" si="165"/>
        <v>413.33430507425345</v>
      </c>
      <c r="AM175" s="59">
        <f t="shared" si="113"/>
        <v>706.66763840758676</v>
      </c>
      <c r="AN175" s="59">
        <f ca="1">AVERAGE(OFFSET($AM$3,0,0,'Données projet'!$E$10+1,1))-AVERAGE(OFFSET($H$3,0,0,'Données projet'!$E$10+1,1))</f>
        <v>181.20458942529478</v>
      </c>
      <c r="AO175" s="59">
        <f t="shared" si="144"/>
        <v>144.05254691566421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7.4850021120127233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7.4850021120127233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8.977999999999998</v>
      </c>
      <c r="BD175" s="12">
        <f>IF('Données projet'!$A$88&gt;35,BD174+BC175-BL174,IF(A175&lt;'Données projet'!$A$88,$BA$205^A175,IF(A175='Données projet'!$A$88,'Données projet'!$B$88,BD174+BC175-BL174)))</f>
        <v>592.5639999999994</v>
      </c>
      <c r="BE175" s="13">
        <f>BD175*VLOOKUP('Données projet'!$B$11,Paramètres!$A$1:$I$89,3,0)*VLOOKUP('Données projet'!$B$11,Paramètres!$A$1:$I$89,5,0)</f>
        <v>647.0798879999993</v>
      </c>
      <c r="BF175" s="13">
        <f t="shared" si="167"/>
        <v>140.38298308560479</v>
      </c>
      <c r="BG175" s="20">
        <f t="shared" si="168"/>
        <v>1371.497833807427</v>
      </c>
      <c r="BH175" s="59">
        <f t="shared" si="116"/>
        <v>1664.8311671407603</v>
      </c>
      <c r="BI175" s="59">
        <f ca="1">AVERAGE(OFFSET($BH$3,0,0,'Données projet'!$E$11+1,1))-AVERAGE(OFFSET($H$3,0,0,'Données projet'!$E$11+1,1))</f>
        <v>584.62172669166989</v>
      </c>
      <c r="BJ175" s="59">
        <f t="shared" si="146"/>
        <v>141.28992520553197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129.4034149588191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129.4034149588191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326.09691594978824</v>
      </c>
      <c r="CE175" s="59">
        <f t="shared" si="148"/>
        <v>605.43570457920714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8.0749612411420664</v>
      </c>
      <c r="CL175" s="21">
        <f>EXP(-LN(2)/25)*CL174+(1-EXP(-LN(2)/25))/(LN(2)/25)*Calculateur!CG175*Calculateur!CI175*VLOOKUP('Données projet'!$B$12,Paramètres!$A$1:$I$89,3,0)*0.475*44/12</f>
        <v>0.67918005271004345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8.7541412938521095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8.977999999999998</v>
      </c>
      <c r="CT175" s="12">
        <f>IF('Données projet'!$A$140&gt;35,CT174+CS175-DB174,IF(A175&lt;'Données projet'!$A$140,$CQ$205^A175,IF(A175='Données projet'!$A$140,'Données projet'!$B$140,CT174+CS175-DB174)))</f>
        <v>592.5639999999994</v>
      </c>
      <c r="CU175" s="17">
        <f>CT175*VLOOKUP('Données projet'!$B$13,Paramètres!$A$1:$I$89,3,0)*VLOOKUP('Données projet'!$B$13,Paramètres!$A$1:$I$89,5,0)</f>
        <v>536.15190719999953</v>
      </c>
      <c r="CV175" s="13">
        <f t="shared" si="173"/>
        <v>118.89150200934502</v>
      </c>
      <c r="CW175" s="20">
        <f t="shared" si="174"/>
        <v>1140.8672710396083</v>
      </c>
      <c r="CX175" s="59">
        <f t="shared" si="122"/>
        <v>1434.2006043729416</v>
      </c>
      <c r="CY175" s="59">
        <f ca="1">AVERAGE(OFFSET($CX$3,0,0,'Données projet'!$E$13+1,1))-AVERAGE(OFFSET($H$3,0,0,'Données projet'!$E$13+1,1))</f>
        <v>465.85201723917186</v>
      </c>
      <c r="CZ175" s="59">
        <f t="shared" si="150"/>
        <v>110.67325285686417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107.21997239445012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107.21997239445012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234.00000000000003</v>
      </c>
      <c r="AJ176" s="13">
        <f>AI176*VLOOKUP('Données projet'!$B$10,Paramètres!$A$1:$I$89,3,0)*VLOOKUP('Données projet'!$B$10,Paramètres!$A$1:$I$89,5,0)</f>
        <v>189.82080000000005</v>
      </c>
      <c r="AK176" s="13">
        <f t="shared" si="164"/>
        <v>47.500332100049796</v>
      </c>
      <c r="AL176" s="20">
        <f t="shared" si="165"/>
        <v>413.33430507425345</v>
      </c>
      <c r="AM176" s="59">
        <f t="shared" si="113"/>
        <v>706.66763840758676</v>
      </c>
      <c r="AN176" s="59">
        <f ca="1">AVERAGE(OFFSET($AM$3,0,0,'Données projet'!$E$10+1,1))-AVERAGE(OFFSET($H$3,0,0,'Données projet'!$E$10+1,1))</f>
        <v>181.20458942529478</v>
      </c>
      <c r="AO176" s="59">
        <f t="shared" si="144"/>
        <v>144.05254691566421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7.338225785996646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7.338225785996646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8.977999999999998</v>
      </c>
      <c r="BD176" s="12">
        <f>IF('Données projet'!$A$88&gt;35,BD175+BC176-BL175,IF(A176&lt;'Données projet'!$A$88,$BA$205^A176,IF(A176='Données projet'!$A$88,'Données projet'!$B$88,BD175+BC176-BL175)))</f>
        <v>601.54199999999935</v>
      </c>
      <c r="BE176" s="13">
        <f>BD176*VLOOKUP('Données projet'!$B$11,Paramètres!$A$1:$I$89,3,0)*VLOOKUP('Données projet'!$B$11,Paramètres!$A$1:$I$89,5,0)</f>
        <v>656.88386399999922</v>
      </c>
      <c r="BF176" s="13">
        <f t="shared" si="167"/>
        <v>142.26071474322328</v>
      </c>
      <c r="BG176" s="20">
        <f t="shared" si="168"/>
        <v>1391.8434746444457</v>
      </c>
      <c r="BH176" s="59">
        <f t="shared" si="116"/>
        <v>1685.1768079777789</v>
      </c>
      <c r="BI176" s="59">
        <f ca="1">AVERAGE(OFFSET($BH$3,0,0,'Données projet'!$E$11+1,1))-AVERAGE(OFFSET($H$3,0,0,'Données projet'!$E$11+1,1))</f>
        <v>584.62172669166989</v>
      </c>
      <c r="BJ176" s="59">
        <f t="shared" si="146"/>
        <v>141.28992520553197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126.86589291976625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126.86589291976625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326.09691594978824</v>
      </c>
      <c r="CE176" s="59">
        <f t="shared" si="148"/>
        <v>605.43570457920714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7.9166161764433003</v>
      </c>
      <c r="CL176" s="21">
        <f>EXP(-LN(2)/25)*CL175+(1-EXP(-LN(2)/25))/(LN(2)/25)*Calculateur!CG176*Calculateur!CI176*VLOOKUP('Données projet'!$B$12,Paramètres!$A$1:$I$89,3,0)*0.475*44/12</f>
        <v>0.66060783845216065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8.5772240148954602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8.977999999999998</v>
      </c>
      <c r="CT176" s="12">
        <f>IF('Données projet'!$A$140&gt;35,CT175+CS176-DB175,IF(A176&lt;'Données projet'!$A$140,$CQ$205^A176,IF(A176='Données projet'!$A$140,'Données projet'!$B$140,CT175+CS176-DB175)))</f>
        <v>601.54199999999935</v>
      </c>
      <c r="CU176" s="17">
        <f>CT176*VLOOKUP('Données projet'!$B$13,Paramètres!$A$1:$I$89,3,0)*VLOOKUP('Données projet'!$B$13,Paramètres!$A$1:$I$89,5,0)</f>
        <v>544.27520159999938</v>
      </c>
      <c r="CV176" s="13">
        <f t="shared" si="173"/>
        <v>120.48176838093659</v>
      </c>
      <c r="CW176" s="20">
        <f t="shared" si="174"/>
        <v>1157.7850560501302</v>
      </c>
      <c r="CX176" s="59">
        <f t="shared" si="122"/>
        <v>1451.1183893834634</v>
      </c>
      <c r="CY176" s="59">
        <f ca="1">AVERAGE(OFFSET($CX$3,0,0,'Données projet'!$E$13+1,1))-AVERAGE(OFFSET($H$3,0,0,'Données projet'!$E$13+1,1))</f>
        <v>465.85201723917186</v>
      </c>
      <c r="CZ176" s="59">
        <f t="shared" si="150"/>
        <v>110.67325285686417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105.11745413352062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105.11745413352062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234.00000000000003</v>
      </c>
      <c r="AJ177" s="13">
        <f>AI177*VLOOKUP('Données projet'!$B$10,Paramètres!$A$1:$I$89,3,0)*VLOOKUP('Données projet'!$B$10,Paramètres!$A$1:$I$89,5,0)</f>
        <v>189.82080000000005</v>
      </c>
      <c r="AK177" s="13">
        <f t="shared" si="164"/>
        <v>47.500332100049796</v>
      </c>
      <c r="AL177" s="20">
        <f t="shared" si="165"/>
        <v>413.33430507425345</v>
      </c>
      <c r="AM177" s="59">
        <f t="shared" si="113"/>
        <v>706.66763840758676</v>
      </c>
      <c r="AN177" s="59">
        <f ca="1">AVERAGE(OFFSET($AM$3,0,0,'Données projet'!$E$10+1,1))-AVERAGE(OFFSET($H$3,0,0,'Données projet'!$E$10+1,1))</f>
        <v>181.20458942529478</v>
      </c>
      <c r="AO177" s="59">
        <f t="shared" si="144"/>
        <v>144.05254691566421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7.1943276542090251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7.1943276542090251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8.977999999999998</v>
      </c>
      <c r="BC177" s="12">
        <f t="array" ref="BC177">INDEX(BB:BB,MIN(IF(ISNUMBER(BB177:BB373),ROW(BB177:BB373),"")))</f>
        <v>8.977999999999998</v>
      </c>
      <c r="BD177" s="12">
        <f>IF('Données projet'!$A$88&gt;35,BD176+BC177-BL176,IF(A177&lt;'Données projet'!$A$88,$BA$205^A177,IF(A177='Données projet'!$A$88,'Données projet'!$B$88,BD176+BC177-BL176)))</f>
        <v>610.5199999999993</v>
      </c>
      <c r="BE177" s="13">
        <f>BD177*VLOOKUP('Données projet'!$B$11,Paramètres!$A$1:$I$89,3,0)*VLOOKUP('Données projet'!$B$11,Paramètres!$A$1:$I$89,5,0)</f>
        <v>666.68783999999914</v>
      </c>
      <c r="BF177" s="13">
        <f t="shared" si="167"/>
        <v>144.13518698318018</v>
      </c>
      <c r="BG177" s="20">
        <f t="shared" si="168"/>
        <v>1412.1834386623705</v>
      </c>
      <c r="BH177" s="59">
        <f t="shared" si="116"/>
        <v>1705.5167719957037</v>
      </c>
      <c r="BI177" s="59">
        <f ca="1">AVERAGE(OFFSET($BH$3,0,0,'Données projet'!$E$11+1,1))-AVERAGE(OFFSET($H$3,0,0,'Données projet'!$E$11+1,1))</f>
        <v>584.62172669166989</v>
      </c>
      <c r="BJ177" s="59">
        <f t="shared" si="146"/>
        <v>141.28992520553197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0.43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235.86194501963931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235.86194501963931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326.09691594978824</v>
      </c>
      <c r="CE177" s="59">
        <f t="shared" si="148"/>
        <v>605.43570457920714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7.7613761618823247</v>
      </c>
      <c r="CL177" s="21">
        <f>EXP(-LN(2)/25)*CL176+(1-EXP(-LN(2)/25))/(LN(2)/25)*Calculateur!CG177*Calculateur!CI177*VLOOKUP('Données projet'!$B$12,Paramètres!$A$1:$I$89,3,0)*0.475*44/12</f>
        <v>0.64254348236982994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8.403919644252154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8.977999999999998</v>
      </c>
      <c r="CS177" s="12">
        <f t="array" ref="CS177">INDEX(CR:CR,MIN(IF(ISNUMBER(CR177:CR373),ROW(CR177:CR373),"")))</f>
        <v>8.977999999999998</v>
      </c>
      <c r="CT177" s="12">
        <f>IF('Données projet'!$A$140&gt;35,CT176+CS177-DB176,IF(A177&lt;'Données projet'!$A$140,$CQ$205^A177,IF(A177='Données projet'!$A$140,'Données projet'!$B$140,CT176+CS177-DB176)))</f>
        <v>610.5199999999993</v>
      </c>
      <c r="CU177" s="17">
        <f>CT177*VLOOKUP('Données projet'!$B$13,Paramètres!$A$1:$I$89,3,0)*VLOOKUP('Données projet'!$B$13,Paramètres!$A$1:$I$89,5,0)</f>
        <v>552.39849599999934</v>
      </c>
      <c r="CV177" s="13">
        <f t="shared" si="173"/>
        <v>122.06927432492564</v>
      </c>
      <c r="CW177" s="20">
        <f t="shared" si="174"/>
        <v>1174.6980333159111</v>
      </c>
      <c r="CX177" s="59">
        <f t="shared" si="122"/>
        <v>1468.0313666492443</v>
      </c>
      <c r="CY177" s="59">
        <f ca="1">AVERAGE(OFFSET($CX$3,0,0,'Données projet'!$E$13+1,1))-AVERAGE(OFFSET($H$3,0,0,'Données projet'!$E$13+1,1))</f>
        <v>465.85201723917186</v>
      </c>
      <c r="CZ177" s="59">
        <f t="shared" si="150"/>
        <v>110.67325285686417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0.43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195.42846873055828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195.42846873055828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234.00000000000003</v>
      </c>
      <c r="AJ178" s="13">
        <f>AI178*VLOOKUP('Données projet'!$B$10,Paramètres!$A$1:$I$89,3,0)*VLOOKUP('Données projet'!$B$10,Paramètres!$A$1:$I$89,5,0)</f>
        <v>189.82080000000005</v>
      </c>
      <c r="AK178" s="13">
        <f t="shared" si="164"/>
        <v>47.500332100049796</v>
      </c>
      <c r="AL178" s="20">
        <f t="shared" si="165"/>
        <v>413.33430507425345</v>
      </c>
      <c r="AM178" s="59">
        <f t="shared" si="113"/>
        <v>706.66763840758676</v>
      </c>
      <c r="AN178" s="59">
        <f ca="1">AVERAGE(OFFSET($AM$3,0,0,'Données projet'!$E$10+1,1))-AVERAGE(OFFSET($H$3,0,0,'Données projet'!$E$10+1,1))</f>
        <v>181.20458942529478</v>
      </c>
      <c r="AO178" s="59">
        <f t="shared" si="144"/>
        <v>144.05254691566421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7.0532512770165656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7.0532512770165656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-2.2700000000000009</v>
      </c>
      <c r="BD178" s="12">
        <f>IF('Données projet'!$A$88&gt;35,BD177+BC178-BL177,IF(A178&lt;'Données projet'!$A$88,$BA$205^A178,IF(A178='Données projet'!$A$88,'Données projet'!$B$88,BD177+BC178-BL177)))</f>
        <v>393.47999999999934</v>
      </c>
      <c r="BE178" s="13">
        <f>BD178*VLOOKUP('Données projet'!$B$11,Paramètres!$A$1:$I$89,3,0)*VLOOKUP('Données projet'!$B$11,Paramètres!$A$1:$I$89,5,0)</f>
        <v>429.68015999999926</v>
      </c>
      <c r="BF178" s="13">
        <f t="shared" si="167"/>
        <v>97.768567711111402</v>
      </c>
      <c r="BG178" s="20">
        <f t="shared" si="168"/>
        <v>918.63986743018438</v>
      </c>
      <c r="BH178" s="59">
        <f t="shared" si="116"/>
        <v>1211.9732007635178</v>
      </c>
      <c r="BI178" s="59">
        <f ca="1">AVERAGE(OFFSET($BH$3,0,0,'Données projet'!$E$11+1,1))-AVERAGE(OFFSET($H$3,0,0,'Données projet'!$E$11+1,1))</f>
        <v>584.62172669166989</v>
      </c>
      <c r="BJ178" s="59">
        <f t="shared" si="146"/>
        <v>141.28992520553197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231.2368361393855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231.2368361393855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326.09691594978824</v>
      </c>
      <c r="CE178" s="59">
        <f t="shared" si="148"/>
        <v>605.43570457920714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7.6091803093198305</v>
      </c>
      <c r="CL178" s="21">
        <f>EXP(-LN(2)/25)*CL177+(1-EXP(-LN(2)/25))/(LN(2)/25)*Calculateur!CG178*Calculateur!CI178*VLOOKUP('Données projet'!$B$12,Paramètres!$A$1:$I$89,3,0)*0.475*44/12</f>
        <v>0.62497309705453374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8.2341534063743644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-2.2700000000000009</v>
      </c>
      <c r="CT178" s="12">
        <f>IF('Données projet'!$A$140&gt;35,CT177+CS178-DB177,IF(A178&lt;'Données projet'!$A$140,$CQ$205^A178,IF(A178='Données projet'!$A$140,'Données projet'!$B$140,CT177+CS178-DB177)))</f>
        <v>393.47999999999934</v>
      </c>
      <c r="CU178" s="17">
        <f>CT178*VLOOKUP('Données projet'!$B$13,Paramètres!$A$1:$I$89,3,0)*VLOOKUP('Données projet'!$B$13,Paramètres!$A$1:$I$89,5,0)</f>
        <v>356.0207039999994</v>
      </c>
      <c r="CV178" s="13">
        <f t="shared" si="173"/>
        <v>82.801003433501791</v>
      </c>
      <c r="CW178" s="20">
        <f t="shared" si="174"/>
        <v>764.28114044668121</v>
      </c>
      <c r="CX178" s="59">
        <f t="shared" si="122"/>
        <v>1057.6144737800146</v>
      </c>
      <c r="CY178" s="59">
        <f ca="1">AVERAGE(OFFSET($CX$3,0,0,'Données projet'!$E$13+1,1))-AVERAGE(OFFSET($H$3,0,0,'Données projet'!$E$13+1,1))</f>
        <v>465.85201723917186</v>
      </c>
      <c r="CZ178" s="59">
        <f t="shared" si="150"/>
        <v>110.67325285686417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191.59623565834798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191.59623565834798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234.00000000000003</v>
      </c>
      <c r="AJ179" s="13">
        <f>AI179*VLOOKUP('Données projet'!$B$10,Paramètres!$A$1:$I$89,3,0)*VLOOKUP('Données projet'!$B$10,Paramètres!$A$1:$I$89,5,0)</f>
        <v>189.82080000000005</v>
      </c>
      <c r="AK179" s="13">
        <f t="shared" si="164"/>
        <v>47.500332100049796</v>
      </c>
      <c r="AL179" s="20">
        <f t="shared" si="165"/>
        <v>413.33430507425345</v>
      </c>
      <c r="AM179" s="59">
        <f t="shared" si="113"/>
        <v>706.66763840758676</v>
      </c>
      <c r="AN179" s="59">
        <f ca="1">AVERAGE(OFFSET($AM$3,0,0,'Données projet'!$E$10+1,1))-AVERAGE(OFFSET($H$3,0,0,'Données projet'!$E$10+1,1))</f>
        <v>181.20458942529478</v>
      </c>
      <c r="AO179" s="59">
        <f t="shared" si="144"/>
        <v>144.05254691566421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6.9149413215327566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6.9149413215327566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-2.2700000000000009</v>
      </c>
      <c r="BD179" s="12">
        <f>IF('Données projet'!$A$88&gt;35,BD178+BC179-BL178,IF(A179&lt;'Données projet'!$A$88,$BA$205^A179,IF(A179='Données projet'!$A$88,'Données projet'!$B$88,BD178+BC179-BL178)))</f>
        <v>391.20999999999935</v>
      </c>
      <c r="BE179" s="13">
        <f>BD179*VLOOKUP('Données projet'!$B$11,Paramètres!$A$1:$I$89,3,0)*VLOOKUP('Données projet'!$B$11,Paramètres!$A$1:$I$89,5,0)</f>
        <v>427.20131999999927</v>
      </c>
      <c r="BF179" s="13">
        <f t="shared" si="167"/>
        <v>97.270022829577471</v>
      </c>
      <c r="BG179" s="20">
        <f t="shared" si="168"/>
        <v>913.45425542817964</v>
      </c>
      <c r="BH179" s="59">
        <f t="shared" si="116"/>
        <v>1206.787588761513</v>
      </c>
      <c r="BI179" s="59">
        <f ca="1">AVERAGE(OFFSET($BH$3,0,0,'Données projet'!$E$11+1,1))-AVERAGE(OFFSET($H$3,0,0,'Données projet'!$E$11+1,1))</f>
        <v>584.62172669166989</v>
      </c>
      <c r="BJ179" s="59">
        <f t="shared" si="146"/>
        <v>141.28992520553197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226.70242282323559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226.70242282323559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326.09691594978824</v>
      </c>
      <c r="CE179" s="59">
        <f t="shared" si="148"/>
        <v>605.43570457920714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7.459968924595783</v>
      </c>
      <c r="CL179" s="21">
        <f>EXP(-LN(2)/25)*CL178+(1-EXP(-LN(2)/25))/(LN(2)/25)*Calculateur!CG179*Calculateur!CI179*VLOOKUP('Données projet'!$B$12,Paramètres!$A$1:$I$89,3,0)*0.475*44/12</f>
        <v>0.60788317484967069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8.067852099445453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-2.2700000000000009</v>
      </c>
      <c r="CT179" s="12">
        <f>IF('Données projet'!$A$140&gt;35,CT178+CS179-DB178,IF(A179&lt;'Données projet'!$A$140,$CQ$205^A179,IF(A179='Données projet'!$A$140,'Données projet'!$B$140,CT178+CS179-DB178)))</f>
        <v>391.20999999999935</v>
      </c>
      <c r="CU179" s="17">
        <f>CT179*VLOOKUP('Données projet'!$B$13,Paramètres!$A$1:$I$89,3,0)*VLOOKUP('Données projet'!$B$13,Paramètres!$A$1:$I$89,5,0)</f>
        <v>353.96680799999939</v>
      </c>
      <c r="CV179" s="13">
        <f t="shared" si="173"/>
        <v>82.378781676406732</v>
      </c>
      <c r="CW179" s="20">
        <f t="shared" si="174"/>
        <v>759.96856868640737</v>
      </c>
      <c r="CX179" s="59">
        <f t="shared" si="122"/>
        <v>1053.3019020197407</v>
      </c>
      <c r="CY179" s="59">
        <f ca="1">AVERAGE(OFFSET($CX$3,0,0,'Données projet'!$E$13+1,1))-AVERAGE(OFFSET($H$3,0,0,'Données projet'!$E$13+1,1))</f>
        <v>465.85201723917186</v>
      </c>
      <c r="CZ179" s="59">
        <f t="shared" si="150"/>
        <v>110.67325285686417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187.83915033925234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187.83915033925234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234.00000000000003</v>
      </c>
      <c r="AJ180" s="13">
        <f>AI180*VLOOKUP('Données projet'!$B$10,Paramètres!$A$1:$I$89,3,0)*VLOOKUP('Données projet'!$B$10,Paramètres!$A$1:$I$89,5,0)</f>
        <v>189.82080000000005</v>
      </c>
      <c r="AK180" s="13">
        <f t="shared" si="164"/>
        <v>47.500332100049796</v>
      </c>
      <c r="AL180" s="20">
        <f t="shared" si="165"/>
        <v>413.33430507425345</v>
      </c>
      <c r="AM180" s="59">
        <f t="shared" si="113"/>
        <v>706.66763840758676</v>
      </c>
      <c r="AN180" s="59">
        <f ca="1">AVERAGE(OFFSET($AM$3,0,0,'Données projet'!$E$10+1,1))-AVERAGE(OFFSET($H$3,0,0,'Données projet'!$E$10+1,1))</f>
        <v>181.20458942529478</v>
      </c>
      <c r="AO180" s="59">
        <f t="shared" si="144"/>
        <v>144.05254691566421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6.7793435399152422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6.7793435399152422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-2.2700000000000009</v>
      </c>
      <c r="BC180" s="12">
        <f t="array" ref="BC180">INDEX(BB:BB,MIN(IF(ISNUMBER(BB180:BB376),ROW(BB180:BB376),"")))</f>
        <v>-2.2700000000000009</v>
      </c>
      <c r="BD180" s="12">
        <f>IF('Données projet'!$A$88&gt;35,BD179+BC180-BL179,IF(A180&lt;'Données projet'!$A$88,$BA$205^A180,IF(A180='Données projet'!$A$88,'Données projet'!$B$88,BD179+BC180-BL179)))</f>
        <v>388.93999999999937</v>
      </c>
      <c r="BE180" s="13">
        <f>BD180*VLOOKUP('Données projet'!$B$11,Paramètres!$A$1:$I$89,3,0)*VLOOKUP('Données projet'!$B$11,Paramètres!$A$1:$I$89,5,0)</f>
        <v>424.72247999999928</v>
      </c>
      <c r="BF180" s="13">
        <f t="shared" si="167"/>
        <v>96.771141109016838</v>
      </c>
      <c r="BG180" s="20">
        <f t="shared" si="168"/>
        <v>908.26805676486958</v>
      </c>
      <c r="BH180" s="59">
        <f t="shared" si="116"/>
        <v>1201.601390098203</v>
      </c>
      <c r="BI180" s="59">
        <f ca="1">AVERAGE(OFFSET($BH$3,0,0,'Données projet'!$E$11+1,1))-AVERAGE(OFFSET($H$3,0,0,'Données projet'!$E$11+1,1))</f>
        <v>584.62172669166989</v>
      </c>
      <c r="BJ180" s="59">
        <f t="shared" si="146"/>
        <v>141.28992520553197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0.43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282.0502898866165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282.0502898866165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326.09691594978824</v>
      </c>
      <c r="CE180" s="59">
        <f t="shared" si="148"/>
        <v>605.43570457920714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7.3136834841162157</v>
      </c>
      <c r="CL180" s="21">
        <f>EXP(-LN(2)/25)*CL179+(1-EXP(-LN(2)/25))/(LN(2)/25)*Calculateur!CG180*Calculateur!CI180*VLOOKUP('Données projet'!$B$12,Paramètres!$A$1:$I$89,3,0)*0.475*44/12</f>
        <v>0.59126057746621963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7.9049440615824356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-2.2700000000000009</v>
      </c>
      <c r="CS180" s="12">
        <f t="array" ref="CS180">INDEX(CR:CR,MIN(IF(ISNUMBER(CR180:CR376),ROW(CR180:CR376),"")))</f>
        <v>-2.2700000000000009</v>
      </c>
      <c r="CT180" s="12">
        <f>IF('Données projet'!$A$140&gt;35,CT179+CS180-DB179,IF(A180&lt;'Données projet'!$A$140,$CQ$205^A180,IF(A180='Données projet'!$A$140,'Données projet'!$B$140,CT179+CS180-DB179)))</f>
        <v>388.93999999999937</v>
      </c>
      <c r="CU180" s="17">
        <f>CT180*VLOOKUP('Données projet'!$B$13,Paramètres!$A$1:$I$89,3,0)*VLOOKUP('Données projet'!$B$13,Paramètres!$A$1:$I$89,5,0)</f>
        <v>351.91291199999944</v>
      </c>
      <c r="CV180" s="13">
        <f t="shared" si="173"/>
        <v>81.956274647572045</v>
      </c>
      <c r="CW180" s="20">
        <f t="shared" si="174"/>
        <v>755.65550007785362</v>
      </c>
      <c r="CX180" s="59">
        <f t="shared" si="122"/>
        <v>1048.988833411187</v>
      </c>
      <c r="CY180" s="59">
        <f ca="1">AVERAGE(OFFSET($CX$3,0,0,'Données projet'!$E$13+1,1))-AVERAGE(OFFSET($H$3,0,0,'Données projet'!$E$13+1,1))</f>
        <v>465.85201723917186</v>
      </c>
      <c r="CZ180" s="59">
        <f t="shared" si="150"/>
        <v>110.67325285686417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0.43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233.6988116203394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233.6988116203394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234.00000000000003</v>
      </c>
      <c r="AJ181" s="13">
        <f>AI181*VLOOKUP('Données projet'!$B$10,Paramètres!$A$1:$I$89,3,0)*VLOOKUP('Données projet'!$B$10,Paramètres!$A$1:$I$89,5,0)</f>
        <v>189.82080000000005</v>
      </c>
      <c r="AK181" s="13">
        <f t="shared" si="164"/>
        <v>47.500332100049796</v>
      </c>
      <c r="AL181" s="20">
        <f t="shared" si="165"/>
        <v>413.33430507425345</v>
      </c>
      <c r="AM181" s="59">
        <f t="shared" si="113"/>
        <v>706.66763840758676</v>
      </c>
      <c r="AN181" s="59">
        <f ca="1">AVERAGE(OFFSET($AM$3,0,0,'Données projet'!$E$10+1,1))-AVERAGE(OFFSET($H$3,0,0,'Données projet'!$E$10+1,1))</f>
        <v>181.20458942529478</v>
      </c>
      <c r="AO181" s="59">
        <f t="shared" si="144"/>
        <v>144.05254691566421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6.6464047480887674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6.6464047480887674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-0.72999999999999921</v>
      </c>
      <c r="BD181" s="12">
        <f>IF('Données projet'!$A$88&gt;35,BD180+BC181-BL180,IF(A181&lt;'Données projet'!$A$88,$BA$205^A181,IF(A181='Données projet'!$A$88,'Données projet'!$B$88,BD180+BC181-BL180)))</f>
        <v>273.01999999999936</v>
      </c>
      <c r="BE181" s="13">
        <f>BD181*VLOOKUP('Données projet'!$B$11,Paramètres!$A$1:$I$89,3,0)*VLOOKUP('Données projet'!$B$11,Paramètres!$A$1:$I$89,5,0)</f>
        <v>298.1378399999993</v>
      </c>
      <c r="BF181" s="13">
        <f t="shared" si="167"/>
        <v>70.785941858098312</v>
      </c>
      <c r="BG181" s="20">
        <f t="shared" si="168"/>
        <v>642.54225340285336</v>
      </c>
      <c r="BH181" s="59">
        <f t="shared" si="116"/>
        <v>935.87558673618673</v>
      </c>
      <c r="BI181" s="59">
        <f ca="1">AVERAGE(OFFSET($BH$3,0,0,'Données projet'!$E$11+1,1))-AVERAGE(OFFSET($H$3,0,0,'Données projet'!$E$11+1,1))</f>
        <v>584.62172669166989</v>
      </c>
      <c r="BJ181" s="59">
        <f t="shared" si="146"/>
        <v>141.28992520553197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276.51945573562989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276.51945573562989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326.09691594978824</v>
      </c>
      <c r="CE181" s="59">
        <f t="shared" si="148"/>
        <v>605.43570457920714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7.1702666118991445</v>
      </c>
      <c r="CL181" s="21">
        <f>EXP(-LN(2)/25)*CL180+(1-EXP(-LN(2)/25))/(LN(2)/25)*Calculateur!CG181*Calculateur!CI181*VLOOKUP('Données projet'!$B$12,Paramètres!$A$1:$I$89,3,0)*0.475*44/12</f>
        <v>0.57509252588236348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7.7453591377815076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-0.72999999999999921</v>
      </c>
      <c r="CT181" s="12">
        <f>IF('Données projet'!$A$140&gt;35,CT180+CS181-DB180,IF(A181&lt;'Données projet'!$A$140,$CQ$205^A181,IF(A181='Données projet'!$A$140,'Données projet'!$B$140,CT180+CS181-DB180)))</f>
        <v>273.01999999999936</v>
      </c>
      <c r="CU181" s="17">
        <f>CT181*VLOOKUP('Données projet'!$B$13,Paramètres!$A$1:$I$89,3,0)*VLOOKUP('Données projet'!$B$13,Paramètres!$A$1:$I$89,5,0)</f>
        <v>247.02849599999942</v>
      </c>
      <c r="CV181" s="13">
        <f t="shared" si="173"/>
        <v>59.949195861748692</v>
      </c>
      <c r="CW181" s="20">
        <f t="shared" si="174"/>
        <v>534.6528133258779</v>
      </c>
      <c r="CX181" s="59">
        <f t="shared" si="122"/>
        <v>827.98614665921127</v>
      </c>
      <c r="CY181" s="59">
        <f ca="1">AVERAGE(OFFSET($CX$3,0,0,'Données projet'!$E$13+1,1))-AVERAGE(OFFSET($H$3,0,0,'Données projet'!$E$13+1,1))</f>
        <v>465.85201723917186</v>
      </c>
      <c r="CZ181" s="59">
        <f t="shared" si="150"/>
        <v>110.67325285686417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229.11612046666477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229.11612046666477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234.00000000000003</v>
      </c>
      <c r="AJ182" s="13">
        <f>AI182*VLOOKUP('Données projet'!$B$10,Paramètres!$A$1:$I$89,3,0)*VLOOKUP('Données projet'!$B$10,Paramètres!$A$1:$I$89,5,0)</f>
        <v>189.82080000000005</v>
      </c>
      <c r="AK182" s="13">
        <f t="shared" si="164"/>
        <v>47.500332100049796</v>
      </c>
      <c r="AL182" s="20">
        <f t="shared" si="165"/>
        <v>413.33430507425345</v>
      </c>
      <c r="AM182" s="59">
        <f t="shared" si="113"/>
        <v>706.66763840758676</v>
      </c>
      <c r="AN182" s="59">
        <f ca="1">AVERAGE(OFFSET($AM$3,0,0,'Données projet'!$E$10+1,1))-AVERAGE(OFFSET($H$3,0,0,'Données projet'!$E$10+1,1))</f>
        <v>181.20458942529478</v>
      </c>
      <c r="AO182" s="59">
        <f t="shared" si="144"/>
        <v>144.05254691566421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6.5160728048853533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6.5160728048853533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-0.72999999999999921</v>
      </c>
      <c r="BD182" s="12">
        <f>IF('Données projet'!$A$88&gt;35,BD181+BC182-BL181,IF(A182&lt;'Données projet'!$A$88,$BA$205^A182,IF(A182='Données projet'!$A$88,'Données projet'!$B$88,BD181+BC182-BL181)))</f>
        <v>272.28999999999934</v>
      </c>
      <c r="BE182" s="13">
        <f>BD182*VLOOKUP('Données projet'!$B$11,Paramètres!$A$1:$I$89,3,0)*VLOOKUP('Données projet'!$B$11,Paramètres!$A$1:$I$89,5,0)</f>
        <v>297.34067999999928</v>
      </c>
      <c r="BF182" s="13">
        <f t="shared" si="167"/>
        <v>70.618679288340147</v>
      </c>
      <c r="BG182" s="20">
        <f t="shared" si="168"/>
        <v>640.86255076052453</v>
      </c>
      <c r="BH182" s="59">
        <f t="shared" si="116"/>
        <v>934.19588409385779</v>
      </c>
      <c r="BI182" s="59">
        <f ca="1">AVERAGE(OFFSET($BH$3,0,0,'Données projet'!$E$11+1,1))-AVERAGE(OFFSET($H$3,0,0,'Données projet'!$E$11+1,1))</f>
        <v>584.62172669166989</v>
      </c>
      <c r="BJ182" s="59">
        <f t="shared" si="146"/>
        <v>141.28992520553197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271.09707786886838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271.09707786886838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326.09691594978824</v>
      </c>
      <c r="CE182" s="59">
        <f t="shared" si="148"/>
        <v>605.43570457920714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7.0296620570705954</v>
      </c>
      <c r="CL182" s="21">
        <f>EXP(-LN(2)/25)*CL181+(1-EXP(-LN(2)/25))/(LN(2)/25)*Calculateur!CG182*Calculateur!CI182*VLOOKUP('Données projet'!$B$12,Paramètres!$A$1:$I$89,3,0)*0.475*44/12</f>
        <v>0.5593665905193087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7.5890286475899043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-0.72999999999999921</v>
      </c>
      <c r="CT182" s="12">
        <f>IF('Données projet'!$A$140&gt;35,CT181+CS182-DB181,IF(A182&lt;'Données projet'!$A$140,$CQ$205^A182,IF(A182='Données projet'!$A$140,'Données projet'!$B$140,CT181+CS182-DB181)))</f>
        <v>272.28999999999934</v>
      </c>
      <c r="CU182" s="17">
        <f>CT182*VLOOKUP('Données projet'!$B$13,Paramètres!$A$1:$I$89,3,0)*VLOOKUP('Données projet'!$B$13,Paramètres!$A$1:$I$89,5,0)</f>
        <v>246.36799199999939</v>
      </c>
      <c r="CV182" s="13">
        <f t="shared" si="173"/>
        <v>59.807539816896266</v>
      </c>
      <c r="CW182" s="20">
        <f t="shared" si="174"/>
        <v>533.25571791442655</v>
      </c>
      <c r="CX182" s="59">
        <f t="shared" si="122"/>
        <v>826.58905124775993</v>
      </c>
      <c r="CY182" s="59">
        <f ca="1">AVERAGE(OFFSET($CX$3,0,0,'Données projet'!$E$13+1,1))-AVERAGE(OFFSET($H$3,0,0,'Données projet'!$E$13+1,1))</f>
        <v>465.85201723917186</v>
      </c>
      <c r="CZ182" s="59">
        <f t="shared" si="150"/>
        <v>110.67325285686417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224.62329309134807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224.62329309134807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234.00000000000003</v>
      </c>
      <c r="AJ183" s="13">
        <f>AI183*VLOOKUP('Données projet'!$B$10,Paramètres!$A$1:$I$89,3,0)*VLOOKUP('Données projet'!$B$10,Paramètres!$A$1:$I$89,5,0)</f>
        <v>189.82080000000005</v>
      </c>
      <c r="AK183" s="13">
        <f t="shared" si="164"/>
        <v>47.500332100049796</v>
      </c>
      <c r="AL183" s="20">
        <f t="shared" si="165"/>
        <v>413.33430507425345</v>
      </c>
      <c r="AM183" s="59">
        <f t="shared" si="113"/>
        <v>706.66763840758676</v>
      </c>
      <c r="AN183" s="59">
        <f ca="1">AVERAGE(OFFSET($AM$3,0,0,'Données projet'!$E$10+1,1))-AVERAGE(OFFSET($H$3,0,0,'Données projet'!$E$10+1,1))</f>
        <v>181.20458942529478</v>
      </c>
      <c r="AO183" s="59">
        <f t="shared" si="144"/>
        <v>144.05254691566421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6.3882965915935221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6.3882965915935221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-0.72999999999999921</v>
      </c>
      <c r="BC183" s="12">
        <f t="array" ref="BC183">INDEX(BB:BB,MIN(IF(ISNUMBER(BB183:BB379),ROW(BB183:BB379),"")))</f>
        <v>-0.72999999999999921</v>
      </c>
      <c r="BD183" s="12">
        <f>IF('Données projet'!$A$88&gt;35,BD182+BC183-BL182,IF(A183&lt;'Données projet'!$A$88,$BA$205^A183,IF(A183='Données projet'!$A$88,'Données projet'!$B$88,BD182+BC183-BL182)))</f>
        <v>271.55999999999932</v>
      </c>
      <c r="BE183" s="13">
        <f>BD183*VLOOKUP('Données projet'!$B$11,Paramètres!$A$1:$I$89,3,0)*VLOOKUP('Données projet'!$B$11,Paramètres!$A$1:$I$89,5,0)</f>
        <v>296.54351999999921</v>
      </c>
      <c r="BF183" s="13">
        <f t="shared" si="167"/>
        <v>70.451364513686613</v>
      </c>
      <c r="BG183" s="20">
        <f t="shared" si="168"/>
        <v>639.18275719466931</v>
      </c>
      <c r="BH183" s="59">
        <f t="shared" si="116"/>
        <v>932.51609052800268</v>
      </c>
      <c r="BI183" s="59">
        <f ca="1">AVERAGE(OFFSET($BH$3,0,0,'Données projet'!$E$11+1,1))-AVERAGE(OFFSET($H$3,0,0,'Données projet'!$E$11+1,1))</f>
        <v>584.62172669166989</v>
      </c>
      <c r="BJ183" s="59">
        <f t="shared" si="146"/>
        <v>141.28992520553197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0.43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306.12429018700675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306.12429018700675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326.09691594978824</v>
      </c>
      <c r="CE183" s="59">
        <f t="shared" si="148"/>
        <v>605.43570457920714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6.8918146718019235</v>
      </c>
      <c r="CL183" s="21">
        <f>EXP(-LN(2)/25)*CL182+(1-EXP(-LN(2)/25))/(LN(2)/25)*Calculateur!CG183*Calculateur!CI183*VLOOKUP('Données projet'!$B$12,Paramètres!$A$1:$I$89,3,0)*0.475*44/12</f>
        <v>0.54407068168574768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7.435885353487671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-0.72999999999999921</v>
      </c>
      <c r="CS183" s="12">
        <f t="array" ref="CS183">INDEX(CR:CR,MIN(IF(ISNUMBER(CR183:CR379),ROW(CR183:CR379),"")))</f>
        <v>-0.72999999999999921</v>
      </c>
      <c r="CT183" s="12">
        <f>IF('Données projet'!$A$140&gt;35,CT182+CS183-DB182,IF(A183&lt;'Données projet'!$A$140,$CQ$205^A183,IF(A183='Données projet'!$A$140,'Données projet'!$B$140,CT182+CS183-DB182)))</f>
        <v>271.55999999999932</v>
      </c>
      <c r="CU183" s="17">
        <f>CT183*VLOOKUP('Données projet'!$B$13,Paramètres!$A$1:$I$89,3,0)*VLOOKUP('Données projet'!$B$13,Paramètres!$A$1:$I$89,5,0)</f>
        <v>245.70748799999936</v>
      </c>
      <c r="CV183" s="13">
        <f t="shared" si="173"/>
        <v>59.665839559288955</v>
      </c>
      <c r="CW183" s="20">
        <f t="shared" si="174"/>
        <v>531.85854549909379</v>
      </c>
      <c r="CX183" s="59">
        <f t="shared" si="122"/>
        <v>825.19187883242716</v>
      </c>
      <c r="CY183" s="59">
        <f ca="1">AVERAGE(OFFSET($CX$3,0,0,'Données projet'!$E$13+1,1))-AVERAGE(OFFSET($H$3,0,0,'Données projet'!$E$13+1,1))</f>
        <v>465.85201723917186</v>
      </c>
      <c r="CZ183" s="59">
        <f t="shared" si="150"/>
        <v>110.67325285686417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0.43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253.64584044066271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253.64584044066271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234.00000000000003</v>
      </c>
      <c r="AJ184" s="13">
        <f>AI184*VLOOKUP('Données projet'!$B$10,Paramètres!$A$1:$I$89,3,0)*VLOOKUP('Données projet'!$B$10,Paramètres!$A$1:$I$89,5,0)</f>
        <v>189.82080000000005</v>
      </c>
      <c r="AK184" s="13">
        <f t="shared" si="164"/>
        <v>47.500332100049796</v>
      </c>
      <c r="AL184" s="20">
        <f t="shared" si="165"/>
        <v>413.33430507425345</v>
      </c>
      <c r="AM184" s="59">
        <f t="shared" si="113"/>
        <v>706.66763840758676</v>
      </c>
      <c r="AN184" s="59">
        <f ca="1">AVERAGE(OFFSET($AM$3,0,0,'Données projet'!$E$10+1,1))-AVERAGE(OFFSET($H$3,0,0,'Données projet'!$E$10+1,1))</f>
        <v>181.20458942529478</v>
      </c>
      <c r="AO184" s="59">
        <f t="shared" si="144"/>
        <v>144.05254691566421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6.2630259919085489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6.2630259919085489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-0.79000000000000148</v>
      </c>
      <c r="BD184" s="12">
        <f>IF('Données projet'!$A$88&gt;35,BD183+BC184-BL183,IF(A184&lt;'Données projet'!$A$88,$BA$205^A184,IF(A184='Données projet'!$A$88,'Données projet'!$B$88,BD183+BC184-BL183)))</f>
        <v>193.0499999999993</v>
      </c>
      <c r="BE184" s="13">
        <f>BD184*VLOOKUP('Données projet'!$B$11,Paramètres!$A$1:$I$89,3,0)*VLOOKUP('Données projet'!$B$11,Paramètres!$A$1:$I$89,5,0)</f>
        <v>210.81059999999923</v>
      </c>
      <c r="BF184" s="13">
        <f t="shared" si="167"/>
        <v>52.112682455677025</v>
      </c>
      <c r="BG184" s="20">
        <f t="shared" si="168"/>
        <v>457.92471694363616</v>
      </c>
      <c r="BH184" s="59">
        <f t="shared" si="116"/>
        <v>751.25805027696947</v>
      </c>
      <c r="BI184" s="59">
        <f ca="1">AVERAGE(OFFSET($BH$3,0,0,'Données projet'!$E$11+1,1))-AVERAGE(OFFSET($H$3,0,0,'Données projet'!$E$11+1,1))</f>
        <v>584.62172669166989</v>
      </c>
      <c r="BJ184" s="59">
        <f t="shared" si="146"/>
        <v>141.28992520553197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300.12137957381975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300.12137957381975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326.09691594978824</v>
      </c>
      <c r="CE184" s="59">
        <f t="shared" si="148"/>
        <v>605.43570457920714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6.7566703896797673</v>
      </c>
      <c r="CL184" s="21">
        <f>EXP(-LN(2)/25)*CL183+(1-EXP(-LN(2)/25))/(LN(2)/25)*Calculateur!CG184*Calculateur!CI184*VLOOKUP('Données projet'!$B$12,Paramètres!$A$1:$I$89,3,0)*0.475*44/12</f>
        <v>0.52919304028361724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7.2858634299633849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-0.79000000000000148</v>
      </c>
      <c r="CT184" s="12">
        <f>IF('Données projet'!$A$140&gt;35,CT183+CS184-DB183,IF(A184&lt;'Données projet'!$A$140,$CQ$205^A184,IF(A184='Données projet'!$A$140,'Données projet'!$B$140,CT183+CS184-DB183)))</f>
        <v>193.0499999999993</v>
      </c>
      <c r="CU184" s="17">
        <f>CT184*VLOOKUP('Données projet'!$B$13,Paramètres!$A$1:$I$89,3,0)*VLOOKUP('Données projet'!$B$13,Paramètres!$A$1:$I$89,5,0)</f>
        <v>174.67163999999934</v>
      </c>
      <c r="CV184" s="13">
        <f t="shared" si="173"/>
        <v>44.134659021409632</v>
      </c>
      <c r="CW184" s="20">
        <f t="shared" si="174"/>
        <v>381.0876374622872</v>
      </c>
      <c r="CX184" s="59">
        <f t="shared" si="122"/>
        <v>674.42097079562052</v>
      </c>
      <c r="CY184" s="59">
        <f ca="1">AVERAGE(OFFSET($CX$3,0,0,'Données projet'!$E$13+1,1))-AVERAGE(OFFSET($H$3,0,0,'Données projet'!$E$13+1,1))</f>
        <v>465.85201723917186</v>
      </c>
      <c r="CZ184" s="59">
        <f t="shared" si="150"/>
        <v>110.67325285686417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248.67200021830777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248.67200021830777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234.00000000000003</v>
      </c>
      <c r="AJ185" s="13">
        <f>AI185*VLOOKUP('Données projet'!$B$10,Paramètres!$A$1:$I$89,3,0)*VLOOKUP('Données projet'!$B$10,Paramètres!$A$1:$I$89,5,0)</f>
        <v>189.82080000000005</v>
      </c>
      <c r="AK185" s="13">
        <f t="shared" si="164"/>
        <v>47.500332100049796</v>
      </c>
      <c r="AL185" s="20">
        <f t="shared" si="165"/>
        <v>413.33430507425345</v>
      </c>
      <c r="AM185" s="59">
        <f t="shared" si="113"/>
        <v>706.66763840758676</v>
      </c>
      <c r="AN185" s="59">
        <f ca="1">AVERAGE(OFFSET($AM$3,0,0,'Données projet'!$E$10+1,1))-AVERAGE(OFFSET($H$3,0,0,'Données projet'!$E$10+1,1))</f>
        <v>181.20458942529478</v>
      </c>
      <c r="AO185" s="59">
        <f t="shared" si="144"/>
        <v>144.05254691566421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6.1402118722758772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6.1402118722758772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-0.79000000000000148</v>
      </c>
      <c r="BD185" s="12">
        <f>IF('Données projet'!$A$88&gt;35,BD184+BC185-BL184,IF(A185&lt;'Données projet'!$A$88,$BA$205^A185,IF(A185='Données projet'!$A$88,'Données projet'!$B$88,BD184+BC185-BL184)))</f>
        <v>192.25999999999931</v>
      </c>
      <c r="BE185" s="13">
        <f>BD185*VLOOKUP('Données projet'!$B$11,Paramètres!$A$1:$I$89,3,0)*VLOOKUP('Données projet'!$B$11,Paramètres!$A$1:$I$89,5,0)</f>
        <v>209.94791999999924</v>
      </c>
      <c r="BF185" s="13">
        <f t="shared" si="167"/>
        <v>51.924204743706142</v>
      </c>
      <c r="BG185" s="20">
        <f t="shared" si="168"/>
        <v>456.09395059528691</v>
      </c>
      <c r="BH185" s="59">
        <f t="shared" si="116"/>
        <v>749.42728392862023</v>
      </c>
      <c r="BI185" s="59">
        <f ca="1">AVERAGE(OFFSET($BH$3,0,0,'Données projet'!$E$11+1,1))-AVERAGE(OFFSET($H$3,0,0,'Données projet'!$E$11+1,1))</f>
        <v>584.62172669166989</v>
      </c>
      <c r="BJ185" s="59">
        <f t="shared" si="146"/>
        <v>141.28992520553197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294.23618237634344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294.23618237634344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326.09691594978824</v>
      </c>
      <c r="CE185" s="59">
        <f t="shared" si="148"/>
        <v>605.43570457920714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6.624176204500154</v>
      </c>
      <c r="CL185" s="21">
        <f>EXP(-LN(2)/25)*CL184+(1-EXP(-LN(2)/25))/(LN(2)/25)*Calculateur!CG185*Calculateur!CI185*VLOOKUP('Données projet'!$B$12,Paramètres!$A$1:$I$89,3,0)*0.475*44/12</f>
        <v>0.51472222876800922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7.1388984332681629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-0.79000000000000148</v>
      </c>
      <c r="CT185" s="12">
        <f>IF('Données projet'!$A$140&gt;35,CT184+CS185-DB184,IF(A185&lt;'Données projet'!$A$140,$CQ$205^A185,IF(A185='Données projet'!$A$140,'Données projet'!$B$140,CT184+CS185-DB184)))</f>
        <v>192.25999999999931</v>
      </c>
      <c r="CU185" s="17">
        <f>CT185*VLOOKUP('Données projet'!$B$13,Paramètres!$A$1:$I$89,3,0)*VLOOKUP('Données projet'!$B$13,Paramètres!$A$1:$I$89,5,0)</f>
        <v>173.95684799999935</v>
      </c>
      <c r="CV185" s="13">
        <f t="shared" si="173"/>
        <v>43.975035698276209</v>
      </c>
      <c r="CW185" s="20">
        <f t="shared" si="174"/>
        <v>379.56469744116322</v>
      </c>
      <c r="CX185" s="59">
        <f t="shared" si="122"/>
        <v>672.89803077449653</v>
      </c>
      <c r="CY185" s="59">
        <f ca="1">AVERAGE(OFFSET($CX$3,0,0,'Données projet'!$E$13+1,1))-AVERAGE(OFFSET($H$3,0,0,'Données projet'!$E$13+1,1))</f>
        <v>465.85201723917186</v>
      </c>
      <c r="CZ185" s="59">
        <f t="shared" si="150"/>
        <v>110.67325285686417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243.79569396897023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243.79569396897023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234.00000000000003</v>
      </c>
      <c r="AJ186" s="13">
        <f>AI186*VLOOKUP('Données projet'!$B$10,Paramètres!$A$1:$I$89,3,0)*VLOOKUP('Données projet'!$B$10,Paramètres!$A$1:$I$89,5,0)</f>
        <v>189.82080000000005</v>
      </c>
      <c r="AK186" s="13">
        <f t="shared" si="164"/>
        <v>47.500332100049796</v>
      </c>
      <c r="AL186" s="20">
        <f t="shared" si="165"/>
        <v>413.33430507425345</v>
      </c>
      <c r="AM186" s="59">
        <f t="shared" si="113"/>
        <v>706.66763840758676</v>
      </c>
      <c r="AN186" s="59">
        <f ca="1">AVERAGE(OFFSET($AM$3,0,0,'Données projet'!$E$10+1,1))-AVERAGE(OFFSET($H$3,0,0,'Données projet'!$E$10+1,1))</f>
        <v>181.20458942529478</v>
      </c>
      <c r="AO186" s="59">
        <f t="shared" si="144"/>
        <v>144.05254691566421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6.0198060626199856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6.0198060626199856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-0.79000000000000148</v>
      </c>
      <c r="BC186" s="12">
        <f t="array" ref="BC186">INDEX(BB:BB,MIN(IF(ISNUMBER(BB186:BB382),ROW(BB186:BB382),"")))</f>
        <v>-0.79000000000000148</v>
      </c>
      <c r="BD186" s="12">
        <f>IF('Données projet'!$A$88&gt;35,BD185+BC186-BL185,IF(A186&lt;'Données projet'!$A$88,$BA$205^A186,IF(A186='Données projet'!$A$88,'Données projet'!$B$88,BD185+BC186-BL185)))</f>
        <v>191.46999999999932</v>
      </c>
      <c r="BE186" s="13">
        <f>BD186*VLOOKUP('Données projet'!$B$11,Paramètres!$A$1:$I$89,3,0)*VLOOKUP('Données projet'!$B$11,Paramètres!$A$1:$I$89,5,0)</f>
        <v>209.08523999999926</v>
      </c>
      <c r="BF186" s="13">
        <f t="shared" si="167"/>
        <v>51.735636862934903</v>
      </c>
      <c r="BG186" s="20">
        <f t="shared" si="168"/>
        <v>454.26302720294365</v>
      </c>
      <c r="BH186" s="59">
        <f t="shared" si="116"/>
        <v>747.59636053627696</v>
      </c>
      <c r="BI186" s="59">
        <f ca="1">AVERAGE(OFFSET($BH$3,0,0,'Données projet'!$E$11+1,1))-AVERAGE(OFFSET($H$3,0,0,'Données projet'!$E$11+1,1))</f>
        <v>584.62172669166989</v>
      </c>
      <c r="BJ186" s="59">
        <f t="shared" si="146"/>
        <v>141.28992520553197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0.43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376.58620412544815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376.58620412544815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326.09691594978824</v>
      </c>
      <c r="CE186" s="59">
        <f t="shared" si="148"/>
        <v>605.43570457920714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6.4942801494784392</v>
      </c>
      <c r="CL186" s="21">
        <f>EXP(-LN(2)/25)*CL185+(1-EXP(-LN(2)/25))/(LN(2)/25)*Calculateur!CG186*Calculateur!CI186*VLOOKUP('Données projet'!$B$12,Paramètres!$A$1:$I$89,3,0)*0.475*44/12</f>
        <v>0.50064712235428244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6.9949272718327213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-0.79000000000000148</v>
      </c>
      <c r="CS186" s="12">
        <f t="array" ref="CS186">INDEX(CR:CR,MIN(IF(ISNUMBER(CR186:CR382),ROW(CR186:CR382),"")))</f>
        <v>-0.79000000000000148</v>
      </c>
      <c r="CT186" s="12">
        <f>IF('Données projet'!$A$140&gt;35,CT185+CS186-DB185,IF(A186&lt;'Données projet'!$A$140,$CQ$205^A186,IF(A186='Données projet'!$A$140,'Données projet'!$B$140,CT185+CS186-DB185)))</f>
        <v>191.46999999999932</v>
      </c>
      <c r="CU186" s="17">
        <f>CT186*VLOOKUP('Données projet'!$B$13,Paramètres!$A$1:$I$89,3,0)*VLOOKUP('Données projet'!$B$13,Paramètres!$A$1:$I$89,5,0)</f>
        <v>173.24205599999939</v>
      </c>
      <c r="CV186" s="13">
        <f t="shared" si="173"/>
        <v>43.815336010444845</v>
      </c>
      <c r="CW186" s="20">
        <f t="shared" si="174"/>
        <v>378.04162441819039</v>
      </c>
      <c r="CX186" s="59">
        <f t="shared" si="122"/>
        <v>671.37495775152365</v>
      </c>
      <c r="CY186" s="59">
        <f ca="1">AVERAGE(OFFSET($CX$3,0,0,'Données projet'!$E$13+1,1))-AVERAGE(OFFSET($H$3,0,0,'Données projet'!$E$13+1,1))</f>
        <v>465.85201723917186</v>
      </c>
      <c r="CZ186" s="59">
        <f t="shared" si="150"/>
        <v>110.67325285686417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0.43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312.02856913251412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312.02856913251412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234.00000000000003</v>
      </c>
      <c r="AJ187" s="13">
        <f>AI187*VLOOKUP('Données projet'!$B$10,Paramètres!$A$1:$I$89,3,0)*VLOOKUP('Données projet'!$B$10,Paramètres!$A$1:$I$89,5,0)</f>
        <v>189.82080000000005</v>
      </c>
      <c r="AK187" s="13">
        <f t="shared" si="164"/>
        <v>47.500332100049796</v>
      </c>
      <c r="AL187" s="20">
        <f t="shared" si="165"/>
        <v>413.33430507425345</v>
      </c>
      <c r="AM187" s="59">
        <f t="shared" si="113"/>
        <v>706.66763840758676</v>
      </c>
      <c r="AN187" s="59">
        <f ca="1">AVERAGE(OFFSET($AM$3,0,0,'Données projet'!$E$10+1,1))-AVERAGE(OFFSET($H$3,0,0,'Données projet'!$E$10+1,1))</f>
        <v>181.20458942529478</v>
      </c>
      <c r="AO187" s="59">
        <f t="shared" si="144"/>
        <v>144.05254691566421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5.9017613374511537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5.9017613374511537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21.709999999999326</v>
      </c>
      <c r="BE187" s="13">
        <f>BD187*VLOOKUP('Données projet'!$B$11,Paramètres!$A$1:$I$89,3,0)*VLOOKUP('Données projet'!$B$11,Paramètres!$A$1:$I$89,5,0)</f>
        <v>23.707319999999264</v>
      </c>
      <c r="BF187" s="13">
        <f t="shared" si="167"/>
        <v>7.5578489536731341</v>
      </c>
      <c r="BG187" s="20">
        <f t="shared" si="168"/>
        <v>54.453502594312759</v>
      </c>
      <c r="BH187" s="59">
        <f t="shared" si="116"/>
        <v>347.78683592764605</v>
      </c>
      <c r="BI187" s="59">
        <f ca="1">AVERAGE(OFFSET($BH$3,0,0,'Données projet'!$E$11+1,1))-AVERAGE(OFFSET($H$3,0,0,'Données projet'!$E$11+1,1))</f>
        <v>584.62172669166989</v>
      </c>
      <c r="BJ187" s="59">
        <f t="shared" si="146"/>
        <v>141.28992520553197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369.20157835745215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369.20157835745215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326.09691594978824</v>
      </c>
      <c r="CE187" s="59">
        <f t="shared" si="148"/>
        <v>605.43570457920714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6.3669312768669304</v>
      </c>
      <c r="CL187" s="21">
        <f>EXP(-LN(2)/25)*CL186+(1-EXP(-LN(2)/25))/(LN(2)/25)*Calculateur!CG187*Calculateur!CI187*VLOOKUP('Données projet'!$B$12,Paramètres!$A$1:$I$89,3,0)*0.475*44/12</f>
        <v>0.48695690046561668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6.8538881773325473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21.709999999999326</v>
      </c>
      <c r="CU187" s="17">
        <f>CT187*VLOOKUP('Données projet'!$B$13,Paramètres!$A$1:$I$89,3,0)*VLOOKUP('Données projet'!$B$13,Paramètres!$A$1:$I$89,5,0)</f>
        <v>19.64320799999939</v>
      </c>
      <c r="CV187" s="13">
        <f t="shared" si="173"/>
        <v>6.4008043874806155</v>
      </c>
      <c r="CW187" s="20">
        <f t="shared" si="174"/>
        <v>45.359988241527674</v>
      </c>
      <c r="CX187" s="59">
        <f t="shared" si="122"/>
        <v>338.69332157486099</v>
      </c>
      <c r="CY187" s="59">
        <f ca="1">AVERAGE(OFFSET($CX$3,0,0,'Données projet'!$E$13+1,1))-AVERAGE(OFFSET($H$3,0,0,'Données projet'!$E$13+1,1))</f>
        <v>465.85201723917186</v>
      </c>
      <c r="CZ187" s="59">
        <f t="shared" si="150"/>
        <v>110.67325285686417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305.9098792104603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305.9098792104603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234.00000000000003</v>
      </c>
      <c r="AJ188" s="13">
        <f>AI188*VLOOKUP('Données projet'!$B$10,Paramètres!$A$1:$I$89,3,0)*VLOOKUP('Données projet'!$B$10,Paramètres!$A$1:$I$89,5,0)</f>
        <v>189.82080000000005</v>
      </c>
      <c r="AK188" s="13">
        <f t="shared" si="164"/>
        <v>47.500332100049796</v>
      </c>
      <c r="AL188" s="20">
        <f t="shared" si="165"/>
        <v>413.33430507425345</v>
      </c>
      <c r="AM188" s="59">
        <f t="shared" si="113"/>
        <v>706.66763840758676</v>
      </c>
      <c r="AN188" s="59">
        <f ca="1">AVERAGE(OFFSET($AM$3,0,0,'Données projet'!$E$10+1,1))-AVERAGE(OFFSET($H$3,0,0,'Données projet'!$E$10+1,1))</f>
        <v>181.20458942529478</v>
      </c>
      <c r="AO188" s="59">
        <f t="shared" si="144"/>
        <v>144.05254691566421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5.7860313973427093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5.7860313973427093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21.709999999999326</v>
      </c>
      <c r="BE188" s="13">
        <f>BD188*VLOOKUP('Données projet'!$B$11,Paramètres!$A$1:$I$89,3,0)*VLOOKUP('Données projet'!$B$11,Paramètres!$A$1:$I$89,5,0)</f>
        <v>23.707319999999264</v>
      </c>
      <c r="BF188" s="13">
        <f t="shared" si="167"/>
        <v>7.5578489536731341</v>
      </c>
      <c r="BG188" s="20">
        <f t="shared" si="168"/>
        <v>54.453502594312759</v>
      </c>
      <c r="BH188" s="59">
        <f t="shared" si="116"/>
        <v>347.78683592764605</v>
      </c>
      <c r="BI188" s="59">
        <f ca="1">AVERAGE(OFFSET($BH$3,0,0,'Données projet'!$E$11+1,1))-AVERAGE(OFFSET($H$3,0,0,'Données projet'!$E$11+1,1))</f>
        <v>584.62172669166989</v>
      </c>
      <c r="BJ188" s="59">
        <f t="shared" si="146"/>
        <v>141.28992520553197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361.96176059658956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361.96176059658956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326.09691594978824</v>
      </c>
      <c r="CE188" s="59">
        <f t="shared" si="148"/>
        <v>605.43570457920714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6.2420796379721901</v>
      </c>
      <c r="CL188" s="21">
        <f>EXP(-LN(2)/25)*CL187+(1-EXP(-LN(2)/25))/(LN(2)/25)*Calculateur!CG188*Calculateur!CI188*VLOOKUP('Données projet'!$B$12,Paramètres!$A$1:$I$89,3,0)*0.475*44/12</f>
        <v>0.47364103841443395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6.7157206763866242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21.709999999999326</v>
      </c>
      <c r="CU188" s="17">
        <f>CT188*VLOOKUP('Données projet'!$B$13,Paramètres!$A$1:$I$89,3,0)*VLOOKUP('Données projet'!$B$13,Paramètres!$A$1:$I$89,5,0)</f>
        <v>19.64320799999939</v>
      </c>
      <c r="CV188" s="13">
        <f t="shared" si="173"/>
        <v>6.4008043874806155</v>
      </c>
      <c r="CW188" s="20">
        <f t="shared" si="174"/>
        <v>45.359988241527674</v>
      </c>
      <c r="CX188" s="59">
        <f t="shared" si="122"/>
        <v>338.69332157486099</v>
      </c>
      <c r="CY188" s="59">
        <f ca="1">AVERAGE(OFFSET($CX$3,0,0,'Données projet'!$E$13+1,1))-AVERAGE(OFFSET($H$3,0,0,'Données projet'!$E$13+1,1))</f>
        <v>465.85201723917186</v>
      </c>
      <c r="CZ188" s="59">
        <f t="shared" si="150"/>
        <v>110.67325285686417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299.91117306574557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299.91117306574557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234.00000000000003</v>
      </c>
      <c r="AJ189" s="13">
        <f>AI189*VLOOKUP('Données projet'!$B$10,Paramètres!$A$1:$I$89,3,0)*VLOOKUP('Données projet'!$B$10,Paramètres!$A$1:$I$89,5,0)</f>
        <v>189.82080000000005</v>
      </c>
      <c r="AK189" s="13">
        <f t="shared" si="164"/>
        <v>47.500332100049796</v>
      </c>
      <c r="AL189" s="20">
        <f t="shared" si="165"/>
        <v>413.33430507425345</v>
      </c>
      <c r="AM189" s="59">
        <f t="shared" si="113"/>
        <v>706.66763840758676</v>
      </c>
      <c r="AN189" s="59">
        <f ca="1">AVERAGE(OFFSET($AM$3,0,0,'Données projet'!$E$10+1,1))-AVERAGE(OFFSET($H$3,0,0,'Données projet'!$E$10+1,1))</f>
        <v>181.20458942529478</v>
      </c>
      <c r="AO189" s="59">
        <f t="shared" si="144"/>
        <v>144.05254691566421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5.672570850771498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5.672570850771498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21.709999999999326</v>
      </c>
      <c r="BE189" s="13">
        <f>BD189*VLOOKUP('Données projet'!$B$11,Paramètres!$A$1:$I$89,3,0)*VLOOKUP('Données projet'!$B$11,Paramètres!$A$1:$I$89,5,0)</f>
        <v>23.707319999999264</v>
      </c>
      <c r="BF189" s="13">
        <f t="shared" si="167"/>
        <v>7.5578489536731341</v>
      </c>
      <c r="BG189" s="20">
        <f t="shared" si="168"/>
        <v>54.453502594312759</v>
      </c>
      <c r="BH189" s="59">
        <f t="shared" si="116"/>
        <v>347.78683592764605</v>
      </c>
      <c r="BI189" s="59">
        <f ca="1">AVERAGE(OFFSET($BH$3,0,0,'Données projet'!$E$11+1,1))-AVERAGE(OFFSET($H$3,0,0,'Données projet'!$E$11+1,1))</f>
        <v>584.62172669166989</v>
      </c>
      <c r="BJ189" s="59">
        <f t="shared" si="146"/>
        <v>141.28992520553197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354.86391124616472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354.86391124616472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326.09691594978824</v>
      </c>
      <c r="CE189" s="59">
        <f t="shared" si="148"/>
        <v>605.43570457920714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6.1196762635641955</v>
      </c>
      <c r="CL189" s="21">
        <f>EXP(-LN(2)/25)*CL188+(1-EXP(-LN(2)/25))/(LN(2)/25)*Calculateur!CG189*Calculateur!CI189*VLOOKUP('Données projet'!$B$12,Paramètres!$A$1:$I$89,3,0)*0.475*44/12</f>
        <v>0.46068929931129154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6.5803655628754871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21.709999999999326</v>
      </c>
      <c r="CU189" s="17">
        <f>CT189*VLOOKUP('Données projet'!$B$13,Paramètres!$A$1:$I$89,3,0)*VLOOKUP('Données projet'!$B$13,Paramètres!$A$1:$I$89,5,0)</f>
        <v>19.64320799999939</v>
      </c>
      <c r="CV189" s="13">
        <f t="shared" si="173"/>
        <v>6.4008043874806155</v>
      </c>
      <c r="CW189" s="20">
        <f t="shared" si="174"/>
        <v>45.359988241527674</v>
      </c>
      <c r="CX189" s="59">
        <f t="shared" si="122"/>
        <v>338.69332157486099</v>
      </c>
      <c r="CY189" s="59">
        <f ca="1">AVERAGE(OFFSET($CX$3,0,0,'Données projet'!$E$13+1,1))-AVERAGE(OFFSET($H$3,0,0,'Données projet'!$E$13+1,1))</f>
        <v>465.85201723917186</v>
      </c>
      <c r="CZ189" s="59">
        <f t="shared" si="150"/>
        <v>110.67325285686417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294.03009788967927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294.03009788967927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234.00000000000003</v>
      </c>
      <c r="AJ190" s="13">
        <f>AI190*VLOOKUP('Données projet'!$B$10,Paramètres!$A$1:$I$89,3,0)*VLOOKUP('Données projet'!$B$10,Paramètres!$A$1:$I$89,5,0)</f>
        <v>189.82080000000005</v>
      </c>
      <c r="AK190" s="13">
        <f t="shared" si="164"/>
        <v>47.500332100049796</v>
      </c>
      <c r="AL190" s="20">
        <f t="shared" si="165"/>
        <v>413.33430507425345</v>
      </c>
      <c r="AM190" s="59">
        <f t="shared" si="113"/>
        <v>706.66763840758676</v>
      </c>
      <c r="AN190" s="59">
        <f ca="1">AVERAGE(OFFSET($AM$3,0,0,'Données projet'!$E$10+1,1))-AVERAGE(OFFSET($H$3,0,0,'Données projet'!$E$10+1,1))</f>
        <v>181.20458942529478</v>
      </c>
      <c r="AO190" s="59">
        <f t="shared" si="144"/>
        <v>144.05254691566421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5.5613351963144488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5.5613351963144488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21.709999999999326</v>
      </c>
      <c r="BE190" s="13">
        <f>BD190*VLOOKUP('Données projet'!$B$11,Paramètres!$A$1:$I$89,3,0)*VLOOKUP('Données projet'!$B$11,Paramètres!$A$1:$I$89,5,0)</f>
        <v>23.707319999999264</v>
      </c>
      <c r="BF190" s="13">
        <f t="shared" si="167"/>
        <v>7.5578489536731341</v>
      </c>
      <c r="BG190" s="20">
        <f t="shared" si="168"/>
        <v>54.453502594312759</v>
      </c>
      <c r="BH190" s="59">
        <f t="shared" si="116"/>
        <v>347.78683592764605</v>
      </c>
      <c r="BI190" s="59">
        <f ca="1">AVERAGE(OFFSET($BH$3,0,0,'Données projet'!$E$11+1,1))-AVERAGE(OFFSET($H$3,0,0,'Données projet'!$E$11+1,1))</f>
        <v>584.62172669166989</v>
      </c>
      <c r="BJ190" s="59">
        <f t="shared" si="146"/>
        <v>141.28992520553197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347.90524639224105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347.90524639224105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326.09691594978824</v>
      </c>
      <c r="CE190" s="59">
        <f t="shared" si="148"/>
        <v>605.43570457920714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5.9996731446696554</v>
      </c>
      <c r="CL190" s="21">
        <f>EXP(-LN(2)/25)*CL189+(1-EXP(-LN(2)/25))/(LN(2)/25)*Calculateur!CG190*Calculateur!CI190*VLOOKUP('Données projet'!$B$12,Paramètres!$A$1:$I$89,3,0)*0.475*44/12</f>
        <v>0.44809172619502696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6.447764870864682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21.709999999999326</v>
      </c>
      <c r="CU190" s="17">
        <f>CT190*VLOOKUP('Données projet'!$B$13,Paramètres!$A$1:$I$89,3,0)*VLOOKUP('Données projet'!$B$13,Paramètres!$A$1:$I$89,5,0)</f>
        <v>19.64320799999939</v>
      </c>
      <c r="CV190" s="13">
        <f t="shared" si="173"/>
        <v>6.4008043874806155</v>
      </c>
      <c r="CW190" s="20">
        <f t="shared" si="174"/>
        <v>45.359988241527674</v>
      </c>
      <c r="CX190" s="59">
        <f t="shared" si="122"/>
        <v>338.69332157486099</v>
      </c>
      <c r="CY190" s="59">
        <f ca="1">AVERAGE(OFFSET($CX$3,0,0,'Données projet'!$E$13+1,1))-AVERAGE(OFFSET($H$3,0,0,'Données projet'!$E$13+1,1))</f>
        <v>465.85201723917186</v>
      </c>
      <c r="CZ190" s="59">
        <f t="shared" si="150"/>
        <v>110.67325285686417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288.26434701071395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288.26434701071395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234.00000000000003</v>
      </c>
      <c r="AJ191" s="13">
        <f>AI191*VLOOKUP('Données projet'!$B$10,Paramètres!$A$1:$I$89,3,0)*VLOOKUP('Données projet'!$B$10,Paramètres!$A$1:$I$89,5,0)</f>
        <v>189.82080000000005</v>
      </c>
      <c r="AK191" s="13">
        <f t="shared" si="164"/>
        <v>47.500332100049796</v>
      </c>
      <c r="AL191" s="20">
        <f t="shared" si="165"/>
        <v>413.33430507425345</v>
      </c>
      <c r="AM191" s="59">
        <f t="shared" si="113"/>
        <v>706.66763840758676</v>
      </c>
      <c r="AN191" s="59">
        <f ca="1">AVERAGE(OFFSET($AM$3,0,0,'Données projet'!$E$10+1,1))-AVERAGE(OFFSET($H$3,0,0,'Données projet'!$E$10+1,1))</f>
        <v>181.20458942529478</v>
      </c>
      <c r="AO191" s="59">
        <f t="shared" si="144"/>
        <v>144.05254691566421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5.4522808051942526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5.4522808051942526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21.709999999999326</v>
      </c>
      <c r="BE191" s="13">
        <f>BD191*VLOOKUP('Données projet'!$B$11,Paramètres!$A$1:$I$89,3,0)*VLOOKUP('Données projet'!$B$11,Paramètres!$A$1:$I$89,5,0)</f>
        <v>23.707319999999264</v>
      </c>
      <c r="BF191" s="13">
        <f t="shared" si="167"/>
        <v>7.5578489536731341</v>
      </c>
      <c r="BG191" s="20">
        <f t="shared" si="168"/>
        <v>54.453502594312759</v>
      </c>
      <c r="BH191" s="59">
        <f t="shared" si="116"/>
        <v>347.78683592764605</v>
      </c>
      <c r="BI191" s="59">
        <f ca="1">AVERAGE(OFFSET($BH$3,0,0,'Données projet'!$E$11+1,1))-AVERAGE(OFFSET($H$3,0,0,'Données projet'!$E$11+1,1))</f>
        <v>584.62172669166989</v>
      </c>
      <c r="BJ191" s="59">
        <f t="shared" si="146"/>
        <v>141.28992520553197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341.08303671173638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341.08303671173638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326.09691594978824</v>
      </c>
      <c r="CE191" s="59">
        <f t="shared" si="148"/>
        <v>605.43570457920714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5.8820232137419621</v>
      </c>
      <c r="CL191" s="21">
        <f>EXP(-LN(2)/25)*CL190+(1-EXP(-LN(2)/25))/(LN(2)/25)*Calculateur!CG191*Calculateur!CI191*VLOOKUP('Données projet'!$B$12,Paramètres!$A$1:$I$89,3,0)*0.475*44/12</f>
        <v>0.43583863437810422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6.3178618481200663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21.709999999999326</v>
      </c>
      <c r="CU191" s="17">
        <f>CT191*VLOOKUP('Données projet'!$B$13,Paramètres!$A$1:$I$89,3,0)*VLOOKUP('Données projet'!$B$13,Paramètres!$A$1:$I$89,5,0)</f>
        <v>19.64320799999939</v>
      </c>
      <c r="CV191" s="13">
        <f t="shared" si="173"/>
        <v>6.4008043874806155</v>
      </c>
      <c r="CW191" s="20">
        <f t="shared" si="174"/>
        <v>45.359988241527674</v>
      </c>
      <c r="CX191" s="59">
        <f t="shared" si="122"/>
        <v>338.69332157486099</v>
      </c>
      <c r="CY191" s="59">
        <f ca="1">AVERAGE(OFFSET($CX$3,0,0,'Données projet'!$E$13+1,1))-AVERAGE(OFFSET($H$3,0,0,'Données projet'!$E$13+1,1))</f>
        <v>465.85201723917186</v>
      </c>
      <c r="CZ191" s="59">
        <f t="shared" si="150"/>
        <v>110.67325285686417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282.61165898972433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282.61165898972433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234.00000000000003</v>
      </c>
      <c r="AJ192" s="13">
        <f>AI192*VLOOKUP('Données projet'!$B$10,Paramètres!$A$1:$I$89,3,0)*VLOOKUP('Données projet'!$B$10,Paramètres!$A$1:$I$89,5,0)</f>
        <v>189.82080000000005</v>
      </c>
      <c r="AK192" s="13">
        <f t="shared" si="164"/>
        <v>47.500332100049796</v>
      </c>
      <c r="AL192" s="20">
        <f t="shared" si="165"/>
        <v>413.33430507425345</v>
      </c>
      <c r="AM192" s="59">
        <f t="shared" si="113"/>
        <v>706.66763840758676</v>
      </c>
      <c r="AN192" s="59">
        <f ca="1">AVERAGE(OFFSET($AM$3,0,0,'Données projet'!$E$10+1,1))-AVERAGE(OFFSET($H$3,0,0,'Données projet'!$E$10+1,1))</f>
        <v>181.20458942529478</v>
      </c>
      <c r="AO192" s="59">
        <f t="shared" si="144"/>
        <v>144.05254691566421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5.3453649041673126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5.3453649041673126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21.709999999999326</v>
      </c>
      <c r="BE192" s="13">
        <f>BD192*VLOOKUP('Données projet'!$B$11,Paramètres!$A$1:$I$89,3,0)*VLOOKUP('Données projet'!$B$11,Paramètres!$A$1:$I$89,5,0)</f>
        <v>23.707319999999264</v>
      </c>
      <c r="BF192" s="13">
        <f t="shared" si="167"/>
        <v>7.5578489536731341</v>
      </c>
      <c r="BG192" s="20">
        <f t="shared" si="168"/>
        <v>54.453502594312759</v>
      </c>
      <c r="BH192" s="59">
        <f t="shared" si="116"/>
        <v>347.78683592764605</v>
      </c>
      <c r="BI192" s="59">
        <f ca="1">AVERAGE(OFFSET($BH$3,0,0,'Données projet'!$E$11+1,1))-AVERAGE(OFFSET($H$3,0,0,'Données projet'!$E$11+1,1))</f>
        <v>584.62172669166989</v>
      </c>
      <c r="BJ192" s="59">
        <f t="shared" si="146"/>
        <v>141.28992520553197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334.39460640192937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334.39460640192937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326.09691594978824</v>
      </c>
      <c r="CE192" s="59">
        <f t="shared" si="148"/>
        <v>605.43570457920714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5.7666803262003885</v>
      </c>
      <c r="CL192" s="21">
        <f>EXP(-LN(2)/25)*CL191+(1-EXP(-LN(2)/25))/(LN(2)/25)*Calculateur!CG192*Calculateur!CI192*VLOOKUP('Données projet'!$B$12,Paramètres!$A$1:$I$89,3,0)*0.475*44/12</f>
        <v>0.42392060400127729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6.1906009302016658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21.709999999999326</v>
      </c>
      <c r="CU192" s="17">
        <f>CT192*VLOOKUP('Données projet'!$B$13,Paramètres!$A$1:$I$89,3,0)*VLOOKUP('Données projet'!$B$13,Paramètres!$A$1:$I$89,5,0)</f>
        <v>19.64320799999939</v>
      </c>
      <c r="CV192" s="13">
        <f t="shared" si="173"/>
        <v>6.4008043874806155</v>
      </c>
      <c r="CW192" s="20">
        <f t="shared" si="174"/>
        <v>45.359988241527674</v>
      </c>
      <c r="CX192" s="59">
        <f t="shared" si="122"/>
        <v>338.69332157486099</v>
      </c>
      <c r="CY192" s="59">
        <f ca="1">AVERAGE(OFFSET($CX$3,0,0,'Données projet'!$E$13+1,1))-AVERAGE(OFFSET($H$3,0,0,'Données projet'!$E$13+1,1))</f>
        <v>465.85201723917186</v>
      </c>
      <c r="CZ192" s="59">
        <f t="shared" si="150"/>
        <v>110.67325285686417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277.0698167330271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277.0698167330271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234.00000000000003</v>
      </c>
      <c r="AJ193" s="13">
        <f>AI193*VLOOKUP('Données projet'!$B$10,Paramètres!$A$1:$I$89,3,0)*VLOOKUP('Données projet'!$B$10,Paramètres!$A$1:$I$89,5,0)</f>
        <v>189.82080000000005</v>
      </c>
      <c r="AK193" s="13">
        <f t="shared" si="164"/>
        <v>47.500332100049796</v>
      </c>
      <c r="AL193" s="20">
        <f t="shared" si="165"/>
        <v>413.33430507425345</v>
      </c>
      <c r="AM193" s="59">
        <f t="shared" si="113"/>
        <v>706.66763840758676</v>
      </c>
      <c r="AN193" s="59">
        <f ca="1">AVERAGE(OFFSET($AM$3,0,0,'Données projet'!$E$10+1,1))-AVERAGE(OFFSET($H$3,0,0,'Données projet'!$E$10+1,1))</f>
        <v>181.20458942529478</v>
      </c>
      <c r="AO193" s="59">
        <f t="shared" si="144"/>
        <v>144.05254691566421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5.2405455587472503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5.2405455587472503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21.709999999999326</v>
      </c>
      <c r="BE193" s="13">
        <f>BD193*VLOOKUP('Données projet'!$B$11,Paramètres!$A$1:$I$89,3,0)*VLOOKUP('Données projet'!$B$11,Paramètres!$A$1:$I$89,5,0)</f>
        <v>23.707319999999264</v>
      </c>
      <c r="BF193" s="13">
        <f t="shared" si="167"/>
        <v>7.5578489536731341</v>
      </c>
      <c r="BG193" s="20">
        <f t="shared" si="168"/>
        <v>54.453502594312759</v>
      </c>
      <c r="BH193" s="59">
        <f t="shared" si="116"/>
        <v>347.78683592764605</v>
      </c>
      <c r="BI193" s="59">
        <f ca="1">AVERAGE(OFFSET($BH$3,0,0,'Données projet'!$E$11+1,1))-AVERAGE(OFFSET($H$3,0,0,'Données projet'!$E$11+1,1))</f>
        <v>584.62172669166989</v>
      </c>
      <c r="BJ193" s="59">
        <f t="shared" si="146"/>
        <v>141.28992520553197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327.83733213095798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327.83733213095798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326.09691594978824</v>
      </c>
      <c r="CE193" s="59">
        <f t="shared" si="148"/>
        <v>605.43570457920714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5.6535992423312909</v>
      </c>
      <c r="CL193" s="21">
        <f>EXP(-LN(2)/25)*CL192+(1-EXP(-LN(2)/25))/(LN(2)/25)*Calculateur!CG193*Calculateur!CI193*VLOOKUP('Données projet'!$B$12,Paramètres!$A$1:$I$89,3,0)*0.475*44/12</f>
        <v>0.4123284727918467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6.0659277151231379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21.709999999999326</v>
      </c>
      <c r="CU193" s="17">
        <f>CT193*VLOOKUP('Données projet'!$B$13,Paramètres!$A$1:$I$89,3,0)*VLOOKUP('Données projet'!$B$13,Paramètres!$A$1:$I$89,5,0)</f>
        <v>19.64320799999939</v>
      </c>
      <c r="CV193" s="13">
        <f t="shared" si="173"/>
        <v>6.4008043874806155</v>
      </c>
      <c r="CW193" s="20">
        <f t="shared" si="174"/>
        <v>45.359988241527674</v>
      </c>
      <c r="CX193" s="59">
        <f t="shared" si="122"/>
        <v>338.69332157486099</v>
      </c>
      <c r="CY193" s="59">
        <f ca="1">AVERAGE(OFFSET($CX$3,0,0,'Données projet'!$E$13+1,1))-AVERAGE(OFFSET($H$3,0,0,'Données projet'!$E$13+1,1))</f>
        <v>465.85201723917186</v>
      </c>
      <c r="CZ193" s="59">
        <f t="shared" si="150"/>
        <v>110.67325285686417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271.63664662279371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271.63664662279371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234.00000000000003</v>
      </c>
      <c r="AJ194" s="13">
        <f>AI194*VLOOKUP('Données projet'!$B$10,Paramètres!$A$1:$I$89,3,0)*VLOOKUP('Données projet'!$B$10,Paramètres!$A$1:$I$89,5,0)</f>
        <v>189.82080000000005</v>
      </c>
      <c r="AK194" s="13">
        <f t="shared" si="164"/>
        <v>47.500332100049796</v>
      </c>
      <c r="AL194" s="20">
        <f t="shared" si="165"/>
        <v>413.33430507425345</v>
      </c>
      <c r="AM194" s="59">
        <f t="shared" si="113"/>
        <v>706.66763840758676</v>
      </c>
      <c r="AN194" s="59">
        <f ca="1">AVERAGE(OFFSET($AM$3,0,0,'Données projet'!$E$10+1,1))-AVERAGE(OFFSET($H$3,0,0,'Données projet'!$E$10+1,1))</f>
        <v>181.20458942529478</v>
      </c>
      <c r="AO194" s="59">
        <f t="shared" si="144"/>
        <v>144.05254691566421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5.1377816567573875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5.1377816567573875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21.709999999999326</v>
      </c>
      <c r="BE194" s="13">
        <f>BD194*VLOOKUP('Données projet'!$B$11,Paramètres!$A$1:$I$89,3,0)*VLOOKUP('Données projet'!$B$11,Paramètres!$A$1:$I$89,5,0)</f>
        <v>23.707319999999264</v>
      </c>
      <c r="BF194" s="13">
        <f t="shared" si="167"/>
        <v>7.5578489536731341</v>
      </c>
      <c r="BG194" s="20">
        <f t="shared" si="168"/>
        <v>54.453502594312759</v>
      </c>
      <c r="BH194" s="59">
        <f t="shared" si="116"/>
        <v>347.78683592764605</v>
      </c>
      <c r="BI194" s="59">
        <f ca="1">AVERAGE(OFFSET($BH$3,0,0,'Données projet'!$E$11+1,1))-AVERAGE(OFFSET($H$3,0,0,'Données projet'!$E$11+1,1))</f>
        <v>584.62172669166989</v>
      </c>
      <c r="BJ194" s="59">
        <f t="shared" si="146"/>
        <v>141.28992520553197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321.40864200889797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321.40864200889797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326.09691594978824</v>
      </c>
      <c r="CE194" s="59">
        <f t="shared" si="148"/>
        <v>605.43570457920714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5.5427356095442155</v>
      </c>
      <c r="CL194" s="21">
        <f>EXP(-LN(2)/25)*CL193+(1-EXP(-LN(2)/25))/(LN(2)/25)*Calculateur!CG194*Calculateur!CI194*VLOOKUP('Données projet'!$B$12,Paramètres!$A$1:$I$89,3,0)*0.475*44/12</f>
        <v>0.40105332901994167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5.9437889385641576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21.709999999999326</v>
      </c>
      <c r="CU194" s="17">
        <f>CT194*VLOOKUP('Données projet'!$B$13,Paramètres!$A$1:$I$89,3,0)*VLOOKUP('Données projet'!$B$13,Paramètres!$A$1:$I$89,5,0)</f>
        <v>19.64320799999939</v>
      </c>
      <c r="CV194" s="13">
        <f t="shared" si="173"/>
        <v>6.4008043874806155</v>
      </c>
      <c r="CW194" s="20">
        <f t="shared" si="174"/>
        <v>45.359988241527674</v>
      </c>
      <c r="CX194" s="59">
        <f t="shared" si="122"/>
        <v>338.69332157486099</v>
      </c>
      <c r="CY194" s="59">
        <f ca="1">AVERAGE(OFFSET($CX$3,0,0,'Données projet'!$E$13+1,1))-AVERAGE(OFFSET($H$3,0,0,'Données projet'!$E$13+1,1))</f>
        <v>465.85201723917186</v>
      </c>
      <c r="CZ194" s="59">
        <f t="shared" si="150"/>
        <v>110.67325285686417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266.31001766451544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266.31001766451544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234.00000000000003</v>
      </c>
      <c r="AJ195" s="13">
        <f>AI195*VLOOKUP('Données projet'!$B$10,Paramètres!$A$1:$I$89,3,0)*VLOOKUP('Données projet'!$B$10,Paramètres!$A$1:$I$89,5,0)</f>
        <v>189.82080000000005</v>
      </c>
      <c r="AK195" s="13">
        <f t="shared" si="164"/>
        <v>47.500332100049796</v>
      </c>
      <c r="AL195" s="20">
        <f t="shared" si="165"/>
        <v>413.33430507425345</v>
      </c>
      <c r="AM195" s="59">
        <f t="shared" si="113"/>
        <v>706.66763840758676</v>
      </c>
      <c r="AN195" s="59">
        <f ca="1">AVERAGE(OFFSET($AM$3,0,0,'Données projet'!$E$10+1,1))-AVERAGE(OFFSET($H$3,0,0,'Données projet'!$E$10+1,1))</f>
        <v>181.20458942529478</v>
      </c>
      <c r="AO195" s="59">
        <f t="shared" si="144"/>
        <v>144.05254691566421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5.0370328922057546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5.0370328922057546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21.709999999999326</v>
      </c>
      <c r="BE195" s="13">
        <f>BD195*VLOOKUP('Données projet'!$B$11,Paramètres!$A$1:$I$89,3,0)*VLOOKUP('Données projet'!$B$11,Paramètres!$A$1:$I$89,5,0)</f>
        <v>23.707319999999264</v>
      </c>
      <c r="BF195" s="13">
        <f t="shared" si="167"/>
        <v>7.5578489536731341</v>
      </c>
      <c r="BG195" s="20">
        <f t="shared" si="168"/>
        <v>54.453502594312759</v>
      </c>
      <c r="BH195" s="59">
        <f t="shared" si="116"/>
        <v>347.78683592764605</v>
      </c>
      <c r="BI195" s="59">
        <f ca="1">AVERAGE(OFFSET($BH$3,0,0,'Données projet'!$E$11+1,1))-AVERAGE(OFFSET($H$3,0,0,'Données projet'!$E$11+1,1))</f>
        <v>584.62172669166989</v>
      </c>
      <c r="BJ195" s="59">
        <f t="shared" si="146"/>
        <v>141.28992520553197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315.10601457901777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315.10601457901777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326.09691594978824</v>
      </c>
      <c r="CE195" s="59">
        <f t="shared" si="148"/>
        <v>605.43570457920714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5.4340459449759555</v>
      </c>
      <c r="CL195" s="21">
        <f>EXP(-LN(2)/25)*CL194+(1-EXP(-LN(2)/25))/(LN(2)/25)*Calculateur!CG195*Calculateur!CI195*VLOOKUP('Données projet'!$B$12,Paramètres!$A$1:$I$89,3,0)*0.475*44/12</f>
        <v>0.3900865046474134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5.8241324496233693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21.709999999999326</v>
      </c>
      <c r="CU195" s="17">
        <f>CT195*VLOOKUP('Données projet'!$B$13,Paramètres!$A$1:$I$89,3,0)*VLOOKUP('Données projet'!$B$13,Paramètres!$A$1:$I$89,5,0)</f>
        <v>19.64320799999939</v>
      </c>
      <c r="CV195" s="13">
        <f t="shared" si="173"/>
        <v>6.4008043874806155</v>
      </c>
      <c r="CW195" s="20">
        <f t="shared" si="174"/>
        <v>45.359988241527674</v>
      </c>
      <c r="CX195" s="59">
        <f t="shared" si="122"/>
        <v>338.69332157486099</v>
      </c>
      <c r="CY195" s="59">
        <f ca="1">AVERAGE(OFFSET($CX$3,0,0,'Données projet'!$E$13+1,1))-AVERAGE(OFFSET($H$3,0,0,'Données projet'!$E$13+1,1))</f>
        <v>465.85201723917186</v>
      </c>
      <c r="CZ195" s="59">
        <f t="shared" si="150"/>
        <v>110.67325285686417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261.08784065118613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261.08784065118613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234.00000000000003</v>
      </c>
      <c r="AJ196" s="13">
        <f>AI196*VLOOKUP('Données projet'!$B$10,Paramètres!$A$1:$I$89,3,0)*VLOOKUP('Données projet'!$B$10,Paramètres!$A$1:$I$89,5,0)</f>
        <v>189.82080000000005</v>
      </c>
      <c r="AK196" s="13">
        <f t="shared" si="164"/>
        <v>47.500332100049796</v>
      </c>
      <c r="AL196" s="20">
        <f t="shared" si="165"/>
        <v>413.33430507425345</v>
      </c>
      <c r="AM196" s="59">
        <f t="shared" ref="AM196:AM203" si="193">AL196+(AD196+AE196)*44/12</f>
        <v>706.66763840758676</v>
      </c>
      <c r="AN196" s="59">
        <f ca="1">AVERAGE(OFFSET($AM$3,0,0,'Données projet'!$E$10+1,1))-AVERAGE(OFFSET($H$3,0,0,'Données projet'!$E$10+1,1))</f>
        <v>181.20458942529478</v>
      </c>
      <c r="AO196" s="59">
        <f t="shared" si="144"/>
        <v>144.05254691566421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4.938259749476301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4.938259749476301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21.709999999999326</v>
      </c>
      <c r="BE196" s="13">
        <f>BD196*VLOOKUP('Données projet'!$B$11,Paramètres!$A$1:$I$89,3,0)*VLOOKUP('Données projet'!$B$11,Paramètres!$A$1:$I$89,5,0)</f>
        <v>23.707319999999264</v>
      </c>
      <c r="BF196" s="13">
        <f t="shared" si="167"/>
        <v>7.5578489536731341</v>
      </c>
      <c r="BG196" s="20">
        <f t="shared" si="168"/>
        <v>54.453502594312759</v>
      </c>
      <c r="BH196" s="59">
        <f t="shared" ref="BH196:BH203" si="194">BG196+(AY196+AZ196)*44/12</f>
        <v>347.78683592764605</v>
      </c>
      <c r="BI196" s="59">
        <f ca="1">AVERAGE(OFFSET($BH$3,0,0,'Données projet'!$E$11+1,1))-AVERAGE(OFFSET($H$3,0,0,'Données projet'!$E$11+1,1))</f>
        <v>584.62172669166989</v>
      </c>
      <c r="BJ196" s="59">
        <f t="shared" si="146"/>
        <v>141.28992520553197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308.92697782881436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308.92697782881436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326.09691594978824</v>
      </c>
      <c r="CE196" s="59">
        <f t="shared" si="148"/>
        <v>605.43570457920714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5.3274876184357298</v>
      </c>
      <c r="CL196" s="21">
        <f>EXP(-LN(2)/25)*CL195+(1-EXP(-LN(2)/25))/(LN(2)/25)*Calculateur!CG196*Calculateur!CI196*VLOOKUP('Données projet'!$B$12,Paramètres!$A$1:$I$89,3,0)*0.475*44/12</f>
        <v>0.37941956866407217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5.7069071870998016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21.709999999999326</v>
      </c>
      <c r="CU196" s="17">
        <f>CT196*VLOOKUP('Données projet'!$B$13,Paramètres!$A$1:$I$89,3,0)*VLOOKUP('Données projet'!$B$13,Paramètres!$A$1:$I$89,5,0)</f>
        <v>19.64320799999939</v>
      </c>
      <c r="CV196" s="13">
        <f t="shared" si="173"/>
        <v>6.4008043874806155</v>
      </c>
      <c r="CW196" s="20">
        <f t="shared" si="174"/>
        <v>45.359988241527674</v>
      </c>
      <c r="CX196" s="59">
        <f t="shared" ref="CX196:CX203" si="196">CW196+(CO196+CP196)*44/12</f>
        <v>338.69332157486099</v>
      </c>
      <c r="CY196" s="59">
        <f ca="1">AVERAGE(OFFSET($CX$3,0,0,'Données projet'!$E$13+1,1))-AVERAGE(OFFSET($H$3,0,0,'Données projet'!$E$13+1,1))</f>
        <v>465.85201723917186</v>
      </c>
      <c r="CZ196" s="59">
        <f t="shared" si="150"/>
        <v>110.67325285686417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255.96806734387474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255.96806734387474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234.00000000000003</v>
      </c>
      <c r="AJ197" s="13">
        <f>AI197*VLOOKUP('Données projet'!$B$10,Paramètres!$A$1:$I$89,3,0)*VLOOKUP('Données projet'!$B$10,Paramètres!$A$1:$I$89,5,0)</f>
        <v>189.82080000000005</v>
      </c>
      <c r="AK197" s="13">
        <f t="shared" si="164"/>
        <v>47.500332100049796</v>
      </c>
      <c r="AL197" s="20">
        <f t="shared" si="165"/>
        <v>413.33430507425345</v>
      </c>
      <c r="AM197" s="59">
        <f t="shared" si="193"/>
        <v>706.66763840758676</v>
      </c>
      <c r="AN197" s="59">
        <f ca="1">AVERAGE(OFFSET($AM$3,0,0,'Données projet'!$E$10+1,1))-AVERAGE(OFFSET($H$3,0,0,'Données projet'!$E$10+1,1))</f>
        <v>181.20458942529478</v>
      </c>
      <c r="AO197" s="59">
        <f t="shared" ref="AO197:AO203" si="205">$AO$3</f>
        <v>144.05254691566421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4.8414234878301032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4.8414234878301032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21.709999999999326</v>
      </c>
      <c r="BE197" s="13">
        <f>BD197*VLOOKUP('Données projet'!$B$11,Paramètres!$A$1:$I$89,3,0)*VLOOKUP('Données projet'!$B$11,Paramètres!$A$1:$I$89,5,0)</f>
        <v>23.707319999999264</v>
      </c>
      <c r="BF197" s="13">
        <f t="shared" si="167"/>
        <v>7.5578489536731341</v>
      </c>
      <c r="BG197" s="20">
        <f t="shared" si="168"/>
        <v>54.453502594312759</v>
      </c>
      <c r="BH197" s="59">
        <f t="shared" si="194"/>
        <v>347.78683592764605</v>
      </c>
      <c r="BI197" s="59">
        <f ca="1">AVERAGE(OFFSET($BH$3,0,0,'Données projet'!$E$11+1,1))-AVERAGE(OFFSET($H$3,0,0,'Données projet'!$E$11+1,1))</f>
        <v>584.62172669166989</v>
      </c>
      <c r="BJ197" s="59">
        <f t="shared" ref="BJ197:BJ203" si="206">$BJ$3</f>
        <v>141.28992520553197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302.86910822044217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302.86910822044217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326.09691594978824</v>
      </c>
      <c r="CE197" s="59">
        <f t="shared" ref="CE197:CE203" si="207">$CE$3</f>
        <v>605.43570457920714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5.2230188356847966</v>
      </c>
      <c r="CL197" s="21">
        <f>EXP(-LN(2)/25)*CL196+(1-EXP(-LN(2)/25))/(LN(2)/25)*Calculateur!CG197*Calculateur!CI197*VLOOKUP('Données projet'!$B$12,Paramètres!$A$1:$I$89,3,0)*0.475*44/12</f>
        <v>0.36904432060614517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5.5920631562909415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21.709999999999326</v>
      </c>
      <c r="CU197" s="17">
        <f>CT197*VLOOKUP('Données projet'!$B$13,Paramètres!$A$1:$I$89,3,0)*VLOOKUP('Données projet'!$B$13,Paramètres!$A$1:$I$89,5,0)</f>
        <v>19.64320799999939</v>
      </c>
      <c r="CV197" s="13">
        <f t="shared" si="173"/>
        <v>6.4008043874806155</v>
      </c>
      <c r="CW197" s="20">
        <f t="shared" si="174"/>
        <v>45.359988241527674</v>
      </c>
      <c r="CX197" s="59">
        <f t="shared" si="196"/>
        <v>338.69332157486099</v>
      </c>
      <c r="CY197" s="59">
        <f ca="1">AVERAGE(OFFSET($CX$3,0,0,'Données projet'!$E$13+1,1))-AVERAGE(OFFSET($H$3,0,0,'Données projet'!$E$13+1,1))</f>
        <v>465.85201723917186</v>
      </c>
      <c r="CZ197" s="59">
        <f t="shared" ref="CZ197:CZ203" si="208">$CZ$3</f>
        <v>110.67325285686417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250.94868966836637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250.94868966836637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234.00000000000003</v>
      </c>
      <c r="AJ198" s="13">
        <f>AI198*VLOOKUP('Données projet'!$B$10,Paramètres!$A$1:$I$89,3,0)*VLOOKUP('Données projet'!$B$10,Paramètres!$A$1:$I$89,5,0)</f>
        <v>189.82080000000005</v>
      </c>
      <c r="AK198" s="13">
        <f t="shared" si="164"/>
        <v>47.500332100049796</v>
      </c>
      <c r="AL198" s="20">
        <f t="shared" si="165"/>
        <v>413.33430507425345</v>
      </c>
      <c r="AM198" s="59">
        <f t="shared" si="193"/>
        <v>706.66763840758676</v>
      </c>
      <c r="AN198" s="59">
        <f ca="1">AVERAGE(OFFSET($AM$3,0,0,'Données projet'!$E$10+1,1))-AVERAGE(OFFSET($H$3,0,0,'Données projet'!$E$10+1,1))</f>
        <v>181.20458942529478</v>
      </c>
      <c r="AO198" s="59">
        <f t="shared" si="205"/>
        <v>144.05254691566421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4.7464861262104998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4.7464861262104998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21.709999999999326</v>
      </c>
      <c r="BE198" s="13">
        <f>BD198*VLOOKUP('Données projet'!$B$11,Paramètres!$A$1:$I$89,3,0)*VLOOKUP('Données projet'!$B$11,Paramètres!$A$1:$I$89,5,0)</f>
        <v>23.707319999999264</v>
      </c>
      <c r="BF198" s="13">
        <f t="shared" si="167"/>
        <v>7.5578489536731341</v>
      </c>
      <c r="BG198" s="20">
        <f t="shared" si="168"/>
        <v>54.453502594312759</v>
      </c>
      <c r="BH198" s="59">
        <f t="shared" si="194"/>
        <v>347.78683592764605</v>
      </c>
      <c r="BI198" s="59">
        <f ca="1">AVERAGE(OFFSET($BH$3,0,0,'Données projet'!$E$11+1,1))-AVERAGE(OFFSET($H$3,0,0,'Données projet'!$E$11+1,1))</f>
        <v>584.62172669166989</v>
      </c>
      <c r="BJ198" s="59">
        <f t="shared" si="206"/>
        <v>141.28992520553197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296.93002974015457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296.93002974015457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326.09691594978824</v>
      </c>
      <c r="CE198" s="59">
        <f t="shared" si="207"/>
        <v>605.43570457920714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5.1205986220439428</v>
      </c>
      <c r="CL198" s="21">
        <f>EXP(-LN(2)/25)*CL197+(1-EXP(-LN(2)/25))/(LN(2)/25)*Calculateur!CG198*Calculateur!CI198*VLOOKUP('Données projet'!$B$12,Paramètres!$A$1:$I$89,3,0)*0.475*44/12</f>
        <v>0.35895278425197275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5.4795514062959159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21.709999999999326</v>
      </c>
      <c r="CU198" s="17">
        <f>CT198*VLOOKUP('Données projet'!$B$13,Paramètres!$A$1:$I$89,3,0)*VLOOKUP('Données projet'!$B$13,Paramètres!$A$1:$I$89,5,0)</f>
        <v>19.64320799999939</v>
      </c>
      <c r="CV198" s="13">
        <f t="shared" si="173"/>
        <v>6.4008043874806155</v>
      </c>
      <c r="CW198" s="20">
        <f t="shared" si="174"/>
        <v>45.359988241527674</v>
      </c>
      <c r="CX198" s="59">
        <f t="shared" si="196"/>
        <v>338.69332157486099</v>
      </c>
      <c r="CY198" s="59">
        <f ca="1">AVERAGE(OFFSET($CX$3,0,0,'Données projet'!$E$13+1,1))-AVERAGE(OFFSET($H$3,0,0,'Données projet'!$E$13+1,1))</f>
        <v>465.85201723917186</v>
      </c>
      <c r="CZ198" s="59">
        <f t="shared" si="208"/>
        <v>110.67325285686417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246.02773892755664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246.02773892755664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234.00000000000003</v>
      </c>
      <c r="AJ199" s="13">
        <f>AI199*VLOOKUP('Données projet'!$B$10,Paramètres!$A$1:$I$89,3,0)*VLOOKUP('Données projet'!$B$10,Paramètres!$A$1:$I$89,5,0)</f>
        <v>189.82080000000005</v>
      </c>
      <c r="AK199" s="13">
        <f t="shared" si="164"/>
        <v>47.500332100049796</v>
      </c>
      <c r="AL199" s="20">
        <f t="shared" si="165"/>
        <v>413.33430507425345</v>
      </c>
      <c r="AM199" s="59">
        <f t="shared" si="193"/>
        <v>706.66763840758676</v>
      </c>
      <c r="AN199" s="59">
        <f ca="1">AVERAGE(OFFSET($AM$3,0,0,'Données projet'!$E$10+1,1))-AVERAGE(OFFSET($H$3,0,0,'Données projet'!$E$10+1,1))</f>
        <v>181.20458942529478</v>
      </c>
      <c r="AO199" s="59">
        <f t="shared" si="205"/>
        <v>144.05254691566421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4.6534104283461843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4.6534104283461843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21.709999999999326</v>
      </c>
      <c r="BE199" s="13">
        <f>BD199*VLOOKUP('Données projet'!$B$11,Paramètres!$A$1:$I$89,3,0)*VLOOKUP('Données projet'!$B$11,Paramètres!$A$1:$I$89,5,0)</f>
        <v>23.707319999999264</v>
      </c>
      <c r="BF199" s="13">
        <f t="shared" si="167"/>
        <v>7.5578489536731341</v>
      </c>
      <c r="BG199" s="20">
        <f t="shared" si="168"/>
        <v>54.453502594312759</v>
      </c>
      <c r="BH199" s="59">
        <f t="shared" si="194"/>
        <v>347.78683592764605</v>
      </c>
      <c r="BI199" s="59">
        <f ca="1">AVERAGE(OFFSET($BH$3,0,0,'Données projet'!$E$11+1,1))-AVERAGE(OFFSET($H$3,0,0,'Données projet'!$E$11+1,1))</f>
        <v>584.62172669166989</v>
      </c>
      <c r="BJ199" s="59">
        <f t="shared" si="206"/>
        <v>141.28992520553197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291.1074129663852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291.1074129663852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326.09691594978824</v>
      </c>
      <c r="CE199" s="59">
        <f t="shared" si="207"/>
        <v>605.43570457920714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5.0201868063224246</v>
      </c>
      <c r="CL199" s="21">
        <f>EXP(-LN(2)/25)*CL198+(1-EXP(-LN(2)/25))/(LN(2)/25)*Calculateur!CG199*Calculateur!CI199*VLOOKUP('Données projet'!$B$12,Paramètres!$A$1:$I$89,3,0)*0.475*44/12</f>
        <v>0.34913720149009603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5.3693240078125211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21.709999999999326</v>
      </c>
      <c r="CU199" s="17">
        <f>CT199*VLOOKUP('Données projet'!$B$13,Paramètres!$A$1:$I$89,3,0)*VLOOKUP('Données projet'!$B$13,Paramètres!$A$1:$I$89,5,0)</f>
        <v>19.64320799999939</v>
      </c>
      <c r="CV199" s="13">
        <f t="shared" si="173"/>
        <v>6.4008043874806155</v>
      </c>
      <c r="CW199" s="20">
        <f t="shared" si="174"/>
        <v>45.359988241527674</v>
      </c>
      <c r="CX199" s="59">
        <f t="shared" si="196"/>
        <v>338.69332157486099</v>
      </c>
      <c r="CY199" s="59">
        <f ca="1">AVERAGE(OFFSET($CX$3,0,0,'Données projet'!$E$13+1,1))-AVERAGE(OFFSET($H$3,0,0,'Données projet'!$E$13+1,1))</f>
        <v>465.85201723917186</v>
      </c>
      <c r="CZ199" s="59">
        <f t="shared" si="208"/>
        <v>110.67325285686417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241.20328502929061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241.20328502929061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234.00000000000003</v>
      </c>
      <c r="AJ200" s="13">
        <f>AI200*VLOOKUP('Données projet'!$B$10,Paramètres!$A$1:$I$89,3,0)*VLOOKUP('Données projet'!$B$10,Paramètres!$A$1:$I$89,5,0)</f>
        <v>189.82080000000005</v>
      </c>
      <c r="AK200" s="13">
        <f t="shared" si="164"/>
        <v>47.500332100049796</v>
      </c>
      <c r="AL200" s="20">
        <f t="shared" si="165"/>
        <v>413.33430507425345</v>
      </c>
      <c r="AM200" s="59">
        <f t="shared" si="193"/>
        <v>706.66763840758676</v>
      </c>
      <c r="AN200" s="59">
        <f ca="1">AVERAGE(OFFSET($AM$3,0,0,'Données projet'!$E$10+1,1))-AVERAGE(OFFSET($H$3,0,0,'Données projet'!$E$10+1,1))</f>
        <v>181.20458942529478</v>
      </c>
      <c r="AO200" s="59">
        <f t="shared" si="205"/>
        <v>144.05254691566421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4.562159888146418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4.562159888146418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21.709999999999326</v>
      </c>
      <c r="BE200" s="13">
        <f>BD200*VLOOKUP('Données projet'!$B$11,Paramètres!$A$1:$I$89,3,0)*VLOOKUP('Données projet'!$B$11,Paramètres!$A$1:$I$89,5,0)</f>
        <v>23.707319999999264</v>
      </c>
      <c r="BF200" s="13">
        <f t="shared" si="167"/>
        <v>7.5578489536731341</v>
      </c>
      <c r="BG200" s="20">
        <f t="shared" si="168"/>
        <v>54.453502594312759</v>
      </c>
      <c r="BH200" s="59">
        <f t="shared" si="194"/>
        <v>347.78683592764605</v>
      </c>
      <c r="BI200" s="59">
        <f ca="1">AVERAGE(OFFSET($BH$3,0,0,'Données projet'!$E$11+1,1))-AVERAGE(OFFSET($H$3,0,0,'Données projet'!$E$11+1,1))</f>
        <v>584.62172669166989</v>
      </c>
      <c r="BJ200" s="59">
        <f t="shared" si="206"/>
        <v>141.28992520553197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285.39897415610392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285.39897415610392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326.09691594978824</v>
      </c>
      <c r="CE200" s="59">
        <f t="shared" si="207"/>
        <v>605.43570457920714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4.9217440050620453</v>
      </c>
      <c r="CL200" s="21">
        <f>EXP(-LN(2)/25)*CL199+(1-EXP(-LN(2)/25))/(LN(2)/25)*Calculateur!CG200*Calculateur!CI200*VLOOKUP('Données projet'!$B$12,Paramètres!$A$1:$I$89,3,0)*0.475*44/12</f>
        <v>0.33959002635502189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5.2613340314170669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21.709999999999326</v>
      </c>
      <c r="CU200" s="17">
        <f>CT200*VLOOKUP('Données projet'!$B$13,Paramètres!$A$1:$I$89,3,0)*VLOOKUP('Données projet'!$B$13,Paramètres!$A$1:$I$89,5,0)</f>
        <v>19.64320799999939</v>
      </c>
      <c r="CV200" s="13">
        <f t="shared" si="173"/>
        <v>6.4008043874806155</v>
      </c>
      <c r="CW200" s="20">
        <f t="shared" si="174"/>
        <v>45.359988241527674</v>
      </c>
      <c r="CX200" s="59">
        <f t="shared" si="196"/>
        <v>338.69332157486099</v>
      </c>
      <c r="CY200" s="59">
        <f ca="1">AVERAGE(OFFSET($CX$3,0,0,'Données projet'!$E$13+1,1))-AVERAGE(OFFSET($H$3,0,0,'Données projet'!$E$13+1,1))</f>
        <v>465.85201723917186</v>
      </c>
      <c r="CZ200" s="59">
        <f t="shared" si="208"/>
        <v>110.67325285686417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236.47343572934324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236.47343572934324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234.00000000000003</v>
      </c>
      <c r="AJ201" s="13">
        <f>AI201*VLOOKUP('Données projet'!$B$10,Paramètres!$A$1:$I$89,3,0)*VLOOKUP('Données projet'!$B$10,Paramètres!$A$1:$I$89,5,0)</f>
        <v>189.82080000000005</v>
      </c>
      <c r="AK201" s="13">
        <f t="shared" si="164"/>
        <v>47.500332100049796</v>
      </c>
      <c r="AL201" s="20">
        <f t="shared" si="165"/>
        <v>413.33430507425345</v>
      </c>
      <c r="AM201" s="59">
        <f t="shared" si="193"/>
        <v>706.66763840758676</v>
      </c>
      <c r="AN201" s="59">
        <f ca="1">AVERAGE(OFFSET($AM$3,0,0,'Données projet'!$E$10+1,1))-AVERAGE(OFFSET($H$3,0,0,'Données projet'!$E$10+1,1))</f>
        <v>181.20458942529478</v>
      </c>
      <c r="AO201" s="59">
        <f t="shared" si="205"/>
        <v>144.05254691566421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4.4726987153826352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4.4726987153826352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21.709999999999326</v>
      </c>
      <c r="BE201" s="13">
        <f>BD201*VLOOKUP('Données projet'!$B$11,Paramètres!$A$1:$I$89,3,0)*VLOOKUP('Données projet'!$B$11,Paramètres!$A$1:$I$89,5,0)</f>
        <v>23.707319999999264</v>
      </c>
      <c r="BF201" s="13">
        <f t="shared" si="167"/>
        <v>7.5578489536731341</v>
      </c>
      <c r="BG201" s="20">
        <f t="shared" si="168"/>
        <v>54.453502594312759</v>
      </c>
      <c r="BH201" s="59">
        <f t="shared" si="194"/>
        <v>347.78683592764605</v>
      </c>
      <c r="BI201" s="59">
        <f ca="1">AVERAGE(OFFSET($BH$3,0,0,'Données projet'!$E$11+1,1))-AVERAGE(OFFSET($H$3,0,0,'Données projet'!$E$11+1,1))</f>
        <v>584.62172669166989</v>
      </c>
      <c r="BJ201" s="59">
        <f t="shared" si="206"/>
        <v>141.28992520553197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279.80247434908836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279.80247434908836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326.09691594978824</v>
      </c>
      <c r="CE201" s="59">
        <f t="shared" si="207"/>
        <v>605.43570457920714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4.8252316070902017</v>
      </c>
      <c r="CL201" s="21">
        <f>EXP(-LN(2)/25)*CL200+(1-EXP(-LN(2)/25))/(LN(2)/25)*Calculateur!CG201*Calculateur!CI201*VLOOKUP('Données projet'!$B$12,Paramètres!$A$1:$I$89,3,0)*0.475*44/12</f>
        <v>0.33030391922608049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5.1555355263162825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21.709999999999326</v>
      </c>
      <c r="CU201" s="17">
        <f>CT201*VLOOKUP('Données projet'!$B$13,Paramètres!$A$1:$I$89,3,0)*VLOOKUP('Données projet'!$B$13,Paramètres!$A$1:$I$89,5,0)</f>
        <v>19.64320799999939</v>
      </c>
      <c r="CV201" s="13">
        <f t="shared" si="173"/>
        <v>6.4008043874806155</v>
      </c>
      <c r="CW201" s="20">
        <f t="shared" si="174"/>
        <v>45.359988241527674</v>
      </c>
      <c r="CX201" s="59">
        <f t="shared" si="196"/>
        <v>338.69332157486099</v>
      </c>
      <c r="CY201" s="59">
        <f ca="1">AVERAGE(OFFSET($CX$3,0,0,'Données projet'!$E$13+1,1))-AVERAGE(OFFSET($H$3,0,0,'Données projet'!$E$13+1,1))</f>
        <v>465.85201723917186</v>
      </c>
      <c r="CZ201" s="59">
        <f t="shared" si="208"/>
        <v>110.67325285686417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231.83633588924462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231.83633588924462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234.00000000000003</v>
      </c>
      <c r="AJ202" s="13">
        <f>AI202*VLOOKUP('Données projet'!$B$10,Paramètres!$A$1:$I$89,3,0)*VLOOKUP('Données projet'!$B$10,Paramètres!$A$1:$I$89,5,0)</f>
        <v>189.82080000000005</v>
      </c>
      <c r="AK202" s="13">
        <f t="shared" si="164"/>
        <v>47.500332100049796</v>
      </c>
      <c r="AL202" s="20">
        <f t="shared" si="165"/>
        <v>413.33430507425345</v>
      </c>
      <c r="AM202" s="59">
        <f t="shared" si="193"/>
        <v>706.66763840758676</v>
      </c>
      <c r="AN202" s="59">
        <f ca="1">AVERAGE(OFFSET($AM$3,0,0,'Données projet'!$E$10+1,1))-AVERAGE(OFFSET($H$3,0,0,'Données projet'!$E$10+1,1))</f>
        <v>181.20458942529478</v>
      </c>
      <c r="AO202" s="59">
        <f t="shared" si="205"/>
        <v>144.05254691566421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4.3849918216508232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4.3849918216508232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21.709999999999326</v>
      </c>
      <c r="BE202" s="13">
        <f>BD202*VLOOKUP('Données projet'!$B$11,Paramètres!$A$1:$I$89,3,0)*VLOOKUP('Données projet'!$B$11,Paramètres!$A$1:$I$89,5,0)</f>
        <v>23.707319999999264</v>
      </c>
      <c r="BF202" s="13">
        <f t="shared" si="167"/>
        <v>7.5578489536731341</v>
      </c>
      <c r="BG202" s="20">
        <f t="shared" si="168"/>
        <v>54.453502594312759</v>
      </c>
      <c r="BH202" s="59">
        <f t="shared" si="194"/>
        <v>347.78683592764605</v>
      </c>
      <c r="BI202" s="59">
        <f ca="1">AVERAGE(OFFSET($BH$3,0,0,'Données projet'!$E$11+1,1))-AVERAGE(OFFSET($H$3,0,0,'Données projet'!$E$11+1,1))</f>
        <v>584.62172669166989</v>
      </c>
      <c r="BJ202" s="59">
        <f t="shared" si="206"/>
        <v>141.28992520553197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274.31571848976057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274.31571848976057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326.09691594978824</v>
      </c>
      <c r="CE202" s="59">
        <f t="shared" si="207"/>
        <v>605.43570457920714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4.7306117583758365</v>
      </c>
      <c r="CL202" s="21">
        <f>EXP(-LN(2)/25)*CL201+(1-EXP(-LN(2)/25))/(LN(2)/25)*Calculateur!CG202*Calculateur!CI202*VLOOKUP('Données projet'!$B$12,Paramètres!$A$1:$I$89,3,0)*0.475*44/12</f>
        <v>0.32127174118491514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5.051883499560752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21.709999999999326</v>
      </c>
      <c r="CU202" s="17">
        <f>CT202*VLOOKUP('Données projet'!$B$13,Paramètres!$A$1:$I$89,3,0)*VLOOKUP('Données projet'!$B$13,Paramètres!$A$1:$I$89,5,0)</f>
        <v>19.64320799999939</v>
      </c>
      <c r="CV202" s="13">
        <f t="shared" si="173"/>
        <v>6.4008043874806155</v>
      </c>
      <c r="CW202" s="20">
        <f t="shared" si="174"/>
        <v>45.359988241527674</v>
      </c>
      <c r="CX202" s="59">
        <f t="shared" si="196"/>
        <v>338.69332157486099</v>
      </c>
      <c r="CY202" s="59">
        <f ca="1">AVERAGE(OFFSET($CX$3,0,0,'Données projet'!$E$13+1,1))-AVERAGE(OFFSET($H$3,0,0,'Données projet'!$E$13+1,1))</f>
        <v>465.85201723917186</v>
      </c>
      <c r="CZ202" s="59">
        <f t="shared" si="208"/>
        <v>110.67325285686417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227.29016674865872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227.29016674865872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234.00000000000003</v>
      </c>
      <c r="AJ203" s="13">
        <f>AI203*VLOOKUP('Données projet'!$B$10,Paramètres!$A$1:$I$89,3,0)*VLOOKUP('Données projet'!$B$10,Paramètres!$A$1:$I$89,5,0)</f>
        <v>189.82080000000005</v>
      </c>
      <c r="AK203" s="13">
        <f t="shared" si="164"/>
        <v>47.500332100049796</v>
      </c>
      <c r="AL203" s="20">
        <f t="shared" si="165"/>
        <v>413.33430507425345</v>
      </c>
      <c r="AM203" s="59">
        <f t="shared" si="193"/>
        <v>706.66763840758676</v>
      </c>
      <c r="AN203" s="59">
        <f ca="1">AVERAGE(OFFSET($AM$3,0,0,'Données projet'!$E$10+1,1))-AVERAGE(OFFSET($H$3,0,0,'Données projet'!$E$10+1,1))</f>
        <v>181.20458942529478</v>
      </c>
      <c r="AO203" s="59">
        <f t="shared" si="205"/>
        <v>144.05254691566421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4.2990048066091688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4.2990048066091688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21.709999999999326</v>
      </c>
      <c r="BE203" s="13">
        <f>BD203*VLOOKUP('Données projet'!$B$11,Paramètres!$A$1:$I$89,3,0)*VLOOKUP('Données projet'!$B$11,Paramètres!$A$1:$I$89,5,0)</f>
        <v>23.707319999999264</v>
      </c>
      <c r="BF203" s="13">
        <f t="shared" si="167"/>
        <v>7.5578489536731341</v>
      </c>
      <c r="BG203" s="20">
        <f t="shared" si="168"/>
        <v>54.453502594312759</v>
      </c>
      <c r="BH203" s="59">
        <f t="shared" si="194"/>
        <v>347.78683592764605</v>
      </c>
      <c r="BI203" s="59">
        <f ca="1">AVERAGE(OFFSET($BH$3,0,0,'Données projet'!$E$11+1,1))-AVERAGE(OFFSET($H$3,0,0,'Données projet'!$E$11+1,1))</f>
        <v>584.62172669166989</v>
      </c>
      <c r="BJ203" s="59">
        <f t="shared" si="206"/>
        <v>141.28992520553197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268.93655456624356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268.93655456624356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326.09691594978824</v>
      </c>
      <c r="CE203" s="59">
        <f t="shared" si="207"/>
        <v>605.43570457920714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4.6378473471823503</v>
      </c>
      <c r="CL203" s="21">
        <f>EXP(-LN(2)/25)*CL202+(1-EXP(-LN(2)/25))/(LN(2)/25)*Calculateur!CG203*Calculateur!CI203*VLOOKUP('Données projet'!$B$12,Paramètres!$A$1:$I$89,3,0)*0.475*44/12</f>
        <v>0.31248654852726704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4.9503338957096172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21.709999999999326</v>
      </c>
      <c r="CU203" s="17">
        <f>CT203*VLOOKUP('Données projet'!$B$13,Paramètres!$A$1:$I$89,3,0)*VLOOKUP('Données projet'!$B$13,Paramètres!$A$1:$I$89,5,0)</f>
        <v>19.64320799999939</v>
      </c>
      <c r="CV203" s="13">
        <f t="shared" si="173"/>
        <v>6.4008043874806155</v>
      </c>
      <c r="CW203" s="20">
        <f t="shared" si="174"/>
        <v>45.359988241527674</v>
      </c>
      <c r="CX203" s="59">
        <f t="shared" si="196"/>
        <v>338.69332157486099</v>
      </c>
      <c r="CY203" s="59">
        <f ca="1">AVERAGE(OFFSET($CX$3,0,0,'Données projet'!$E$13+1,1))-AVERAGE(OFFSET($H$3,0,0,'Données projet'!$E$13+1,1))</f>
        <v>465.85201723917186</v>
      </c>
      <c r="CZ203" s="59">
        <f t="shared" si="208"/>
        <v>110.67325285686417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222.83314521203033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222.83314521203033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1.282970348825361</v>
      </c>
      <c r="BA205" s="81">
        <f>EXP(LN('Données projet'!B88)/'Données projet'!A88)</f>
        <v>1.1549646791274306</v>
      </c>
      <c r="BV205" s="81">
        <f>EXP(LN('Données projet'!B114)/'Données projet'!A114)</f>
        <v>1.7449698104440143</v>
      </c>
      <c r="CQ205" s="81">
        <f>EXP(LN('Données projet'!B140)/'Données projet'!A140)</f>
        <v>1.1549646791274306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3.6489296893052963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541.48762454254734</v>
      </c>
      <c r="G6" s="145">
        <f ca="1">F6*(100%-'Données projet'!$C$24)*(100%-'Données projet'!$C$25)*(100%-'Données projet'!$C$26)*(100%-'Données projet'!$C$27)</f>
        <v>331.39042622003899</v>
      </c>
      <c r="H6" s="146">
        <f>IF(OR('Données projet'!B9="",'Données projet'!C9="",'Données projet'!C9=0%),0,AVERAGE(Calculateur!$AC$3:$AC$33)*B6)</f>
        <v>63.005091341780911</v>
      </c>
      <c r="I6" s="147">
        <f>H6*(100%-'Données projet'!$C$24)*(100%-'Données projet'!$C$25)*(100%-'Données projet'!$C$26)*(100%-'Données projet'!$C$27)</f>
        <v>38.559115901169925</v>
      </c>
      <c r="J6" s="148">
        <f>IF(OR('Données projet'!B9="",'Données projet'!C9="",'Données projet'!C9=0%),0,SUM(Calculateur!$V$3:$V$33)*VLOOKUP('Données projet'!$B$9,Paramètres!$A$1:$I$89,9,0)*B6)</f>
        <v>951.56788437703506</v>
      </c>
      <c r="K6" s="149">
        <f>J6*(100%-'Données projet'!$C$24)*(100%-'Données projet'!$C$25)*(100%-'Données projet'!$C$26)*(100%-'Données projet'!$C$27)</f>
        <v>582.35954523874557</v>
      </c>
      <c r="L6" s="150">
        <f ca="1">G6+I6+K6</f>
        <v>952.30908735995445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Bouleau verruqueux</v>
      </c>
      <c r="B7" s="152">
        <f>'Données projet'!D10</f>
        <v>0.11108963720773901</v>
      </c>
      <c r="C7" s="145">
        <f ca="1">IF(OR('Données projet'!B10="",'Données projet'!C10="",'Données projet'!C10=0%),0,Calculateur!AN3)</f>
        <v>181.20458942529478</v>
      </c>
      <c r="D7" s="145">
        <f>IF(OR('Données projet'!B10="",'Données projet'!C10="",'Données projet'!C10=0%),0,Calculateur!AO3)</f>
        <v>144.05254691566421</v>
      </c>
      <c r="E7" s="145">
        <f t="shared" ref="E7:E15" ca="1" si="0">MIN(C7,D7)</f>
        <v>144.05254691566421</v>
      </c>
      <c r="F7" s="145">
        <f t="shared" ref="F7:F15" ca="1" si="1">E7*B7</f>
        <v>16.00274517571194</v>
      </c>
      <c r="G7" s="145">
        <f ca="1">F7*(100%-'Données projet'!$C$24)*(100%-'Données projet'!$C$25)*(100%-'Données projet'!$C$26)*(100%-'Données projet'!$C$27)</f>
        <v>9.7936800475357071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0.9998067348696511</v>
      </c>
      <c r="K7" s="149">
        <f>J7*(100%-'Données projet'!$C$24)*(100%-'Données projet'!$C$25)*(100%-'Données projet'!$C$26)*(100%-'Données projet'!$C$27)</f>
        <v>0.61188172174022648</v>
      </c>
      <c r="L7" s="150">
        <f t="shared" ref="L7:L15" ca="1" si="2">G7+I7+K7</f>
        <v>10.405561769275934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Chêne-liège</v>
      </c>
      <c r="B8" s="152">
        <f>'Données projet'!D11</f>
        <v>2.2217927441547804E-2</v>
      </c>
      <c r="C8" s="145">
        <f ca="1">IF(OR('Données projet'!B11="",'Données projet'!C11="",'Données projet'!C11=0%),0,Calculateur!BI3)</f>
        <v>584.62172669166989</v>
      </c>
      <c r="D8" s="145">
        <f>IF(OR('Données projet'!B11="",'Données projet'!C11="",'Données projet'!C11=0%),0,Calculateur!BJ3)</f>
        <v>141.28992520553197</v>
      </c>
      <c r="E8" s="145">
        <f t="shared" ca="1" si="0"/>
        <v>141.28992520553197</v>
      </c>
      <c r="F8" s="145">
        <f t="shared" ca="1" si="1"/>
        <v>3.1391693064382253</v>
      </c>
      <c r="G8" s="145">
        <f ca="1">F8*(100%-'Données projet'!$C$24)*(100%-'Données projet'!$C$25)*(100%-'Données projet'!$C$26)*(100%-'Données projet'!$C$27)</f>
        <v>1.9211716155401941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1.9211716155401941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Tremble</v>
      </c>
      <c r="B9" s="152">
        <f>'Données projet'!D12</f>
        <v>5.5544818603869506E-2</v>
      </c>
      <c r="C9" s="145">
        <f ca="1">IF(OR('Données projet'!B12="",'Données projet'!C12="",'Données projet'!C12=0%),0,Calculateur!CD3)</f>
        <v>326.09691594978824</v>
      </c>
      <c r="D9" s="145">
        <f>IF(OR('Données projet'!B12="",'Données projet'!C12="",'Données projet'!C12=0%),0,Calculateur!CE3)</f>
        <v>605.43570457920714</v>
      </c>
      <c r="E9" s="145">
        <f t="shared" ca="1" si="0"/>
        <v>326.09691594978824</v>
      </c>
      <c r="F9" s="145">
        <f t="shared" ca="1" si="1"/>
        <v>18.11299404371227</v>
      </c>
      <c r="G9" s="145">
        <f ca="1">F9*(100%-'Données projet'!$C$24)*(100%-'Données projet'!$C$25)*(100%-'Données projet'!$C$26)*(100%-'Données projet'!$C$27)</f>
        <v>11.08515235475191</v>
      </c>
      <c r="H9" s="153">
        <f>IF(OR('Données projet'!B12="",'Données projet'!C12="",'Données projet'!C12=0%),0,AVERAGE(Calculateur!$CN$3:$CN$33)*B9)</f>
        <v>2.2658870410474083</v>
      </c>
      <c r="I9" s="147">
        <f>H9*(100%-'Données projet'!$C$24)*(100%-'Données projet'!$C$25)*(100%-'Données projet'!$C$26)*(100%-'Données projet'!$C$27)</f>
        <v>1.3867228691210141</v>
      </c>
      <c r="J9" s="148">
        <f>IF(OR('Données projet'!B12="",'Données projet'!C12="",'Données projet'!C12=0%),0,SUM(Calculateur!$CG$3:$CG$33)*VLOOKUP('Données projet'!$B$12,Paramètres!$A$1:$I$89,9,0)*B9)</f>
        <v>6.9431023254836886</v>
      </c>
      <c r="K9" s="149">
        <f>J9*(100%-'Données projet'!$C$24)*(100%-'Données projet'!$C$25)*(100%-'Données projet'!$C$26)*(100%-'Données projet'!$C$27)</f>
        <v>4.249178623196018</v>
      </c>
      <c r="L9" s="150">
        <f t="shared" ca="1" si="2"/>
        <v>16.721053847068944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>Chêne sessile</v>
      </c>
      <c r="B10" s="152">
        <f>'Données projet'!D13</f>
        <v>2.2217927441547804E-2</v>
      </c>
      <c r="C10" s="145">
        <f ca="1">IF(OR('Données projet'!B13="",'Données projet'!C13="",'Données projet'!C13=0%),0,Calculateur!CY3)</f>
        <v>465.85201723917186</v>
      </c>
      <c r="D10" s="145">
        <f>IF(OR('Données projet'!B13="",'Données projet'!C13="",'Données projet'!C13=0%),0,Calculateur!CZ3)</f>
        <v>110.67325285686417</v>
      </c>
      <c r="E10" s="145">
        <f t="shared" ca="1" si="0"/>
        <v>110.67325285686417</v>
      </c>
      <c r="F10" s="145">
        <f t="shared" ca="1" si="1"/>
        <v>2.458930301693881</v>
      </c>
      <c r="G10" s="145">
        <f ca="1">F10*(100%-'Données projet'!$C$24)*(100%-'Données projet'!$C$25)*(100%-'Données projet'!$C$26)*(100%-'Données projet'!$C$27)</f>
        <v>1.5048653446366553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ca="1" si="2"/>
        <v>1.5048653446366553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581.20146337010374</v>
      </c>
      <c r="G16" s="164">
        <f t="shared" ca="1" si="3"/>
        <v>355.69529558250343</v>
      </c>
      <c r="H16" s="165">
        <f t="shared" si="3"/>
        <v>65.270978382828318</v>
      </c>
      <c r="I16" s="165">
        <f t="shared" si="3"/>
        <v>39.945838770290941</v>
      </c>
      <c r="J16" s="166">
        <f t="shared" si="3"/>
        <v>959.51079343738843</v>
      </c>
      <c r="K16" s="166">
        <f t="shared" si="3"/>
        <v>587.22060558368185</v>
      </c>
      <c r="L16" s="167">
        <f t="shared" ca="1" si="3"/>
        <v>982.86173993647606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Chêne-liège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Tremble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3.6489296893052963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Bouleau verruqueux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0.11108963720773901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Chêne-liège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2.2217927441547804E-2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Tremble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5.5544818603869506E-2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sessile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2.2217927441547804E-2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Bouleau verruqueux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20</v>
      </c>
      <c r="B55" s="179">
        <f>'Données projet'!D63</f>
        <v>15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25</v>
      </c>
      <c r="B56" s="179">
        <f>'Données projet'!D64</f>
        <v>10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30</v>
      </c>
      <c r="B57" s="179">
        <f>'Données projet'!D65</f>
        <v>11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35</v>
      </c>
      <c r="B58" s="179">
        <f>'Données projet'!D66</f>
        <v>12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40</v>
      </c>
      <c r="B59" s="179">
        <f>'Données projet'!D67</f>
        <v>13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45</v>
      </c>
      <c r="B60" s="179">
        <f>'Données projet'!D68</f>
        <v>14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50</v>
      </c>
      <c r="B61" s="179">
        <f>'Données projet'!D69</f>
        <v>14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55</v>
      </c>
      <c r="B62" s="179">
        <f>'Données projet'!D70</f>
        <v>14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60</v>
      </c>
      <c r="B63" s="179">
        <f>'Données projet'!D71</f>
        <v>14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65</v>
      </c>
      <c r="B64" s="179">
        <f>'Données projet'!D72</f>
        <v>14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70</v>
      </c>
      <c r="B65" s="179">
        <f>'Données projet'!D73</f>
        <v>14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75</v>
      </c>
      <c r="B66" s="179">
        <f>'Données projet'!D74</f>
        <v>14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80</v>
      </c>
      <c r="B67" s="179">
        <f>'Données projet'!D75</f>
        <v>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85</v>
      </c>
      <c r="B68" s="179">
        <f>'Données projet'!D76</f>
        <v>13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90</v>
      </c>
      <c r="B69" s="179">
        <f>'Données projet'!D77</f>
        <v>12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Chêne-liège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42</v>
      </c>
      <c r="B86" s="179">
        <f>'Données projet'!D89</f>
        <v>43.21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50</v>
      </c>
      <c r="B87" s="179">
        <f>'Données projet'!D90</f>
        <v>35.58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58</v>
      </c>
      <c r="B88" s="179">
        <f>'Données projet'!D91</f>
        <v>44.93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66</v>
      </c>
      <c r="B89" s="179">
        <f>'Données projet'!D92</f>
        <v>49.91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74</v>
      </c>
      <c r="B90" s="179">
        <f>'Données projet'!D93</f>
        <v>47.4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84</v>
      </c>
      <c r="B91" s="179">
        <f>'Données projet'!D94</f>
        <v>61.47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94</v>
      </c>
      <c r="B92" s="179">
        <f>'Données projet'!D95</f>
        <v>61.85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104</v>
      </c>
      <c r="B93" s="179">
        <f>'Données projet'!D96</f>
        <v>60.19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114</v>
      </c>
      <c r="B94" s="179">
        <f>'Données projet'!D97</f>
        <v>56.07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124</v>
      </c>
      <c r="B95" s="179">
        <f>'Données projet'!D98</f>
        <v>52.53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134</v>
      </c>
      <c r="B96" s="179">
        <f>'Données projet'!D99</f>
        <v>54.95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144</v>
      </c>
      <c r="B97" s="179">
        <f>'Données projet'!D100</f>
        <v>56.01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154</v>
      </c>
      <c r="B98" s="179">
        <f>'Données projet'!D101</f>
        <v>55.13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164</v>
      </c>
      <c r="B99" s="179">
        <f>'Données projet'!D102</f>
        <v>59.58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174</v>
      </c>
      <c r="B100" s="179">
        <f>'Données projet'!D103</f>
        <v>214.77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177</v>
      </c>
      <c r="B101" s="179">
        <f>'Données projet'!D104</f>
        <v>115.19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180</v>
      </c>
      <c r="B102" s="179">
        <f>'Données projet'!D105</f>
        <v>77.72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183</v>
      </c>
      <c r="B103" s="179">
        <f>'Données projet'!D106</f>
        <v>169.76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Tremble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9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14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19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24</v>
      </c>
      <c r="B119" s="179">
        <f>'Données projet'!D117</f>
        <v>500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>Chêne sessile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42</v>
      </c>
      <c r="B148" s="173">
        <f>'Données projet'!D141</f>
        <v>43.21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50</v>
      </c>
      <c r="B149" s="173">
        <f>'Données projet'!D142</f>
        <v>35.58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58</v>
      </c>
      <c r="B150" s="173">
        <f>'Données projet'!D143</f>
        <v>44.93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66</v>
      </c>
      <c r="B151" s="173">
        <f>'Données projet'!D144</f>
        <v>49.91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74</v>
      </c>
      <c r="B152" s="173">
        <f>'Données projet'!D145</f>
        <v>47.4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3">
        <f>'Données projet'!D146</f>
        <v>61.47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94</v>
      </c>
      <c r="B154" s="173">
        <f>'Données projet'!D147</f>
        <v>61.85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104</v>
      </c>
      <c r="B155" s="173">
        <f>'Données projet'!D148</f>
        <v>60.19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114</v>
      </c>
      <c r="B156" s="173">
        <f>'Données projet'!D149</f>
        <v>56.07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124</v>
      </c>
      <c r="B157" s="173">
        <f>'Données projet'!D150</f>
        <v>52.53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134</v>
      </c>
      <c r="B158" s="173">
        <f>'Données projet'!D151</f>
        <v>54.95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144</v>
      </c>
      <c r="B159" s="173">
        <f>'Données projet'!D152</f>
        <v>56.01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154</v>
      </c>
      <c r="B160" s="173">
        <f>'Données projet'!D153</f>
        <v>55.13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164</v>
      </c>
      <c r="B161" s="173">
        <f>'Données projet'!D154</f>
        <v>59.58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174</v>
      </c>
      <c r="B162" s="173">
        <f>'Données projet'!D155</f>
        <v>214.77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177</v>
      </c>
      <c r="B163" s="173">
        <f>'Données projet'!D156</f>
        <v>115.19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180</v>
      </c>
      <c r="B164" s="173">
        <f>'Données projet'!D157</f>
        <v>77.72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183</v>
      </c>
      <c r="B165" s="173">
        <f>'Données projet'!D158</f>
        <v>169.76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2024-07-08T09:47:20Z</dcterms:modified>
</cp:coreProperties>
</file>