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TABART2 - BELIN BELIET (33)\Projet 2\Dossier à déposer\"/>
    </mc:Choice>
  </mc:AlternateContent>
  <xr:revisionPtr revIDLastSave="0" documentId="13_ncr:1_{20560587-4394-44B4-BB90-7EDD42A02F0D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<sst xmlns="http://schemas.openxmlformats.org/spreadsheetml/2006/main" count="1170" uniqueCount="324">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</sst>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9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8" sqref="F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0.61899999999999999</v>
      </c>
      <c r="D9" s="36">
        <f t="shared" ref="D9:D18" si="0">C9*$C$5</f>
        <v>25.998000000000001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0.38100000000000001</v>
      </c>
      <c r="D10" s="36">
        <f t="shared" si="0"/>
        <v>16.001999999999999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111</v>
      </c>
      <c r="C62" s="63">
        <v>1</v>
      </c>
      <c r="D62" s="63">
        <v>27</v>
      </c>
      <c r="E62" s="54"/>
      <c r="F62" s="54"/>
      <c r="G62" s="54">
        <v>1</v>
      </c>
      <c r="H62" s="54"/>
      <c r="I62" s="56">
        <f>IFERROR(B62/A62,"")</f>
        <v>6.166666666666667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24</v>
      </c>
      <c r="B63" s="63">
        <v>166</v>
      </c>
      <c r="C63" s="63">
        <v>2</v>
      </c>
      <c r="D63" s="63">
        <v>38</v>
      </c>
      <c r="E63" s="54">
        <v>0.3</v>
      </c>
      <c r="F63" s="292"/>
      <c r="G63" s="54">
        <v>0.7</v>
      </c>
      <c r="H63" s="54"/>
      <c r="I63" s="52">
        <f>IF(A63&lt;&gt;0,(B63-(B62-D62))/(A63-A62),"")</f>
        <v>13.666666666666666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205</v>
      </c>
      <c r="C64" s="63">
        <v>3</v>
      </c>
      <c r="D64" s="63">
        <v>47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12.833333333333334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265</v>
      </c>
      <c r="C65" s="63">
        <v>4</v>
      </c>
      <c r="D65" s="63">
        <v>50</v>
      </c>
      <c r="E65" s="54"/>
      <c r="F65" s="54"/>
      <c r="G65" s="54"/>
      <c r="H65" s="54"/>
      <c r="I65" s="52">
        <f>IF(A65&lt;&gt;0,(B65-(B64-D64))/(A65-A64),"")</f>
        <v>10.7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v>294</v>
      </c>
      <c r="C66" s="63">
        <v>5</v>
      </c>
      <c r="D66" s="63">
        <v>294</v>
      </c>
      <c r="E66" s="54"/>
      <c r="F66" s="54"/>
      <c r="G66" s="54"/>
      <c r="H66" s="54"/>
      <c r="I66" s="52">
        <f t="shared" ref="I66:I81" si="2">IF(A66&lt;&gt;0,(B66-(B65-D65))/(A66-A65),"")</f>
        <v>7.9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147.86588596077661</v>
      </c>
      <c r="AO3" s="62">
        <f>IF('Données projet'!E10&gt;30,$AM$33-$H$33,LOOKUP('Données projet'!$E$10,$A$3:$A$203,AM3:AM203)-LOOKUP('Données projet'!$E$10,$A$3:$A$203,$H$3:$H$203))</f>
        <v>228.19398518024298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6.166666666666667</v>
      </c>
      <c r="AI4" s="14">
        <f>IF('Données projet'!$A$62&gt;35,AI3+AH4-AQ3,IF(A4&lt;'Données projet'!$A$62,$AF$205^A4,IF(A4='Données projet'!$A$62,'Données projet'!$B$62,AI3+AH4-AQ3)))</f>
        <v>1.2990595333015609</v>
      </c>
      <c r="AJ4" s="14">
        <f>AI4*VLOOKUP('Données projet'!$B$10,Paramètres!$A$1:$I$89,3,0)*VLOOKUP('Données projet'!$B$10,Paramètres!$A$1:$I$89,5,0)</f>
        <v>0.7768376009143334</v>
      </c>
      <c r="AK4" s="14">
        <f>EXP(-1.0587+0.8836*LN(AJ4)+0.284)</f>
        <v>0.36867854383113818</v>
      </c>
      <c r="AL4" s="22">
        <f t="shared" ref="AL4:AL67" si="4">(AJ4+AK4)*0.475*44/12</f>
        <v>1.9951072854316962</v>
      </c>
      <c r="AM4" s="62">
        <f t="shared" ref="AM4:AM67" si="5">AL4+(AD4+AE4)*44/12</f>
        <v>295.328440618765</v>
      </c>
      <c r="AN4" s="62">
        <f ca="1">AVERAGE(OFFSET($AM$3,0,0,'Données projet'!$E$10+1,1))-AVERAGE(OFFSET($H$3,0,0,'Données projet'!$E$10+1,1))</f>
        <v>147.86588596077661</v>
      </c>
      <c r="AO4" s="62">
        <f>$AO$3</f>
        <v>228.19398518024298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6.166666666666667</v>
      </c>
      <c r="AI5" s="14">
        <f>IF('Données projet'!$A$62&gt;35,AI4+AH5-AQ4,IF(A5&lt;'Données projet'!$A$62,$AF$205^A5,IF(A5='Données projet'!$A$62,'Données projet'!$B$62,AI4+AH5-AQ4)))</f>
        <v>1.6875556710616693</v>
      </c>
      <c r="AJ5" s="14">
        <f>AI5*VLOOKUP('Données projet'!$B$10,Paramètres!$A$1:$I$89,3,0)*VLOOKUP('Données projet'!$B$10,Paramètres!$A$1:$I$89,5,0)</f>
        <v>1.0091582912948782</v>
      </c>
      <c r="AK5" s="14">
        <f t="shared" ref="AK5:AK68" si="35">EXP(-1.0587+0.8836*LN(AJ5)+0.284)</f>
        <v>0.46456928810721226</v>
      </c>
      <c r="AL5" s="22">
        <f t="shared" si="4"/>
        <v>2.5667422007919742</v>
      </c>
      <c r="AM5" s="62">
        <f t="shared" si="5"/>
        <v>295.90007553412528</v>
      </c>
      <c r="AN5" s="62">
        <f ca="1">AVERAGE(OFFSET($AM$3,0,0,'Données projet'!$E$10+1,1))-AVERAGE(OFFSET($H$3,0,0,'Données projet'!$E$10+1,1))</f>
        <v>147.86588596077661</v>
      </c>
      <c r="AO5" s="62">
        <f t="shared" ref="AO5:AO68" si="36">$AO$3</f>
        <v>228.19398518024298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6.166666666666667</v>
      </c>
      <c r="AI6" s="14">
        <f>IF('Données projet'!$A$62&gt;35,AI5+AH6-AQ5,IF(A6&lt;'Données projet'!$A$62,$AF$205^A6,IF(A6='Données projet'!$A$62,'Données projet'!$B$62,AI5+AH6-AQ5)))</f>
        <v>2.1922352824697744</v>
      </c>
      <c r="AJ6" s="14">
        <f>AI6*VLOOKUP('Données projet'!$B$10,Paramètres!$A$1:$I$89,3,0)*VLOOKUP('Données projet'!$B$10,Paramètres!$A$1:$I$89,5,0)</f>
        <v>1.3109566989169252</v>
      </c>
      <c r="AK6" s="14">
        <f t="shared" si="35"/>
        <v>0.58540055303921845</v>
      </c>
      <c r="AL6" s="22">
        <f t="shared" si="4"/>
        <v>3.3028222138236161</v>
      </c>
      <c r="AM6" s="62">
        <f t="shared" si="5"/>
        <v>296.63615554715693</v>
      </c>
      <c r="AN6" s="62">
        <f ca="1">AVERAGE(OFFSET($AM$3,0,0,'Données projet'!$E$10+1,1))-AVERAGE(OFFSET($H$3,0,0,'Données projet'!$E$10+1,1))</f>
        <v>147.86588596077661</v>
      </c>
      <c r="AO6" s="62">
        <f t="shared" si="36"/>
        <v>228.19398518024298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6.166666666666667</v>
      </c>
      <c r="AI7" s="14">
        <f>IF('Données projet'!$A$62&gt;35,AI6+AH7-AQ6,IF(A7&lt;'Données projet'!$A$62,$AF$205^A7,IF(A7='Données projet'!$A$62,'Données projet'!$B$62,AI6+AH7-AQ6)))</f>
        <v>2.8478441429324008</v>
      </c>
      <c r="AJ7" s="14">
        <f>AI7*VLOOKUP('Données projet'!$B$10,Paramètres!$A$1:$I$89,3,0)*VLOOKUP('Données projet'!$B$10,Paramètres!$A$1:$I$89,5,0)</f>
        <v>1.703010797473576</v>
      </c>
      <c r="AK7" s="14">
        <f t="shared" si="35"/>
        <v>0.73765919588626938</v>
      </c>
      <c r="AL7" s="22">
        <f t="shared" si="4"/>
        <v>4.2508335717683972</v>
      </c>
      <c r="AM7" s="62">
        <f t="shared" si="5"/>
        <v>297.58416690510171</v>
      </c>
      <c r="AN7" s="62">
        <f ca="1">AVERAGE(OFFSET($AM$3,0,0,'Données projet'!$E$10+1,1))-AVERAGE(OFFSET($H$3,0,0,'Données projet'!$E$10+1,1))</f>
        <v>147.86588596077661</v>
      </c>
      <c r="AO7" s="62">
        <f t="shared" si="36"/>
        <v>228.19398518024298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6.166666666666667</v>
      </c>
      <c r="AI8" s="14">
        <f>IF('Données projet'!$A$62&gt;35,AI7+AH8-AQ7,IF(A8&lt;'Données projet'!$A$62,$AF$205^A8,IF(A8='Données projet'!$A$62,'Données projet'!$B$62,AI7+AH8-AQ7)))</f>
        <v>3.6995190832333482</v>
      </c>
      <c r="AJ8" s="14">
        <f>AI8*VLOOKUP('Données projet'!$B$10,Paramètres!$A$1:$I$89,3,0)*VLOOKUP('Données projet'!$B$10,Paramètres!$A$1:$I$89,5,0)</f>
        <v>2.2123124117735422</v>
      </c>
      <c r="AK8" s="14">
        <f t="shared" si="35"/>
        <v>0.92951926070203594</v>
      </c>
      <c r="AL8" s="22">
        <f t="shared" si="4"/>
        <v>5.4720234962282985</v>
      </c>
      <c r="AM8" s="62">
        <f t="shared" si="5"/>
        <v>298.80535682956162</v>
      </c>
      <c r="AN8" s="62">
        <f ca="1">AVERAGE(OFFSET($AM$3,0,0,'Données projet'!$E$10+1,1))-AVERAGE(OFFSET($H$3,0,0,'Données projet'!$E$10+1,1))</f>
        <v>147.86588596077661</v>
      </c>
      <c r="AO8" s="62">
        <f t="shared" si="36"/>
        <v>228.19398518024298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6.166666666666667</v>
      </c>
      <c r="AI9" s="14">
        <f>IF('Données projet'!$A$62&gt;35,AI8+AH9-AQ8,IF(A9&lt;'Données projet'!$A$62,$AF$205^A9,IF(A9='Données projet'!$A$62,'Données projet'!$B$62,AI8+AH9-AQ8)))</f>
        <v>4.805895533705332</v>
      </c>
      <c r="AJ9" s="14">
        <f>AI9*VLOOKUP('Données projet'!$B$10,Paramètres!$A$1:$I$89,3,0)*VLOOKUP('Données projet'!$B$10,Paramètres!$A$1:$I$89,5,0)</f>
        <v>2.8739255291557888</v>
      </c>
      <c r="AK9" s="14">
        <f t="shared" si="35"/>
        <v>1.1712808039734253</v>
      </c>
      <c r="AL9" s="22">
        <f t="shared" si="4"/>
        <v>7.0454010302000478</v>
      </c>
      <c r="AM9" s="62">
        <f t="shared" si="5"/>
        <v>300.37873436353334</v>
      </c>
      <c r="AN9" s="62">
        <f ca="1">AVERAGE(OFFSET($AM$3,0,0,'Données projet'!$E$10+1,1))-AVERAGE(OFFSET($H$3,0,0,'Données projet'!$E$10+1,1))</f>
        <v>147.86588596077661</v>
      </c>
      <c r="AO9" s="62">
        <f t="shared" si="36"/>
        <v>228.19398518024298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6.166666666666667</v>
      </c>
      <c r="AI10" s="14">
        <f>IF('Données projet'!$A$62&gt;35,AI9+AH10-AQ9,IF(A10&lt;'Données projet'!$A$62,$AF$205^A10,IF(A10='Données projet'!$A$62,'Données projet'!$B$62,AI9+AH10-AQ9)))</f>
        <v>6.243144409111304</v>
      </c>
      <c r="AJ10" s="14">
        <f>AI10*VLOOKUP('Données projet'!$B$10,Paramètres!$A$1:$I$89,3,0)*VLOOKUP('Données projet'!$B$10,Paramètres!$A$1:$I$89,5,0)</f>
        <v>3.7334003566485601</v>
      </c>
      <c r="AK10" s="14">
        <f t="shared" si="35"/>
        <v>1.4759228557786761</v>
      </c>
      <c r="AL10" s="22">
        <f t="shared" si="4"/>
        <v>9.0729045949774356</v>
      </c>
      <c r="AM10" s="62">
        <f t="shared" si="5"/>
        <v>302.40623792831076</v>
      </c>
      <c r="AN10" s="62">
        <f ca="1">AVERAGE(OFFSET($AM$3,0,0,'Données projet'!$E$10+1,1))-AVERAGE(OFFSET($H$3,0,0,'Données projet'!$E$10+1,1))</f>
        <v>147.86588596077661</v>
      </c>
      <c r="AO10" s="62">
        <f t="shared" si="36"/>
        <v>228.19398518024298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6.166666666666667</v>
      </c>
      <c r="AI11" s="14">
        <f>IF('Données projet'!$A$62&gt;35,AI10+AH11-AQ10,IF(A11&lt;'Données projet'!$A$62,$AF$205^A11,IF(A11='Données projet'!$A$62,'Données projet'!$B$62,AI10+AH11-AQ10)))</f>
        <v>8.1102162624343812</v>
      </c>
      <c r="AJ11" s="14">
        <f>AI11*VLOOKUP('Données projet'!$B$10,Paramètres!$A$1:$I$89,3,0)*VLOOKUP('Données projet'!$B$10,Paramètres!$A$1:$I$89,5,0)</f>
        <v>4.8499093249357603</v>
      </c>
      <c r="AK11" s="14">
        <f t="shared" si="35"/>
        <v>1.8598002023256139</v>
      </c>
      <c r="AL11" s="22">
        <f t="shared" si="4"/>
        <v>11.686077426646891</v>
      </c>
      <c r="AM11" s="62">
        <f t="shared" si="5"/>
        <v>305.01941075998019</v>
      </c>
      <c r="AN11" s="62">
        <f ca="1">AVERAGE(OFFSET($AM$3,0,0,'Données projet'!$E$10+1,1))-AVERAGE(OFFSET($H$3,0,0,'Données projet'!$E$10+1,1))</f>
        <v>147.86588596077661</v>
      </c>
      <c r="AO11" s="62">
        <f t="shared" si="36"/>
        <v>228.19398518024298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6.166666666666667</v>
      </c>
      <c r="AI12" s="14">
        <f>IF('Données projet'!$A$62&gt;35,AI11+AH12-AQ11,IF(A12&lt;'Données projet'!$A$62,$AF$205^A12,IF(A12='Données projet'!$A$62,'Données projet'!$B$62,AI11+AH12-AQ11)))</f>
        <v>10.535653752852737</v>
      </c>
      <c r="AJ12" s="14">
        <f>AI12*VLOOKUP('Données projet'!$B$10,Paramètres!$A$1:$I$89,3,0)*VLOOKUP('Données projet'!$B$10,Paramètres!$A$1:$I$89,5,0)</f>
        <v>6.3003209442059376</v>
      </c>
      <c r="AK12" s="14">
        <f t="shared" si="35"/>
        <v>2.3435213968182298</v>
      </c>
      <c r="AL12" s="22">
        <f t="shared" si="4"/>
        <v>15.054692077283761</v>
      </c>
      <c r="AM12" s="62">
        <f t="shared" si="5"/>
        <v>308.38802541061705</v>
      </c>
      <c r="AN12" s="62">
        <f ca="1">AVERAGE(OFFSET($AM$3,0,0,'Données projet'!$E$10+1,1))-AVERAGE(OFFSET($H$3,0,0,'Données projet'!$E$10+1,1))</f>
        <v>147.86588596077661</v>
      </c>
      <c r="AO12" s="62">
        <f t="shared" si="36"/>
        <v>228.19398518024298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6.166666666666667</v>
      </c>
      <c r="AI13" s="14">
        <f>IF('Données projet'!$A$62&gt;35,AI12+AH13-AQ12,IF(A13&lt;'Données projet'!$A$62,$AF$205^A13,IF(A13='Données projet'!$A$62,'Données projet'!$B$62,AI12+AH13-AQ12)))</f>
        <v>13.686441447207715</v>
      </c>
      <c r="AJ13" s="14">
        <f>AI13*VLOOKUP('Données projet'!$B$10,Paramètres!$A$1:$I$89,3,0)*VLOOKUP('Données projet'!$B$10,Paramètres!$A$1:$I$89,5,0)</f>
        <v>8.1844919854302152</v>
      </c>
      <c r="AK13" s="14">
        <f t="shared" si="35"/>
        <v>2.9530551348887908</v>
      </c>
      <c r="AL13" s="22">
        <f t="shared" si="4"/>
        <v>19.397894567888933</v>
      </c>
      <c r="AM13" s="62">
        <f t="shared" si="5"/>
        <v>312.73122790122227</v>
      </c>
      <c r="AN13" s="62">
        <f ca="1">AVERAGE(OFFSET($AM$3,0,0,'Données projet'!$E$10+1,1))-AVERAGE(OFFSET($H$3,0,0,'Données projet'!$E$10+1,1))</f>
        <v>147.86588596077661</v>
      </c>
      <c r="AO13" s="62">
        <f t="shared" si="36"/>
        <v>228.19398518024298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6.166666666666667</v>
      </c>
      <c r="AI14" s="14">
        <f>IF('Données projet'!$A$62&gt;35,AI13+AH14-AQ13,IF(A14&lt;'Données projet'!$A$62,$AF$205^A14,IF(A14='Données projet'!$A$62,'Données projet'!$B$62,AI13+AH14-AQ13)))</f>
        <v>17.779502238968792</v>
      </c>
      <c r="AJ14" s="14">
        <f>AI14*VLOOKUP('Données projet'!$B$10,Paramètres!$A$1:$I$89,3,0)*VLOOKUP('Données projet'!$B$10,Paramètres!$A$1:$I$89,5,0)</f>
        <v>10.632142338903337</v>
      </c>
      <c r="AK14" s="14">
        <f t="shared" si="35"/>
        <v>3.7211243906425677</v>
      </c>
      <c r="AL14" s="22">
        <f t="shared" si="4"/>
        <v>24.998606220625785</v>
      </c>
      <c r="AM14" s="62">
        <f t="shared" si="5"/>
        <v>318.3319395539591</v>
      </c>
      <c r="AN14" s="62">
        <f ca="1">AVERAGE(OFFSET($AM$3,0,0,'Données projet'!$E$10+1,1))-AVERAGE(OFFSET($H$3,0,0,'Données projet'!$E$10+1,1))</f>
        <v>147.86588596077661</v>
      </c>
      <c r="AO14" s="62">
        <f t="shared" si="36"/>
        <v>228.19398518024298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6.166666666666667</v>
      </c>
      <c r="AI15" s="14">
        <f>IF('Données projet'!$A$62&gt;35,AI14+AH15-AQ14,IF(A15&lt;'Données projet'!$A$62,$AF$205^A15,IF(A15='Données projet'!$A$62,'Données projet'!$B$62,AI14+AH15-AQ14)))</f>
        <v>23.096631880888861</v>
      </c>
      <c r="AJ15" s="14">
        <f>AI15*VLOOKUP('Données projet'!$B$10,Paramètres!$A$1:$I$89,3,0)*VLOOKUP('Données projet'!$B$10,Paramètres!$A$1:$I$89,5,0)</f>
        <v>13.811785864771538</v>
      </c>
      <c r="AK15" s="14">
        <f t="shared" si="35"/>
        <v>4.6889631578641264</v>
      </c>
      <c r="AL15" s="22">
        <f t="shared" si="4"/>
        <v>32.222137881090447</v>
      </c>
      <c r="AM15" s="62">
        <f t="shared" si="5"/>
        <v>325.55547121442373</v>
      </c>
      <c r="AN15" s="62">
        <f ca="1">AVERAGE(OFFSET($AM$3,0,0,'Données projet'!$E$10+1,1))-AVERAGE(OFFSET($H$3,0,0,'Données projet'!$E$10+1,1))</f>
        <v>147.86588596077661</v>
      </c>
      <c r="AO15" s="62">
        <f t="shared" si="36"/>
        <v>228.19398518024298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6.166666666666667</v>
      </c>
      <c r="AI16" s="14">
        <f>IF('Données projet'!$A$62&gt;35,AI15+AH16-AQ15,IF(A16&lt;'Données projet'!$A$62,$AF$205^A16,IF(A16='Données projet'!$A$62,'Données projet'!$B$62,AI15+AH16-AQ15)))</f>
        <v>30.003899832025432</v>
      </c>
      <c r="AJ16" s="14">
        <f>AI16*VLOOKUP('Données projet'!$B$10,Paramètres!$A$1:$I$89,3,0)*VLOOKUP('Données projet'!$B$10,Paramètres!$A$1:$I$89,5,0)</f>
        <v>17.942332099551209</v>
      </c>
      <c r="AK16" s="14">
        <f t="shared" si="35"/>
        <v>5.9085301074846619</v>
      </c>
      <c r="AL16" s="22">
        <f t="shared" si="4"/>
        <v>41.54025167725414</v>
      </c>
      <c r="AM16" s="62">
        <f t="shared" si="5"/>
        <v>334.87358501058748</v>
      </c>
      <c r="AN16" s="62">
        <f ca="1">AVERAGE(OFFSET($AM$3,0,0,'Données projet'!$E$10+1,1))-AVERAGE(OFFSET($H$3,0,0,'Données projet'!$E$10+1,1))</f>
        <v>147.86588596077661</v>
      </c>
      <c r="AO16" s="62">
        <f t="shared" si="36"/>
        <v>228.19398518024298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6.166666666666667</v>
      </c>
      <c r="AI17" s="14">
        <f>IF('Données projet'!$A$62&gt;35,AI16+AH17-AQ16,IF(A17&lt;'Données projet'!$A$62,$AF$205^A17,IF(A17='Données projet'!$A$62,'Données projet'!$B$62,AI16+AH17-AQ16)))</f>
        <v>38.976852113017742</v>
      </c>
      <c r="AJ17" s="14">
        <f>AI17*VLOOKUP('Données projet'!$B$10,Paramètres!$A$1:$I$89,3,0)*VLOOKUP('Données projet'!$B$10,Paramètres!$A$1:$I$89,5,0)</f>
        <v>23.308157563584611</v>
      </c>
      <c r="AK17" s="14">
        <f t="shared" si="35"/>
        <v>7.4452980020757735</v>
      </c>
      <c r="AL17" s="22">
        <f t="shared" si="4"/>
        <v>53.56226844352517</v>
      </c>
      <c r="AM17" s="62">
        <f t="shared" si="5"/>
        <v>346.89560177685848</v>
      </c>
      <c r="AN17" s="62">
        <f ca="1">AVERAGE(OFFSET($AM$3,0,0,'Données projet'!$E$10+1,1))-AVERAGE(OFFSET($H$3,0,0,'Données projet'!$E$10+1,1))</f>
        <v>147.86588596077661</v>
      </c>
      <c r="AO17" s="62">
        <f t="shared" si="36"/>
        <v>228.19398518024298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6.166666666666667</v>
      </c>
      <c r="AI18" s="14">
        <f>IF('Données projet'!$A$62&gt;35,AI17+AH18-AQ17,IF(A18&lt;'Données projet'!$A$62,$AF$205^A18,IF(A18='Données projet'!$A$62,'Données projet'!$B$62,AI17+AH18-AQ17)))</f>
        <v>50.633251315500786</v>
      </c>
      <c r="AJ18" s="14">
        <f>AI18*VLOOKUP('Données projet'!$B$10,Paramètres!$A$1:$I$89,3,0)*VLOOKUP('Données projet'!$B$10,Paramètres!$A$1:$I$89,5,0)</f>
        <v>30.278684286669471</v>
      </c>
      <c r="AK18" s="14">
        <f t="shared" si="35"/>
        <v>9.3817686177978814</v>
      </c>
      <c r="AL18" s="22">
        <f t="shared" si="4"/>
        <v>69.075288808613962</v>
      </c>
      <c r="AM18" s="62">
        <f t="shared" si="5"/>
        <v>362.40862214194726</v>
      </c>
      <c r="AN18" s="62">
        <f ca="1">AVERAGE(OFFSET($AM$3,0,0,'Données projet'!$E$10+1,1))-AVERAGE(OFFSET($H$3,0,0,'Données projet'!$E$10+1,1))</f>
        <v>147.86588596077661</v>
      </c>
      <c r="AO18" s="62">
        <f t="shared" si="36"/>
        <v>228.19398518024298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6.166666666666667</v>
      </c>
      <c r="AI19" s="14">
        <f>IF('Données projet'!$A$62&gt;35,AI18+AH19-AQ18,IF(A19&lt;'Données projet'!$A$62,$AF$205^A19,IF(A19='Données projet'!$A$62,'Données projet'!$B$62,AI18+AH19-AQ18)))</f>
        <v>65.775607823455104</v>
      </c>
      <c r="AJ19" s="14">
        <f>AI19*VLOOKUP('Données projet'!$B$10,Paramètres!$A$1:$I$89,3,0)*VLOOKUP('Données projet'!$B$10,Paramètres!$A$1:$I$89,5,0)</f>
        <v>39.333813478426158</v>
      </c>
      <c r="AK19" s="14">
        <f t="shared" si="35"/>
        <v>11.821901873283993</v>
      </c>
      <c r="AL19" s="22">
        <f t="shared" si="4"/>
        <v>89.096204237561849</v>
      </c>
      <c r="AM19" s="62">
        <f t="shared" si="5"/>
        <v>382.42953757089515</v>
      </c>
      <c r="AN19" s="62">
        <f ca="1">AVERAGE(OFFSET($AM$3,0,0,'Données projet'!$E$10+1,1))-AVERAGE(OFFSET($H$3,0,0,'Données projet'!$E$10+1,1))</f>
        <v>147.86588596077661</v>
      </c>
      <c r="AO19" s="62">
        <f t="shared" si="36"/>
        <v>228.19398518024298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6.166666666666667</v>
      </c>
      <c r="AI20" s="14">
        <f>IF('Données projet'!$A$62&gt;35,AI19+AH20-AQ19,IF(A20&lt;'Données projet'!$A$62,$AF$205^A20,IF(A20='Données projet'!$A$62,'Données projet'!$B$62,AI19+AH20-AQ19)))</f>
        <v>85.44643040176409</v>
      </c>
      <c r="AJ20" s="14">
        <f>AI20*VLOOKUP('Données projet'!$B$10,Paramètres!$A$1:$I$89,3,0)*VLOOKUP('Données projet'!$B$10,Paramètres!$A$1:$I$89,5,0)</f>
        <v>51.096965380254936</v>
      </c>
      <c r="AK20" s="14">
        <f t="shared" si="35"/>
        <v>14.896696944372083</v>
      </c>
      <c r="AL20" s="22">
        <f t="shared" si="4"/>
        <v>114.93896188205872</v>
      </c>
      <c r="AM20" s="62">
        <f t="shared" si="5"/>
        <v>408.27229521539203</v>
      </c>
      <c r="AN20" s="62">
        <f ca="1">AVERAGE(OFFSET($AM$3,0,0,'Données projet'!$E$10+1,1))-AVERAGE(OFFSET($H$3,0,0,'Données projet'!$E$10+1,1))</f>
        <v>147.86588596077661</v>
      </c>
      <c r="AO20" s="62">
        <f t="shared" si="36"/>
        <v>228.19398518024298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111</v>
      </c>
      <c r="AG21" s="13">
        <f>VLOOKUP(A21,'Données projet'!$A$61:$I$81,9,0)</f>
        <v>6.166666666666667</v>
      </c>
      <c r="AH21" s="13">
        <f t="array" ref="AH21">INDEX(AG:AG,MIN(IF(ISNUMBER(AG21:AG217),ROW(AG21:AG217),"")))</f>
        <v>6.166666666666667</v>
      </c>
      <c r="AI21" s="14">
        <f>IF('Données projet'!$A$62&gt;35,AI20+AH21-AQ20,IF(A21&lt;'Données projet'!$A$62,$AF$205^A21,IF(A21='Données projet'!$A$62,'Données projet'!$B$62,AI20+AH21-AQ20)))</f>
        <v>111</v>
      </c>
      <c r="AJ21" s="14">
        <f>AI21*VLOOKUP('Données projet'!$B$10,Paramètres!$A$1:$I$89,3,0)*VLOOKUP('Données projet'!$B$10,Paramètres!$A$1:$I$89,5,0)</f>
        <v>66.378</v>
      </c>
      <c r="AK21" s="14">
        <f t="shared" si="35"/>
        <v>18.771224988253085</v>
      </c>
      <c r="AL21" s="22">
        <f t="shared" si="4"/>
        <v>148.30156685454077</v>
      </c>
      <c r="AM21" s="62">
        <f t="shared" si="5"/>
        <v>441.63490018787411</v>
      </c>
      <c r="AN21" s="62">
        <f ca="1">AVERAGE(OFFSET($AM$3,0,0,'Données projet'!$E$10+1,1))-AVERAGE(OFFSET($H$3,0,0,'Données projet'!$E$10+1,1))</f>
        <v>147.86588596077661</v>
      </c>
      <c r="AO21" s="62">
        <f t="shared" si="36"/>
        <v>228.19398518024298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27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1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18.281022675862321</v>
      </c>
      <c r="AX21" s="23">
        <f t="shared" si="6"/>
        <v>18.281022675862321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13.666666666666666</v>
      </c>
      <c r="AI22" s="14">
        <f>IF('Données projet'!$A$62&gt;35,AI21+AH22-AQ21,IF(A22&lt;'Données projet'!$A$62,$AF$205^A22,IF(A22='Données projet'!$A$62,'Données projet'!$B$62,AI21+AH22-AQ21)))</f>
        <v>97.666666666666671</v>
      </c>
      <c r="AJ22" s="14">
        <f>AI22*VLOOKUP('Données projet'!$B$10,Paramètres!$A$1:$I$89,3,0)*VLOOKUP('Données projet'!$B$10,Paramètres!$A$1:$I$89,5,0)</f>
        <v>58.404666666666671</v>
      </c>
      <c r="AK22" s="14">
        <f t="shared" si="35"/>
        <v>16.764288254088292</v>
      </c>
      <c r="AL22" s="22">
        <f t="shared" si="4"/>
        <v>130.91926315364825</v>
      </c>
      <c r="AM22" s="62">
        <f t="shared" si="5"/>
        <v>424.25259648698159</v>
      </c>
      <c r="AN22" s="62">
        <f ca="1">AVERAGE(OFFSET($AM$3,0,0,'Données projet'!$E$10+1,1))-AVERAGE(OFFSET($H$3,0,0,'Données projet'!$E$10+1,1))</f>
        <v>147.86588596077661</v>
      </c>
      <c r="AO22" s="62">
        <f t="shared" si="36"/>
        <v>228.19398518024298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12.926635101127292</v>
      </c>
      <c r="AX22" s="23">
        <f t="shared" si="6"/>
        <v>12.926635101127292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13.666666666666666</v>
      </c>
      <c r="AI23" s="14">
        <f>IF('Données projet'!$A$62&gt;35,AI22+AH23-AQ22,IF(A23&lt;'Données projet'!$A$62,$AF$205^A23,IF(A23='Données projet'!$A$62,'Données projet'!$B$62,AI22+AH23-AQ22)))</f>
        <v>111.33333333333334</v>
      </c>
      <c r="AJ23" s="14">
        <f>AI23*VLOOKUP('Données projet'!$B$10,Paramètres!$A$1:$I$89,3,0)*VLOOKUP('Données projet'!$B$10,Paramètres!$A$1:$I$89,5,0)</f>
        <v>66.577333333333343</v>
      </c>
      <c r="AK23" s="14">
        <f t="shared" si="35"/>
        <v>18.821024864454692</v>
      </c>
      <c r="AL23" s="22">
        <f t="shared" si="4"/>
        <v>148.73547386114751</v>
      </c>
      <c r="AM23" s="62">
        <f t="shared" si="5"/>
        <v>442.06880719448083</v>
      </c>
      <c r="AN23" s="62">
        <f ca="1">AVERAGE(OFFSET($AM$3,0,0,'Données projet'!$E$10+1,1))-AVERAGE(OFFSET($H$3,0,0,'Données projet'!$E$10+1,1))</f>
        <v>147.86588596077661</v>
      </c>
      <c r="AO23" s="62">
        <f t="shared" si="36"/>
        <v>228.19398518024298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9.1405113379311622</v>
      </c>
      <c r="AX23" s="23">
        <f t="shared" si="6"/>
        <v>9.1405113379311622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13.666666666666666</v>
      </c>
      <c r="AI24" s="14">
        <f>IF('Données projet'!$A$62&gt;35,AI23+AH24-AQ23,IF(A24&lt;'Données projet'!$A$62,$AF$205^A24,IF(A24='Données projet'!$A$62,'Données projet'!$B$62,AI23+AH24-AQ23)))</f>
        <v>125.00000000000001</v>
      </c>
      <c r="AJ24" s="14">
        <f>AI24*VLOOKUP('Données projet'!$B$10,Paramètres!$A$1:$I$89,3,0)*VLOOKUP('Données projet'!$B$10,Paramètres!$A$1:$I$89,5,0)</f>
        <v>74.750000000000014</v>
      </c>
      <c r="AK24" s="14">
        <f t="shared" si="35"/>
        <v>20.848505019312213</v>
      </c>
      <c r="AL24" s="22">
        <f t="shared" si="4"/>
        <v>166.50072957530213</v>
      </c>
      <c r="AM24" s="62">
        <f t="shared" si="5"/>
        <v>459.83406290863547</v>
      </c>
      <c r="AN24" s="62">
        <f ca="1">AVERAGE(OFFSET($AM$3,0,0,'Données projet'!$E$10+1,1))-AVERAGE(OFFSET($H$3,0,0,'Données projet'!$E$10+1,1))</f>
        <v>147.86588596077661</v>
      </c>
      <c r="AO24" s="62">
        <f t="shared" si="36"/>
        <v>228.19398518024298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6.4633175505636471</v>
      </c>
      <c r="AX24" s="23">
        <f t="shared" si="6"/>
        <v>6.4633175505636471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13.666666666666666</v>
      </c>
      <c r="AI25" s="14">
        <f>IF('Données projet'!$A$62&gt;35,AI24+AH25-AQ24,IF(A25&lt;'Données projet'!$A$62,$AF$205^A25,IF(A25='Données projet'!$A$62,'Données projet'!$B$62,AI24+AH25-AQ24)))</f>
        <v>138.66666666666669</v>
      </c>
      <c r="AJ25" s="14">
        <f>AI25*VLOOKUP('Données projet'!$B$10,Paramètres!$A$1:$I$89,3,0)*VLOOKUP('Données projet'!$B$10,Paramètres!$A$1:$I$89,5,0)</f>
        <v>82.922666666666686</v>
      </c>
      <c r="AK25" s="14">
        <f t="shared" si="35"/>
        <v>22.850292162919715</v>
      </c>
      <c r="AL25" s="22">
        <f t="shared" si="4"/>
        <v>184.22123662819629</v>
      </c>
      <c r="AM25" s="62">
        <f t="shared" si="5"/>
        <v>477.55456996152964</v>
      </c>
      <c r="AN25" s="62">
        <f ca="1">AVERAGE(OFFSET($AM$3,0,0,'Données projet'!$E$10+1,1))-AVERAGE(OFFSET($H$3,0,0,'Données projet'!$E$10+1,1))</f>
        <v>147.86588596077661</v>
      </c>
      <c r="AO25" s="62">
        <f t="shared" si="36"/>
        <v>228.19398518024298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4.5702556689655811</v>
      </c>
      <c r="AX25" s="23">
        <f t="shared" si="6"/>
        <v>4.5702556689655811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13.666666666666666</v>
      </c>
      <c r="AI26" s="14">
        <f>IF('Données projet'!$A$62&gt;35,AI25+AH26-AQ25,IF(A26&lt;'Données projet'!$A$62,$AF$205^A26,IF(A26='Données projet'!$A$62,'Données projet'!$B$62,AI25+AH26-AQ25)))</f>
        <v>152.33333333333334</v>
      </c>
      <c r="AJ26" s="14">
        <f>AI26*VLOOKUP('Données projet'!$B$10,Paramètres!$A$1:$I$89,3,0)*VLOOKUP('Données projet'!$B$10,Paramètres!$A$1:$I$89,5,0)</f>
        <v>91.095333333333343</v>
      </c>
      <c r="AK26" s="14">
        <f t="shared" si="35"/>
        <v>24.829206746042935</v>
      </c>
      <c r="AL26" s="22">
        <f t="shared" si="4"/>
        <v>201.90190730491364</v>
      </c>
      <c r="AM26" s="62">
        <f t="shared" si="5"/>
        <v>495.23524063824698</v>
      </c>
      <c r="AN26" s="62">
        <f ca="1">AVERAGE(OFFSET($AM$3,0,0,'Données projet'!$E$10+1,1))-AVERAGE(OFFSET($H$3,0,0,'Données projet'!$E$10+1,1))</f>
        <v>147.86588596077661</v>
      </c>
      <c r="AO26" s="62">
        <f t="shared" si="36"/>
        <v>228.19398518024298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3.2316587752818235</v>
      </c>
      <c r="AX26" s="23">
        <f t="shared" si="6"/>
        <v>3.2316587752818235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166</v>
      </c>
      <c r="AG27" s="13">
        <f>VLOOKUP(A27,'Données projet'!$A$61:$I$81,9,0)</f>
        <v>13.666666666666666</v>
      </c>
      <c r="AH27" s="13">
        <f t="array" ref="AH27">INDEX(AG:AG,MIN(IF(ISNUMBER(AG27:AG223),ROW(AG27:AG223),"")))</f>
        <v>13.666666666666666</v>
      </c>
      <c r="AI27" s="14">
        <f>IF('Données projet'!$A$62&gt;35,AI26+AH27-AQ26,IF(A27&lt;'Données projet'!$A$62,$AF$205^A27,IF(A27='Données projet'!$A$62,'Données projet'!$B$62,AI26+AH27-AQ26)))</f>
        <v>166</v>
      </c>
      <c r="AJ27" s="14">
        <f>AI27*VLOOKUP('Données projet'!$B$10,Paramètres!$A$1:$I$89,3,0)*VLOOKUP('Données projet'!$B$10,Paramètres!$A$1:$I$89,5,0)</f>
        <v>99.268000000000001</v>
      </c>
      <c r="AK27" s="14">
        <f t="shared" si="35"/>
        <v>26.78753414535981</v>
      </c>
      <c r="AL27" s="22">
        <f t="shared" si="4"/>
        <v>219.54672196983498</v>
      </c>
      <c r="AM27" s="62">
        <f t="shared" si="5"/>
        <v>512.88005530316832</v>
      </c>
      <c r="AN27" s="62">
        <f ca="1">AVERAGE(OFFSET($AM$3,0,0,'Données projet'!$E$10+1,1))-AVERAGE(OFFSET($H$3,0,0,'Données projet'!$E$10+1,1))</f>
        <v>147.86588596077661</v>
      </c>
      <c r="AO27" s="62">
        <f t="shared" si="36"/>
        <v>228.19398518024298</v>
      </c>
      <c r="AP27" s="16">
        <f>IF(ISNA(VLOOKUP(A27,'Données projet'!$A$61:$I$81,3,0)),0,VLOOKUP(A27,'Données projet'!$A$61:$I$81,3,0))</f>
        <v>2</v>
      </c>
      <c r="AQ27" s="16">
        <f>IF(ISNA(VLOOKUP(A27,'Données projet'!$A$61:$I$81,4,0)),0,VLOOKUP(A27,'Données projet'!$A$61:$I$81,4,0))</f>
        <v>38</v>
      </c>
      <c r="AR27" s="17">
        <f>IF(ISNA(VLOOKUP(A27,'Données projet'!$A$61:$I$81,5,0)),0%,VLOOKUP(A27,'Données projet'!$A$61:$I$81,5,0)*VLOOKUP('Données projet'!$B$10,Paramètres!$A$1:$I$89,7,0))</f>
        <v>0.13500000000000001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0.7</v>
      </c>
      <c r="AU27" s="23">
        <f>EXP(-LN(2)/35)*AU26+(1-EXP(-LN(2)/35))/(LN(2)/35)*AQ27*AR27*VLOOKUP('Données projet'!$B$10,Paramètres!$A$1:$I$89,3,0)*0.475*44/12</f>
        <v>4.0695548425300956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20.295320544776779</v>
      </c>
      <c r="AX27" s="23">
        <f t="shared" si="6"/>
        <v>24.364875387306874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12.833333333333334</v>
      </c>
      <c r="AI28" s="14">
        <f>IF('Données projet'!$A$62&gt;35,AI27+AH28-AQ27,IF(A28&lt;'Données projet'!$A$62,$AF$205^A28,IF(A28='Données projet'!$A$62,'Données projet'!$B$62,AI27+AH28-AQ27)))</f>
        <v>140.83333333333334</v>
      </c>
      <c r="AJ28" s="14">
        <f>AI28*VLOOKUP('Données projet'!$B$10,Paramètres!$A$1:$I$89,3,0)*VLOOKUP('Données projet'!$B$10,Paramètres!$A$1:$I$89,5,0)</f>
        <v>84.218333333333348</v>
      </c>
      <c r="AK28" s="14">
        <f t="shared" si="35"/>
        <v>23.165483776806148</v>
      </c>
      <c r="AL28" s="22">
        <f t="shared" si="4"/>
        <v>187.0268148001596</v>
      </c>
      <c r="AM28" s="62">
        <f t="shared" si="5"/>
        <v>480.36014813349288</v>
      </c>
      <c r="AN28" s="62">
        <f ca="1">AVERAGE(OFFSET($AM$3,0,0,'Données projet'!$E$10+1,1))-AVERAGE(OFFSET($H$3,0,0,'Données projet'!$E$10+1,1))</f>
        <v>147.86588596077661</v>
      </c>
      <c r="AO28" s="62">
        <f t="shared" si="36"/>
        <v>228.19398518024298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3.9897533542514392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14.350958783566318</v>
      </c>
      <c r="AX28" s="23">
        <f t="shared" si="6"/>
        <v>18.340712137817757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12.833333333333334</v>
      </c>
      <c r="AI29" s="14">
        <f>IF('Données projet'!$A$62&gt;35,AI28+AH29-AQ28,IF(A29&lt;'Données projet'!$A$62,$AF$205^A29,IF(A29='Données projet'!$A$62,'Données projet'!$B$62,AI28+AH29-AQ28)))</f>
        <v>153.66666666666669</v>
      </c>
      <c r="AJ29" s="14">
        <f>AI29*VLOOKUP('Données projet'!$B$10,Paramètres!$A$1:$I$89,3,0)*VLOOKUP('Données projet'!$B$10,Paramètres!$A$1:$I$89,5,0)</f>
        <v>91.892666666666685</v>
      </c>
      <c r="AK29" s="14">
        <f t="shared" si="35"/>
        <v>25.021136263266175</v>
      </c>
      <c r="AL29" s="22">
        <f t="shared" si="4"/>
        <v>203.62487343629971</v>
      </c>
      <c r="AM29" s="62">
        <f t="shared" si="5"/>
        <v>496.95820676963302</v>
      </c>
      <c r="AN29" s="62">
        <f ca="1">AVERAGE(OFFSET($AM$3,0,0,'Données projet'!$E$10+1,1))-AVERAGE(OFFSET($H$3,0,0,'Données projet'!$E$10+1,1))</f>
        <v>147.86588596077661</v>
      </c>
      <c r="AO29" s="62">
        <f t="shared" si="36"/>
        <v>228.19398518024298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3.9115167244838256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10.147660272388391</v>
      </c>
      <c r="AX29" s="23">
        <f t="shared" si="6"/>
        <v>14.059176996872218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12.833333333333334</v>
      </c>
      <c r="AI30" s="14">
        <f>IF('Données projet'!$A$62&gt;35,AI29+AH30-AQ29,IF(A30&lt;'Données projet'!$A$62,$AF$205^A30,IF(A30='Données projet'!$A$62,'Données projet'!$B$62,AI29+AH30-AQ29)))</f>
        <v>166.50000000000003</v>
      </c>
      <c r="AJ30" s="14">
        <f>AI30*VLOOKUP('Données projet'!$B$10,Paramètres!$A$1:$I$89,3,0)*VLOOKUP('Données projet'!$B$10,Paramètres!$A$1:$I$89,5,0)</f>
        <v>99.567000000000021</v>
      </c>
      <c r="AK30" s="14">
        <f t="shared" si="35"/>
        <v>26.858815231289142</v>
      </c>
      <c r="AL30" s="22">
        <f t="shared" si="4"/>
        <v>220.19162819449528</v>
      </c>
      <c r="AM30" s="62">
        <f t="shared" si="5"/>
        <v>513.52496152782862</v>
      </c>
      <c r="AN30" s="62">
        <f ca="1">AVERAGE(OFFSET($AM$3,0,0,'Données projet'!$E$10+1,1))-AVERAGE(OFFSET($H$3,0,0,'Données projet'!$E$10+1,1))</f>
        <v>147.86588596077661</v>
      </c>
      <c r="AO30" s="62">
        <f t="shared" si="36"/>
        <v>228.19398518024298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3.8348142673063226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7.1754793917831599</v>
      </c>
      <c r="AX30" s="23">
        <f t="shared" si="6"/>
        <v>11.010293659089482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12.833333333333334</v>
      </c>
      <c r="AI31" s="14">
        <f>IF('Données projet'!$A$62&gt;35,AI30+AH31-AQ30,IF(A31&lt;'Données projet'!$A$62,$AF$205^A31,IF(A31='Données projet'!$A$62,'Données projet'!$B$62,AI30+AH31-AQ30)))</f>
        <v>179.33333333333337</v>
      </c>
      <c r="AJ31" s="14">
        <f>AI31*VLOOKUP('Données projet'!$B$10,Paramètres!$A$1:$I$89,3,0)*VLOOKUP('Données projet'!$B$10,Paramètres!$A$1:$I$89,5,0)</f>
        <v>107.24133333333336</v>
      </c>
      <c r="AK31" s="14">
        <f t="shared" si="35"/>
        <v>28.680063538962813</v>
      </c>
      <c r="AL31" s="22">
        <f t="shared" si="4"/>
        <v>236.72976621924911</v>
      </c>
      <c r="AM31" s="62">
        <f t="shared" si="5"/>
        <v>530.06309955258246</v>
      </c>
      <c r="AN31" s="62">
        <f ca="1">AVERAGE(OFFSET($AM$3,0,0,'Données projet'!$E$10+1,1))-AVERAGE(OFFSET($H$3,0,0,'Données projet'!$E$10+1,1))</f>
        <v>147.86588596077661</v>
      </c>
      <c r="AO31" s="62">
        <f t="shared" si="36"/>
        <v>228.19398518024298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3.7596158985301908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5.0738301361941964</v>
      </c>
      <c r="AX31" s="23">
        <f t="shared" si="6"/>
        <v>8.8334460347243873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12.833333333333334</v>
      </c>
      <c r="AI32" s="14">
        <f>IF('Données projet'!$A$62&gt;35,AI31+AH32-AQ31,IF(A32&lt;'Données projet'!$A$62,$AF$205^A32,IF(A32='Données projet'!$A$62,'Données projet'!$B$62,AI31+AH32-AQ31)))</f>
        <v>192.16666666666671</v>
      </c>
      <c r="AJ32" s="14">
        <f>AI32*VLOOKUP('Données projet'!$B$10,Paramètres!$A$1:$I$89,3,0)*VLOOKUP('Données projet'!$B$10,Paramètres!$A$1:$I$89,5,0)</f>
        <v>114.9156666666667</v>
      </c>
      <c r="AK32" s="14">
        <f t="shared" si="35"/>
        <v>30.486190713157598</v>
      </c>
      <c r="AL32" s="22">
        <f t="shared" si="4"/>
        <v>253.24156826986064</v>
      </c>
      <c r="AM32" s="62">
        <f t="shared" si="5"/>
        <v>546.57490160319389</v>
      </c>
      <c r="AN32" s="62">
        <f ca="1">AVERAGE(OFFSET($AM$3,0,0,'Données projet'!$E$10+1,1))-AVERAGE(OFFSET($H$3,0,0,'Données projet'!$E$10+1,1))</f>
        <v>147.86588596077661</v>
      </c>
      <c r="AO32" s="62">
        <f t="shared" si="36"/>
        <v>228.19398518024298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3.6858921238992832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3.5877396958915804</v>
      </c>
      <c r="AX32" s="23">
        <f t="shared" si="6"/>
        <v>7.2736318197908636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12.833333333333334</v>
      </c>
      <c r="AH33" s="13">
        <f t="array" ref="AH33">INDEX(AG:AG,MIN(IF(ISNUMBER(AG33:AG229),ROW(AG33:AG229),"")))</f>
        <v>12.833333333333334</v>
      </c>
      <c r="AI33" s="14">
        <f>IF('Données projet'!$A$62&gt;35,AI32+AH33-AQ32,IF(A33&lt;'Données projet'!$A$62,$AF$205^A33,IF(A33='Données projet'!$A$62,'Données projet'!$B$62,AI32+AH33-AQ32)))</f>
        <v>205.00000000000006</v>
      </c>
      <c r="AJ33" s="14">
        <f>AI33*VLOOKUP('Données projet'!$B$10,Paramètres!$A$1:$I$89,3,0)*VLOOKUP('Données projet'!$B$10,Paramètres!$A$1:$I$89,5,0)</f>
        <v>122.59000000000003</v>
      </c>
      <c r="AK33" s="14">
        <f t="shared" si="35"/>
        <v>32.278321478706822</v>
      </c>
      <c r="AL33" s="22">
        <f t="shared" si="4"/>
        <v>269.72899324208112</v>
      </c>
      <c r="AM33" s="62">
        <f t="shared" si="5"/>
        <v>563.06232657541443</v>
      </c>
      <c r="AN33" s="62">
        <f ca="1">AVERAGE(OFFSET($AM$3,0,0,'Données projet'!$E$10+1,1))-AVERAGE(OFFSET($H$3,0,0,'Données projet'!$E$10+1,1))</f>
        <v>147.86588596077661</v>
      </c>
      <c r="AO33" s="62">
        <f t="shared" si="36"/>
        <v>228.19398518024298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47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9.0000000000000011E-2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10.324809732746896</v>
      </c>
      <c r="AV33" s="23">
        <f>EXP(-LN(2)/25)*AV32+(1-EXP(-LN(2)/25))/(LN(2)/25)*Calculateur!AQ33*Calculateur!AS33*VLOOKUP('Données projet'!$B$10,Paramètres!$A$1:$I$89,3,0)*0.475*44/12</f>
        <v>3.3423855852837776</v>
      </c>
      <c r="AW33" s="23">
        <f>EXP(-LN(2)/2)*AW32+(1-EXP(-LN(2)/2))/(LN(2)/2)*AQ33*AT33*VLOOKUP('Données projet'!$B$10,Paramètres!$A$1:$I$89,3,0)*0.475*44/12</f>
        <v>15.265923449808641</v>
      </c>
      <c r="AX33" s="23">
        <f t="shared" si="6"/>
        <v>28.933118767839314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</v>
      </c>
      <c r="AI34" s="14">
        <f>IF('Données projet'!$A$62&gt;35,AI33+AH34-AQ33,IF(A34&lt;'Données projet'!$A$62,$AF$205^A34,IF(A34='Données projet'!$A$62,'Données projet'!$B$62,AI33+AH34-AQ33)))</f>
        <v>168.70000000000005</v>
      </c>
      <c r="AJ34" s="14">
        <f>AI34*VLOOKUP('Données projet'!$B$10,Paramètres!$A$1:$I$89,3,0)*VLOOKUP('Données projet'!$B$10,Paramètres!$A$1:$I$89,5,0)</f>
        <v>100.88260000000002</v>
      </c>
      <c r="AK34" s="14">
        <f t="shared" si="35"/>
        <v>27.172157172029827</v>
      </c>
      <c r="AL34" s="22">
        <f t="shared" si="4"/>
        <v>223.02870207461862</v>
      </c>
      <c r="AM34" s="62">
        <f t="shared" si="5"/>
        <v>516.36203540795191</v>
      </c>
      <c r="AN34" s="62">
        <f ca="1">AVERAGE(OFFSET($AM$3,0,0,'Données projet'!$E$10+1,1))-AVERAGE(OFFSET($H$3,0,0,'Données projet'!$E$10+1,1))</f>
        <v>147.86588596077661</v>
      </c>
      <c r="AO34" s="62">
        <f t="shared" si="36"/>
        <v>228.19398518024298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10.122346511399838</v>
      </c>
      <c r="AV34" s="23">
        <f>EXP(-LN(2)/25)*AV33+(1-EXP(-LN(2)/25))/(LN(2)/25)*Calculateur!AQ34*Calculateur!AS34*VLOOKUP('Données projet'!$B$10,Paramètres!$A$1:$I$89,3,0)*0.475*44/12</f>
        <v>3.250987875685774</v>
      </c>
      <c r="AW34" s="23">
        <f>EXP(-LN(2)/2)*AW33+(1-EXP(-LN(2)/2))/(LN(2)/2)*AQ34*AT34*VLOOKUP('Données projet'!$B$10,Paramètres!$A$1:$I$89,3,0)*0.475*44/12</f>
        <v>10.794637992434424</v>
      </c>
      <c r="AX34" s="23">
        <f t="shared" si="6"/>
        <v>24.167972379520037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</v>
      </c>
      <c r="AI35" s="14">
        <f>IF('Données projet'!$A$62&gt;35,AI34+AH35-AQ34,IF(A35&lt;'Données projet'!$A$62,$AF$205^A35,IF(A35='Données projet'!$A$62,'Données projet'!$B$62,AI34+AH35-AQ34)))</f>
        <v>179.40000000000003</v>
      </c>
      <c r="AJ35" s="14">
        <f>AI35*VLOOKUP('Données projet'!$B$10,Paramètres!$A$1:$I$89,3,0)*VLOOKUP('Données projet'!$B$10,Paramètres!$A$1:$I$89,5,0)</f>
        <v>107.28120000000003</v>
      </c>
      <c r="AK35" s="14">
        <f t="shared" si="35"/>
        <v>28.689484043027395</v>
      </c>
      <c r="AL35" s="22">
        <f t="shared" si="4"/>
        <v>236.81560804160608</v>
      </c>
      <c r="AM35" s="62">
        <f t="shared" si="5"/>
        <v>530.14894137493934</v>
      </c>
      <c r="AN35" s="62">
        <f ca="1">AVERAGE(OFFSET($AM$3,0,0,'Données projet'!$E$10+1,1))-AVERAGE(OFFSET($H$3,0,0,'Données projet'!$E$10+1,1))</f>
        <v>147.86588596077661</v>
      </c>
      <c r="AO35" s="62">
        <f t="shared" si="36"/>
        <v>228.19398518024298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9.9238534703330252</v>
      </c>
      <c r="AV35" s="23">
        <f>EXP(-LN(2)/25)*AV34+(1-EXP(-LN(2)/25))/(LN(2)/25)*Calculateur!AQ35*Calculateur!AS35*VLOOKUP('Données projet'!$B$10,Paramètres!$A$1:$I$89,3,0)*0.475*44/12</f>
        <v>3.1620894412631242</v>
      </c>
      <c r="AW35" s="23">
        <f>EXP(-LN(2)/2)*AW34+(1-EXP(-LN(2)/2))/(LN(2)/2)*AQ35*AT35*VLOOKUP('Données projet'!$B$10,Paramètres!$A$1:$I$89,3,0)*0.475*44/12</f>
        <v>7.6329617249043213</v>
      </c>
      <c r="AX35" s="23">
        <f t="shared" si="6"/>
        <v>20.718904636500469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</v>
      </c>
      <c r="AI36" s="14">
        <f>IF('Données projet'!$A$62&gt;35,AI35+AH36-AQ35,IF(A36&lt;'Données projet'!$A$62,$AF$205^A36,IF(A36='Données projet'!$A$62,'Données projet'!$B$62,AI35+AH36-AQ35)))</f>
        <v>190.10000000000002</v>
      </c>
      <c r="AJ36" s="14">
        <f>AI36*VLOOKUP('Données projet'!$B$10,Paramètres!$A$1:$I$89,3,0)*VLOOKUP('Données projet'!$B$10,Paramètres!$A$1:$I$89,5,0)</f>
        <v>113.67980000000001</v>
      </c>
      <c r="AK36" s="14">
        <f t="shared" si="35"/>
        <v>30.19630681882758</v>
      </c>
      <c r="AL36" s="22">
        <f t="shared" si="4"/>
        <v>250.58421937612471</v>
      </c>
      <c r="AM36" s="62">
        <f t="shared" si="5"/>
        <v>543.91755270945805</v>
      </c>
      <c r="AN36" s="62">
        <f ca="1">AVERAGE(OFFSET($AM$3,0,0,'Données projet'!$E$10+1,1))-AVERAGE(OFFSET($H$3,0,0,'Données projet'!$E$10+1,1))</f>
        <v>147.86588596077661</v>
      </c>
      <c r="AO36" s="62">
        <f t="shared" si="36"/>
        <v>228.19398518024298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9.7292527567327323</v>
      </c>
      <c r="AV36" s="23">
        <f>EXP(-LN(2)/25)*AV35+(1-EXP(-LN(2)/25))/(LN(2)/25)*Calculateur!AQ36*Calculateur!AS36*VLOOKUP('Données projet'!$B$10,Paramètres!$A$1:$I$89,3,0)*0.475*44/12</f>
        <v>3.0756219392047273</v>
      </c>
      <c r="AW36" s="23">
        <f>EXP(-LN(2)/2)*AW35+(1-EXP(-LN(2)/2))/(LN(2)/2)*AQ36*AT36*VLOOKUP('Données projet'!$B$10,Paramètres!$A$1:$I$89,3,0)*0.475*44/12</f>
        <v>5.397318996217213</v>
      </c>
      <c r="AX36" s="23">
        <f t="shared" si="6"/>
        <v>18.202193692154673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</v>
      </c>
      <c r="AI37" s="14">
        <f>IF('Données projet'!$A$62&gt;35,AI36+AH37-AQ36,IF(A37&lt;'Données projet'!$A$62,$AF$205^A37,IF(A37='Données projet'!$A$62,'Données projet'!$B$62,AI36+AH37-AQ36)))</f>
        <v>200.8</v>
      </c>
      <c r="AJ37" s="14">
        <f>AI37*VLOOKUP('Données projet'!$B$10,Paramètres!$A$1:$I$89,3,0)*VLOOKUP('Données projet'!$B$10,Paramètres!$A$1:$I$89,5,0)</f>
        <v>120.07840000000002</v>
      </c>
      <c r="AK37" s="14">
        <f t="shared" si="35"/>
        <v>31.693284111529564</v>
      </c>
      <c r="AL37" s="22">
        <f t="shared" si="4"/>
        <v>264.33568316091396</v>
      </c>
      <c r="AM37" s="62">
        <f t="shared" si="5"/>
        <v>557.66901649424722</v>
      </c>
      <c r="AN37" s="62">
        <f ca="1">AVERAGE(OFFSET($AM$3,0,0,'Données projet'!$E$10+1,1))-AVERAGE(OFFSET($H$3,0,0,'Données projet'!$E$10+1,1))</f>
        <v>147.86588596077661</v>
      </c>
      <c r="AO37" s="62">
        <f t="shared" si="36"/>
        <v>228.19398518024298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9.5384680444314256</v>
      </c>
      <c r="AV37" s="23">
        <f>EXP(-LN(2)/25)*AV36+(1-EXP(-LN(2)/25))/(LN(2)/25)*Calculateur!AQ37*Calculateur!AS37*VLOOKUP('Données projet'!$B$10,Paramètres!$A$1:$I$89,3,0)*0.475*44/12</f>
        <v>2.9915188955372458</v>
      </c>
      <c r="AW37" s="23">
        <f>EXP(-LN(2)/2)*AW36+(1-EXP(-LN(2)/2))/(LN(2)/2)*AQ37*AT37*VLOOKUP('Données projet'!$B$10,Paramètres!$A$1:$I$89,3,0)*0.475*44/12</f>
        <v>3.8164808624521616</v>
      </c>
      <c r="AX37" s="23">
        <f t="shared" si="6"/>
        <v>16.346467802420833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10.7</v>
      </c>
      <c r="AI38" s="14">
        <f>IF('Données projet'!$A$62&gt;35,AI37+AH38-AQ37,IF(A38&lt;'Données projet'!$A$62,$AF$205^A38,IF(A38='Données projet'!$A$62,'Données projet'!$B$62,AI37+AH38-AQ37)))</f>
        <v>211.5</v>
      </c>
      <c r="AJ38" s="14">
        <f>AI38*VLOOKUP('Données projet'!$B$10,Paramètres!$A$1:$I$89,3,0)*VLOOKUP('Données projet'!$B$10,Paramètres!$A$1:$I$89,5,0)</f>
        <v>126.47700000000002</v>
      </c>
      <c r="AK38" s="14">
        <f t="shared" si="35"/>
        <v>33.181000378224027</v>
      </c>
      <c r="AL38" s="22">
        <f t="shared" si="4"/>
        <v>278.0710173254069</v>
      </c>
      <c r="AM38" s="62">
        <f t="shared" si="5"/>
        <v>571.40435065874021</v>
      </c>
      <c r="AN38" s="62">
        <f ca="1">AVERAGE(OFFSET($AM$3,0,0,'Données projet'!$E$10+1,1))-AVERAGE(OFFSET($H$3,0,0,'Données projet'!$E$10+1,1))</f>
        <v>147.86588596077661</v>
      </c>
      <c r="AO38" s="62">
        <f t="shared" si="36"/>
        <v>228.19398518024298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9.3514245039711632</v>
      </c>
      <c r="AV38" s="23">
        <f>EXP(-LN(2)/25)*AV37+(1-EXP(-LN(2)/25))/(LN(2)/25)*Calculateur!AQ38*Calculateur!AS38*VLOOKUP('Données projet'!$B$10,Paramètres!$A$1:$I$89,3,0)*0.475*44/12</f>
        <v>2.9097156540216385</v>
      </c>
      <c r="AW38" s="23">
        <f>EXP(-LN(2)/2)*AW37+(1-EXP(-LN(2)/2))/(LN(2)/2)*AQ38*AT38*VLOOKUP('Données projet'!$B$10,Paramètres!$A$1:$I$89,3,0)*0.475*44/12</f>
        <v>2.6986594981086069</v>
      </c>
      <c r="AX38" s="23">
        <f t="shared" si="6"/>
        <v>14.95979965610141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10.7</v>
      </c>
      <c r="AI39" s="14">
        <f>IF('Données projet'!$A$62&gt;35,AI38+AH39-AQ38,IF(A39&lt;'Données projet'!$A$62,$AF$205^A39,IF(A39='Données projet'!$A$62,'Données projet'!$B$62,AI38+AH39-AQ38)))</f>
        <v>222.2</v>
      </c>
      <c r="AJ39" s="14">
        <f>AI39*VLOOKUP('Données projet'!$B$10,Paramètres!$A$1:$I$89,3,0)*VLOOKUP('Données projet'!$B$10,Paramètres!$A$1:$I$89,5,0)</f>
        <v>132.87560000000002</v>
      </c>
      <c r="AK39" s="14">
        <f t="shared" si="35"/>
        <v>34.659977599024245</v>
      </c>
      <c r="AL39" s="22">
        <f t="shared" si="4"/>
        <v>291.79113098496725</v>
      </c>
      <c r="AM39" s="62">
        <f t="shared" si="5"/>
        <v>585.12446431830062</v>
      </c>
      <c r="AN39" s="62">
        <f ca="1">AVERAGE(OFFSET($AM$3,0,0,'Données projet'!$E$10+1,1))-AVERAGE(OFFSET($H$3,0,0,'Données projet'!$E$10+1,1))</f>
        <v>147.86588596077661</v>
      </c>
      <c r="AO39" s="62">
        <f t="shared" si="36"/>
        <v>228.19398518024298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9.1680487732540321</v>
      </c>
      <c r="AV39" s="23">
        <f>EXP(-LN(2)/25)*AV38+(1-EXP(-LN(2)/25))/(LN(2)/25)*Calculateur!AQ39*Calculateur!AS39*VLOOKUP('Données projet'!$B$10,Paramètres!$A$1:$I$89,3,0)*0.475*44/12</f>
        <v>2.8301493264471209</v>
      </c>
      <c r="AW39" s="23">
        <f>EXP(-LN(2)/2)*AW38+(1-EXP(-LN(2)/2))/(LN(2)/2)*AQ39*AT39*VLOOKUP('Données projet'!$B$10,Paramètres!$A$1:$I$89,3,0)*0.475*44/12</f>
        <v>1.908240431226081</v>
      </c>
      <c r="AX39" s="23">
        <f t="shared" si="6"/>
        <v>13.906438530927234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10.7</v>
      </c>
      <c r="AI40" s="14">
        <f>IF('Données projet'!$A$62&gt;35,AI39+AH40-AQ39,IF(A40&lt;'Données projet'!$A$62,$AF$205^A40,IF(A40='Données projet'!$A$62,'Données projet'!$B$62,AI39+AH40-AQ39)))</f>
        <v>232.89999999999998</v>
      </c>
      <c r="AJ40" s="14">
        <f>AI40*VLOOKUP('Données projet'!$B$10,Paramètres!$A$1:$I$89,3,0)*VLOOKUP('Données projet'!$B$10,Paramètres!$A$1:$I$89,5,0)</f>
        <v>139.27420000000001</v>
      </c>
      <c r="AK40" s="14">
        <f t="shared" si="35"/>
        <v>36.130684641909269</v>
      </c>
      <c r="AL40" s="22">
        <f t="shared" si="4"/>
        <v>305.49684075132535</v>
      </c>
      <c r="AM40" s="62">
        <f t="shared" si="5"/>
        <v>598.83017408465867</v>
      </c>
      <c r="AN40" s="62">
        <f ca="1">AVERAGE(OFFSET($AM$3,0,0,'Données projet'!$E$10+1,1))-AVERAGE(OFFSET($H$3,0,0,'Données projet'!$E$10+1,1))</f>
        <v>147.86588596077661</v>
      </c>
      <c r="AO40" s="62">
        <f t="shared" si="36"/>
        <v>228.19398518024298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8.9882689287681128</v>
      </c>
      <c r="AV40" s="23">
        <f>EXP(-LN(2)/25)*AV39+(1-EXP(-LN(2)/25))/(LN(2)/25)*Calculateur!AQ40*Calculateur!AS40*VLOOKUP('Données projet'!$B$10,Paramètres!$A$1:$I$89,3,0)*0.475*44/12</f>
        <v>2.7527587442843395</v>
      </c>
      <c r="AW40" s="23">
        <f>EXP(-LN(2)/2)*AW39+(1-EXP(-LN(2)/2))/(LN(2)/2)*AQ40*AT40*VLOOKUP('Données projet'!$B$10,Paramètres!$A$1:$I$89,3,0)*0.475*44/12</f>
        <v>1.3493297490543037</v>
      </c>
      <c r="AX40" s="23">
        <f t="shared" si="6"/>
        <v>13.090357422106756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10.7</v>
      </c>
      <c r="AI41" s="14">
        <f>IF('Données projet'!$A$62&gt;35,AI40+AH41-AQ40,IF(A41&lt;'Données projet'!$A$62,$AF$205^A41,IF(A41='Données projet'!$A$62,'Données projet'!$B$62,AI40+AH41-AQ40)))</f>
        <v>243.59999999999997</v>
      </c>
      <c r="AJ41" s="14">
        <f>AI41*VLOOKUP('Données projet'!$B$10,Paramètres!$A$1:$I$89,3,0)*VLOOKUP('Données projet'!$B$10,Paramètres!$A$1:$I$89,5,0)</f>
        <v>145.6728</v>
      </c>
      <c r="AK41" s="14">
        <f t="shared" si="35"/>
        <v>37.593544857919731</v>
      </c>
      <c r="AL41" s="22">
        <f t="shared" si="4"/>
        <v>319.18888396087686</v>
      </c>
      <c r="AM41" s="62">
        <f t="shared" si="5"/>
        <v>612.52221729421012</v>
      </c>
      <c r="AN41" s="62">
        <f ca="1">AVERAGE(OFFSET($AM$3,0,0,'Données projet'!$E$10+1,1))-AVERAGE(OFFSET($H$3,0,0,'Données projet'!$E$10+1,1))</f>
        <v>147.86588596077661</v>
      </c>
      <c r="AO41" s="62">
        <f t="shared" si="36"/>
        <v>228.19398518024298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8.8120144573776837</v>
      </c>
      <c r="AV41" s="23">
        <f>EXP(-LN(2)/25)*AV40+(1-EXP(-LN(2)/25))/(LN(2)/25)*Calculateur!AQ41*Calculateur!AS41*VLOOKUP('Données projet'!$B$10,Paramètres!$A$1:$I$89,3,0)*0.475*44/12</f>
        <v>2.6774844116605934</v>
      </c>
      <c r="AW41" s="23">
        <f>EXP(-LN(2)/2)*AW40+(1-EXP(-LN(2)/2))/(LN(2)/2)*AQ41*AT41*VLOOKUP('Données projet'!$B$10,Paramètres!$A$1:$I$89,3,0)*0.475*44/12</f>
        <v>0.95412021561304072</v>
      </c>
      <c r="AX41" s="23">
        <f t="shared" si="6"/>
        <v>12.443619084651317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10.7</v>
      </c>
      <c r="AI42" s="14">
        <f>IF('Données projet'!$A$62&gt;35,AI41+AH42-AQ41,IF(A42&lt;'Données projet'!$A$62,$AF$205^A42,IF(A42='Données projet'!$A$62,'Données projet'!$B$62,AI41+AH42-AQ41)))</f>
        <v>254.29999999999995</v>
      </c>
      <c r="AJ42" s="14">
        <f>AI42*VLOOKUP('Données projet'!$B$10,Paramètres!$A$1:$I$89,3,0)*VLOOKUP('Données projet'!$B$10,Paramètres!$A$1:$I$89,5,0)</f>
        <v>152.07139999999998</v>
      </c>
      <c r="AK42" s="14">
        <f t="shared" si="35"/>
        <v>39.048942304224767</v>
      </c>
      <c r="AL42" s="22">
        <f t="shared" si="4"/>
        <v>332.86792951319143</v>
      </c>
      <c r="AM42" s="62">
        <f t="shared" si="5"/>
        <v>626.20126284652474</v>
      </c>
      <c r="AN42" s="62">
        <f ca="1">AVERAGE(OFFSET($AM$3,0,0,'Données projet'!$E$10+1,1))-AVERAGE(OFFSET($H$3,0,0,'Données projet'!$E$10+1,1))</f>
        <v>147.86588596077661</v>
      </c>
      <c r="AO42" s="62">
        <f t="shared" si="36"/>
        <v>228.19398518024298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8.6392162286666085</v>
      </c>
      <c r="AV42" s="23">
        <f>EXP(-LN(2)/25)*AV41+(1-EXP(-LN(2)/25))/(LN(2)/25)*Calculateur!AQ42*Calculateur!AS42*VLOOKUP('Données projet'!$B$10,Paramètres!$A$1:$I$89,3,0)*0.475*44/12</f>
        <v>2.6042684596209487</v>
      </c>
      <c r="AW42" s="23">
        <f>EXP(-LN(2)/2)*AW41+(1-EXP(-LN(2)/2))/(LN(2)/2)*AQ42*AT42*VLOOKUP('Données projet'!$B$10,Paramètres!$A$1:$I$89,3,0)*0.475*44/12</f>
        <v>0.67466487452715196</v>
      </c>
      <c r="AX42" s="23">
        <f t="shared" si="6"/>
        <v>11.918149562814708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265</v>
      </c>
      <c r="AG43" s="13">
        <f>VLOOKUP(A43,'Données projet'!$A$61:$I$81,9,0)</f>
        <v>10.7</v>
      </c>
      <c r="AH43" s="13">
        <f t="array" ref="AH43">INDEX(AG:AG,MIN(IF(ISNUMBER(AG43:AG239),ROW(AG43:AG239),"")))</f>
        <v>10.7</v>
      </c>
      <c r="AI43" s="14">
        <f>IF('Données projet'!$A$62&gt;35,AI42+AH43-AQ42,IF(A43&lt;'Données projet'!$A$62,$AF$205^A43,IF(A43='Données projet'!$A$62,'Données projet'!$B$62,AI42+AH43-AQ42)))</f>
        <v>264.99999999999994</v>
      </c>
      <c r="AJ43" s="14">
        <f>AI43*VLOOKUP('Données projet'!$B$10,Paramètres!$A$1:$I$89,3,0)*VLOOKUP('Données projet'!$B$10,Paramètres!$A$1:$I$89,5,0)</f>
        <v>158.46999999999997</v>
      </c>
      <c r="AK43" s="14">
        <f t="shared" si="35"/>
        <v>40.497226890293632</v>
      </c>
      <c r="AL43" s="22">
        <f t="shared" si="4"/>
        <v>346.53458683392802</v>
      </c>
      <c r="AM43" s="62">
        <f t="shared" si="5"/>
        <v>639.86792016726133</v>
      </c>
      <c r="AN43" s="62">
        <f ca="1">AVERAGE(OFFSET($AM$3,0,0,'Données projet'!$E$10+1,1))-AVERAGE(OFFSET($H$3,0,0,'Données projet'!$E$10+1,1))</f>
        <v>147.86588596077661</v>
      </c>
      <c r="AO43" s="62">
        <f t="shared" si="36"/>
        <v>228.19398518024298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8.4698064678240463</v>
      </c>
      <c r="AV43" s="23">
        <f>EXP(-LN(2)/25)*AV42+(1-EXP(-LN(2)/25))/(LN(2)/25)*Calculateur!AQ43*Calculateur!AS43*VLOOKUP('Données projet'!$B$10,Paramètres!$A$1:$I$89,3,0)*0.475*44/12</f>
        <v>2.5330546016400874</v>
      </c>
      <c r="AW43" s="23">
        <f>EXP(-LN(2)/2)*AW42+(1-EXP(-LN(2)/2))/(LN(2)/2)*AQ43*AT43*VLOOKUP('Données projet'!$B$10,Paramètres!$A$1:$I$89,3,0)*0.475*44/12</f>
        <v>0.47706010780652042</v>
      </c>
      <c r="AX43" s="23">
        <f t="shared" si="6"/>
        <v>11.479921177270654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7.9</v>
      </c>
      <c r="AI44" s="14">
        <f>IF('Données projet'!$A$62&gt;35,AI43+AH44-AQ43,IF(A44&lt;'Données projet'!$A$62,$AF$205^A44,IF(A44='Données projet'!$A$62,'Données projet'!$B$62,AI43+AH44-AQ43)))</f>
        <v>222.89999999999992</v>
      </c>
      <c r="AJ44" s="14">
        <f>AI44*VLOOKUP('Données projet'!$B$10,Paramètres!$A$1:$I$89,3,0)*VLOOKUP('Données projet'!$B$10,Paramètres!$A$1:$I$89,5,0)</f>
        <v>133.29419999999996</v>
      </c>
      <c r="AK44" s="14">
        <f t="shared" si="35"/>
        <v>34.756440080318377</v>
      </c>
      <c r="AL44" s="22">
        <f t="shared" si="4"/>
        <v>292.68819813988773</v>
      </c>
      <c r="AM44" s="62">
        <f t="shared" si="5"/>
        <v>586.0215314732211</v>
      </c>
      <c r="AN44" s="62">
        <f ca="1">AVERAGE(OFFSET($AM$3,0,0,'Données projet'!$E$10+1,1))-AVERAGE(OFFSET($H$3,0,0,'Données projet'!$E$10+1,1))</f>
        <v>147.86588596077661</v>
      </c>
      <c r="AO44" s="62">
        <f t="shared" si="36"/>
        <v>228.19398518024298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8.3037187290618544</v>
      </c>
      <c r="AV44" s="23">
        <f>EXP(-LN(2)/25)*AV43+(1-EXP(-LN(2)/25))/(LN(2)/25)*Calculateur!AQ44*Calculateur!AS44*VLOOKUP('Données projet'!$B$10,Paramètres!$A$1:$I$89,3,0)*0.475*44/12</f>
        <v>2.463788090350687</v>
      </c>
      <c r="AW44" s="23">
        <f>EXP(-LN(2)/2)*AW43+(1-EXP(-LN(2)/2))/(LN(2)/2)*AQ44*AT44*VLOOKUP('Données projet'!$B$10,Paramètres!$A$1:$I$89,3,0)*0.475*44/12</f>
        <v>0.33733243726357603</v>
      </c>
      <c r="AX44" s="23">
        <f t="shared" si="6"/>
        <v>11.104839256676119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7.9</v>
      </c>
      <c r="AI45" s="14">
        <f>IF('Données projet'!$A$62&gt;35,AI44+AH45-AQ44,IF(A45&lt;'Données projet'!$A$62,$AF$205^A45,IF(A45='Données projet'!$A$62,'Données projet'!$B$62,AI44+AH45-AQ44)))</f>
        <v>230.79999999999993</v>
      </c>
      <c r="AJ45" s="14">
        <f>AI45*VLOOKUP('Données projet'!$B$10,Paramètres!$A$1:$I$89,3,0)*VLOOKUP('Données projet'!$B$10,Paramètres!$A$1:$I$89,5,0)</f>
        <v>138.01839999999996</v>
      </c>
      <c r="AK45" s="14">
        <f t="shared" si="35"/>
        <v>35.84267281669451</v>
      </c>
      <c r="AL45" s="22">
        <f t="shared" si="4"/>
        <v>302.80803515574286</v>
      </c>
      <c r="AM45" s="62">
        <f t="shared" si="5"/>
        <v>596.14136848907617</v>
      </c>
      <c r="AN45" s="62">
        <f ca="1">AVERAGE(OFFSET($AM$3,0,0,'Données projet'!$E$10+1,1))-AVERAGE(OFFSET($H$3,0,0,'Données projet'!$E$10+1,1))</f>
        <v>147.86588596077661</v>
      </c>
      <c r="AO45" s="62">
        <f t="shared" si="36"/>
        <v>228.19398518024298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8.1408878695532714</v>
      </c>
      <c r="AV45" s="23">
        <f>EXP(-LN(2)/25)*AV44+(1-EXP(-LN(2)/25))/(LN(2)/25)*Calculateur!AQ45*Calculateur!AS45*VLOOKUP('Données projet'!$B$10,Paramètres!$A$1:$I$89,3,0)*0.475*44/12</f>
        <v>2.3964156754550627</v>
      </c>
      <c r="AW45" s="23">
        <f>EXP(-LN(2)/2)*AW44+(1-EXP(-LN(2)/2))/(LN(2)/2)*AQ45*AT45*VLOOKUP('Données projet'!$B$10,Paramètres!$A$1:$I$89,3,0)*0.475*44/12</f>
        <v>0.23853005390326024</v>
      </c>
      <c r="AX45" s="23">
        <f t="shared" si="6"/>
        <v>10.775833598911595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7.9</v>
      </c>
      <c r="AI46" s="14">
        <f>IF('Données projet'!$A$62&gt;35,AI45+AH46-AQ45,IF(A46&lt;'Données projet'!$A$62,$AF$205^A46,IF(A46='Données projet'!$A$62,'Données projet'!$B$62,AI45+AH46-AQ45)))</f>
        <v>238.69999999999993</v>
      </c>
      <c r="AJ46" s="14">
        <f>AI46*VLOOKUP('Données projet'!$B$10,Paramètres!$A$1:$I$89,3,0)*VLOOKUP('Données projet'!$B$10,Paramètres!$A$1:$I$89,5,0)</f>
        <v>142.74259999999998</v>
      </c>
      <c r="AK46" s="14">
        <f t="shared" si="35"/>
        <v>36.924585472239464</v>
      </c>
      <c r="AL46" s="22">
        <f t="shared" si="4"/>
        <v>312.92034803081702</v>
      </c>
      <c r="AM46" s="62">
        <f t="shared" si="5"/>
        <v>606.25368136415034</v>
      </c>
      <c r="AN46" s="62">
        <f ca="1">AVERAGE(OFFSET($AM$3,0,0,'Données projet'!$E$10+1,1))-AVERAGE(OFFSET($H$3,0,0,'Données projet'!$E$10+1,1))</f>
        <v>147.86588596077661</v>
      </c>
      <c r="AO46" s="62">
        <f t="shared" si="36"/>
        <v>228.19398518024298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7.9812500238826347</v>
      </c>
      <c r="AV46" s="23">
        <f>EXP(-LN(2)/25)*AV45+(1-EXP(-LN(2)/25))/(LN(2)/25)*Calculateur!AQ46*Calculateur!AS46*VLOOKUP('Données projet'!$B$10,Paramètres!$A$1:$I$89,3,0)*0.475*44/12</f>
        <v>2.3308855627877207</v>
      </c>
      <c r="AW46" s="23">
        <f>EXP(-LN(2)/2)*AW45+(1-EXP(-LN(2)/2))/(LN(2)/2)*AQ46*AT46*VLOOKUP('Données projet'!$B$10,Paramètres!$A$1:$I$89,3,0)*0.475*44/12</f>
        <v>0.16866621863178805</v>
      </c>
      <c r="AX46" s="23">
        <f t="shared" si="6"/>
        <v>10.480801805302143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7.9</v>
      </c>
      <c r="AI47" s="14">
        <f>IF('Données projet'!$A$62&gt;35,AI46+AH47-AQ46,IF(A47&lt;'Données projet'!$A$62,$AF$205^A47,IF(A47='Données projet'!$A$62,'Données projet'!$B$62,AI46+AH47-AQ46)))</f>
        <v>246.59999999999994</v>
      </c>
      <c r="AJ47" s="14">
        <f>AI47*VLOOKUP('Données projet'!$B$10,Paramètres!$A$1:$I$89,3,0)*VLOOKUP('Données projet'!$B$10,Paramètres!$A$1:$I$89,5,0)</f>
        <v>147.46679999999998</v>
      </c>
      <c r="AK47" s="14">
        <f t="shared" si="35"/>
        <v>38.002337418636273</v>
      </c>
      <c r="AL47" s="22">
        <f t="shared" si="4"/>
        <v>323.02541433745813</v>
      </c>
      <c r="AM47" s="62">
        <f t="shared" si="5"/>
        <v>616.35874767079144</v>
      </c>
      <c r="AN47" s="62">
        <f ca="1">AVERAGE(OFFSET($AM$3,0,0,'Données projet'!$E$10+1,1))-AVERAGE(OFFSET($H$3,0,0,'Données projet'!$E$10+1,1))</f>
        <v>147.86588596077661</v>
      </c>
      <c r="AO47" s="62">
        <f t="shared" si="36"/>
        <v>228.19398518024298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7.824742578996128</v>
      </c>
      <c r="AV47" s="23">
        <f>EXP(-LN(2)/25)*AV46+(1-EXP(-LN(2)/25))/(LN(2)/25)*Calculateur!AQ47*Calculateur!AS47*VLOOKUP('Données projet'!$B$10,Paramètres!$A$1:$I$89,3,0)*0.475*44/12</f>
        <v>2.267147374497346</v>
      </c>
      <c r="AW47" s="23">
        <f>EXP(-LN(2)/2)*AW46+(1-EXP(-LN(2)/2))/(LN(2)/2)*AQ47*AT47*VLOOKUP('Données projet'!$B$10,Paramètres!$A$1:$I$89,3,0)*0.475*44/12</f>
        <v>0.11926502695163015</v>
      </c>
      <c r="AX47" s="23">
        <f t="shared" si="6"/>
        <v>10.211154980445105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7.9</v>
      </c>
      <c r="AI48" s="14">
        <f>IF('Données projet'!$A$62&gt;35,AI47+AH48-AQ47,IF(A48&lt;'Données projet'!$A$62,$AF$205^A48,IF(A48='Données projet'!$A$62,'Données projet'!$B$62,AI47+AH48-AQ47)))</f>
        <v>254.49999999999994</v>
      </c>
      <c r="AJ48" s="14">
        <f>AI48*VLOOKUP('Données projet'!$B$10,Paramètres!$A$1:$I$89,3,0)*VLOOKUP('Données projet'!$B$10,Paramètres!$A$1:$I$89,5,0)</f>
        <v>152.19099999999997</v>
      </c>
      <c r="AK48" s="14">
        <f t="shared" si="35"/>
        <v>39.07607723663272</v>
      </c>
      <c r="AL48" s="22">
        <f t="shared" si="4"/>
        <v>333.12349285380191</v>
      </c>
      <c r="AM48" s="62">
        <f t="shared" si="5"/>
        <v>626.45682618713522</v>
      </c>
      <c r="AN48" s="62">
        <f ca="1">AVERAGE(OFFSET($AM$3,0,0,'Données projet'!$E$10+1,1))-AVERAGE(OFFSET($H$3,0,0,'Données projet'!$E$10+1,1))</f>
        <v>147.86588596077661</v>
      </c>
      <c r="AO48" s="62">
        <f t="shared" si="36"/>
        <v>228.19398518024298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7.6713041496437295</v>
      </c>
      <c r="AV48" s="23">
        <f>EXP(-LN(2)/25)*AV47+(1-EXP(-LN(2)/25))/(LN(2)/25)*Calculateur!AQ48*Calculateur!AS48*VLOOKUP('Données projet'!$B$10,Paramètres!$A$1:$I$89,3,0)*0.475*44/12</f>
        <v>2.2051521103176173</v>
      </c>
      <c r="AW48" s="23">
        <f>EXP(-LN(2)/2)*AW47+(1-EXP(-LN(2)/2))/(LN(2)/2)*AQ48*AT48*VLOOKUP('Données projet'!$B$10,Paramètres!$A$1:$I$89,3,0)*0.475*44/12</f>
        <v>8.4333109315894036E-2</v>
      </c>
      <c r="AX48" s="23">
        <f t="shared" si="6"/>
        <v>9.9607893692772418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7.9</v>
      </c>
      <c r="AI49" s="14">
        <f>IF('Données projet'!$A$62&gt;35,AI48+AH49-AQ48,IF(A49&lt;'Données projet'!$A$62,$AF$205^A49,IF(A49='Données projet'!$A$62,'Données projet'!$B$62,AI48+AH49-AQ48)))</f>
        <v>262.39999999999992</v>
      </c>
      <c r="AJ49" s="14">
        <f>AI49*VLOOKUP('Données projet'!$B$10,Paramètres!$A$1:$I$89,3,0)*VLOOKUP('Données projet'!$B$10,Paramètres!$A$1:$I$89,5,0)</f>
        <v>156.91519999999997</v>
      </c>
      <c r="AK49" s="14">
        <f t="shared" si="35"/>
        <v>40.145943758721963</v>
      </c>
      <c r="AL49" s="22">
        <f t="shared" si="4"/>
        <v>343.21482537977403</v>
      </c>
      <c r="AM49" s="62">
        <f t="shared" si="5"/>
        <v>636.54815871310734</v>
      </c>
      <c r="AN49" s="62">
        <f ca="1">AVERAGE(OFFSET($AM$3,0,0,'Données projet'!$E$10+1,1))-AVERAGE(OFFSET($H$3,0,0,'Données projet'!$E$10+1,1))</f>
        <v>147.86588596077661</v>
      </c>
      <c r="AO49" s="62">
        <f t="shared" si="36"/>
        <v>228.19398518024298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7.5208745543027309</v>
      </c>
      <c r="AV49" s="23">
        <f>EXP(-LN(2)/25)*AV48+(1-EXP(-LN(2)/25))/(LN(2)/25)*Calculateur!AQ49*Calculateur!AS49*VLOOKUP('Données projet'!$B$10,Paramètres!$A$1:$I$89,3,0)*0.475*44/12</f>
        <v>2.1448521098970725</v>
      </c>
      <c r="AW49" s="23">
        <f>EXP(-LN(2)/2)*AW48+(1-EXP(-LN(2)/2))/(LN(2)/2)*AQ49*AT49*VLOOKUP('Données projet'!$B$10,Paramètres!$A$1:$I$89,3,0)*0.475*44/12</f>
        <v>5.963251347581508E-2</v>
      </c>
      <c r="AX49" s="23">
        <f t="shared" si="6"/>
        <v>9.7253591776756192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7.9</v>
      </c>
      <c r="AI50" s="14">
        <f>IF('Données projet'!$A$62&gt;35,AI49+AH50-AQ49,IF(A50&lt;'Données projet'!$A$62,$AF$205^A50,IF(A50='Données projet'!$A$62,'Données projet'!$B$62,AI49+AH50-AQ49)))</f>
        <v>270.2999999999999</v>
      </c>
      <c r="AJ50" s="14">
        <f>AI50*VLOOKUP('Données projet'!$B$10,Paramètres!$A$1:$I$89,3,0)*VLOOKUP('Données projet'!$B$10,Paramètres!$A$1:$I$89,5,0)</f>
        <v>161.63939999999997</v>
      </c>
      <c r="AK50" s="14">
        <f t="shared" si="35"/>
        <v>41.212066982728679</v>
      </c>
      <c r="AL50" s="22">
        <f t="shared" si="4"/>
        <v>353.29963832825234</v>
      </c>
      <c r="AM50" s="62">
        <f t="shared" si="5"/>
        <v>646.63297166158566</v>
      </c>
      <c r="AN50" s="62">
        <f ca="1">AVERAGE(OFFSET($AM$3,0,0,'Données projet'!$E$10+1,1))-AVERAGE(OFFSET($H$3,0,0,'Données projet'!$E$10+1,1))</f>
        <v>147.86588596077661</v>
      </c>
      <c r="AO50" s="62">
        <f t="shared" si="36"/>
        <v>228.19398518024298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7.373394791573376</v>
      </c>
      <c r="AV50" s="23">
        <f>EXP(-LN(2)/25)*AV49+(1-EXP(-LN(2)/25))/(LN(2)/25)*Calculateur!AQ50*Calculateur!AS50*VLOOKUP('Données projet'!$B$10,Paramètres!$A$1:$I$89,3,0)*0.475*44/12</f>
        <v>2.0862010161590669</v>
      </c>
      <c r="AW50" s="23">
        <f>EXP(-LN(2)/2)*AW49+(1-EXP(-LN(2)/2))/(LN(2)/2)*AQ50*AT50*VLOOKUP('Données projet'!$B$10,Paramètres!$A$1:$I$89,3,0)*0.475*44/12</f>
        <v>4.2166554657947025E-2</v>
      </c>
      <c r="AX50" s="23">
        <f t="shared" si="6"/>
        <v>9.5017623623903891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7.9</v>
      </c>
      <c r="AI51" s="14">
        <f>IF('Données projet'!$A$62&gt;35,AI50+AH51-AQ50,IF(A51&lt;'Données projet'!$A$62,$AF$205^A51,IF(A51='Données projet'!$A$62,'Données projet'!$B$62,AI50+AH51-AQ50)))</f>
        <v>278.19999999999987</v>
      </c>
      <c r="AJ51" s="14">
        <f>AI51*VLOOKUP('Données projet'!$B$10,Paramètres!$A$1:$I$89,3,0)*VLOOKUP('Données projet'!$B$10,Paramètres!$A$1:$I$89,5,0)</f>
        <v>166.36359999999993</v>
      </c>
      <c r="AK51" s="14">
        <f t="shared" si="35"/>
        <v>42.274568875588898</v>
      </c>
      <c r="AL51" s="22">
        <f t="shared" si="4"/>
        <v>363.37814412498386</v>
      </c>
      <c r="AM51" s="62">
        <f t="shared" si="5"/>
        <v>656.71147745831718</v>
      </c>
      <c r="AN51" s="62">
        <f ca="1">AVERAGE(OFFSET($AM$3,0,0,'Données projet'!$E$10+1,1))-AVERAGE(OFFSET($H$3,0,0,'Données projet'!$E$10+1,1))</f>
        <v>147.86588596077661</v>
      </c>
      <c r="AO51" s="62">
        <f t="shared" si="36"/>
        <v>228.19398518024298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7.2288070170373704</v>
      </c>
      <c r="AV51" s="23">
        <f>EXP(-LN(2)/25)*AV50+(1-EXP(-LN(2)/25))/(LN(2)/25)*Calculateur!AQ51*Calculateur!AS51*VLOOKUP('Données projet'!$B$10,Paramètres!$A$1:$I$89,3,0)*0.475*44/12</f>
        <v>2.0291537396636539</v>
      </c>
      <c r="AW51" s="23">
        <f>EXP(-LN(2)/2)*AW50+(1-EXP(-LN(2)/2))/(LN(2)/2)*AQ51*AT51*VLOOKUP('Données projet'!$B$10,Paramètres!$A$1:$I$89,3,0)*0.475*44/12</f>
        <v>2.9816256737907547E-2</v>
      </c>
      <c r="AX51" s="23">
        <f t="shared" si="6"/>
        <v>9.2877770134389319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7.9</v>
      </c>
      <c r="AI52" s="14">
        <f>IF('Données projet'!$A$62&gt;35,AI51+AH52-AQ51,IF(A52&lt;'Données projet'!$A$62,$AF$205^A52,IF(A52='Données projet'!$A$62,'Données projet'!$B$62,AI51+AH52-AQ51)))</f>
        <v>286.09999999999985</v>
      </c>
      <c r="AJ52" s="14">
        <f>AI52*VLOOKUP('Données projet'!$B$10,Paramètres!$A$1:$I$89,3,0)*VLOOKUP('Données projet'!$B$10,Paramètres!$A$1:$I$89,5,0)</f>
        <v>171.08779999999993</v>
      </c>
      <c r="AK52" s="14">
        <f t="shared" si="35"/>
        <v>43.333564083264214</v>
      </c>
      <c r="AL52" s="22">
        <f t="shared" si="4"/>
        <v>373.45054244501836</v>
      </c>
      <c r="AM52" s="62">
        <f t="shared" si="5"/>
        <v>666.78387577835167</v>
      </c>
      <c r="AN52" s="62">
        <f ca="1">AVERAGE(OFFSET($AM$3,0,0,'Données projet'!$E$10+1,1))-AVERAGE(OFFSET($H$3,0,0,'Données projet'!$E$10+1,1))</f>
        <v>147.86588596077661</v>
      </c>
      <c r="AO52" s="62">
        <f t="shared" si="36"/>
        <v>228.19398518024298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7.0870545205701818</v>
      </c>
      <c r="AV52" s="23">
        <f>EXP(-LN(2)/25)*AV51+(1-EXP(-LN(2)/25))/(LN(2)/25)*Calculateur!AQ52*Calculateur!AS52*VLOOKUP('Données projet'!$B$10,Paramètres!$A$1:$I$89,3,0)*0.475*44/12</f>
        <v>1.9736664239439938</v>
      </c>
      <c r="AW52" s="23">
        <f>EXP(-LN(2)/2)*AW51+(1-EXP(-LN(2)/2))/(LN(2)/2)*AQ52*AT52*VLOOKUP('Données projet'!$B$10,Paramètres!$A$1:$I$89,3,0)*0.475*44/12</f>
        <v>2.1083277328973516E-2</v>
      </c>
      <c r="AX52" s="23">
        <f t="shared" si="6"/>
        <v>9.0818042218431483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294</v>
      </c>
      <c r="AG53" s="13">
        <f>VLOOKUP(A53,'Données projet'!$A$61:$I$81,9,0)</f>
        <v>7.9</v>
      </c>
      <c r="AH53" s="13">
        <f t="array" ref="AH53">INDEX(AG:AG,MIN(IF(ISNUMBER(AG53:AG249),ROW(AG53:AG249),"")))</f>
        <v>7.9</v>
      </c>
      <c r="AI53" s="14">
        <f>IF('Données projet'!$A$62&gt;35,AI52+AH53-AQ52,IF(A53&lt;'Données projet'!$A$62,$AF$205^A53,IF(A53='Données projet'!$A$62,'Données projet'!$B$62,AI52+AH53-AQ52)))</f>
        <v>293.99999999999983</v>
      </c>
      <c r="AJ53" s="14">
        <f>AI53*VLOOKUP('Données projet'!$B$10,Paramètres!$A$1:$I$89,3,0)*VLOOKUP('Données projet'!$B$10,Paramètres!$A$1:$I$89,5,0)</f>
        <v>175.8119999999999</v>
      </c>
      <c r="AK53" s="14">
        <f t="shared" si="35"/>
        <v>44.389160560041141</v>
      </c>
      <c r="AL53" s="22">
        <f t="shared" si="4"/>
        <v>383.51702130873815</v>
      </c>
      <c r="AM53" s="62">
        <f t="shared" si="5"/>
        <v>676.85035464207147</v>
      </c>
      <c r="AN53" s="62">
        <f ca="1">AVERAGE(OFFSET($AM$3,0,0,'Données projet'!$E$10+1,1))-AVERAGE(OFFSET($H$3,0,0,'Données projet'!$E$10+1,1))</f>
        <v>147.86588596077661</v>
      </c>
      <c r="AO53" s="62">
        <f t="shared" si="36"/>
        <v>228.19398518024298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294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6.9480817040982297</v>
      </c>
      <c r="AV53" s="23">
        <f>EXP(-LN(2)/25)*AV52+(1-EXP(-LN(2)/25))/(LN(2)/25)*Calculateur!AQ53*Calculateur!AS53*VLOOKUP('Données projet'!$B$10,Paramètres!$A$1:$I$89,3,0)*0.475*44/12</f>
        <v>1.919696411790639</v>
      </c>
      <c r="AW53" s="23">
        <f>EXP(-LN(2)/2)*AW52+(1-EXP(-LN(2)/2))/(LN(2)/2)*AQ53*AT53*VLOOKUP('Données projet'!$B$10,Paramètres!$A$1:$I$89,3,0)*0.475*44/12</f>
        <v>1.4908128368953775E-2</v>
      </c>
      <c r="AX53" s="23">
        <f t="shared" si="6"/>
        <v>8.8826862442578207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-1.7053025658242404E-13</v>
      </c>
      <c r="AJ54" s="14">
        <f>AI54*VLOOKUP('Données projet'!$B$10,Paramètres!$A$1:$I$89,3,0)*VLOOKUP('Données projet'!$B$10,Paramètres!$A$1:$I$89,5,0)</f>
        <v>-1.0197709343628959E-13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147.86588596077661</v>
      </c>
      <c r="AO54" s="62">
        <f t="shared" si="36"/>
        <v>228.19398518024298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6.8118340597922442</v>
      </c>
      <c r="AV54" s="23">
        <f>EXP(-LN(2)/25)*AV53+(1-EXP(-LN(2)/25))/(LN(2)/25)*Calculateur!AQ54*Calculateur!AS54*VLOOKUP('Données projet'!$B$10,Paramètres!$A$1:$I$89,3,0)*0.475*44/12</f>
        <v>1.8672022124577772</v>
      </c>
      <c r="AW54" s="23">
        <f>EXP(-LN(2)/2)*AW53+(1-EXP(-LN(2)/2))/(LN(2)/2)*AQ54*AT54*VLOOKUP('Données projet'!$B$10,Paramètres!$A$1:$I$89,3,0)*0.475*44/12</f>
        <v>1.054163866448676E-2</v>
      </c>
      <c r="AX54" s="23">
        <f t="shared" si="6"/>
        <v>8.6895779109145082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-1.7053025658242404E-13</v>
      </c>
      <c r="AJ55" s="14">
        <f>AI55*VLOOKUP('Données projet'!$B$10,Paramètres!$A$1:$I$89,3,0)*VLOOKUP('Données projet'!$B$10,Paramètres!$A$1:$I$89,5,0)</f>
        <v>-1.0197709343628959E-13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147.86588596077661</v>
      </c>
      <c r="AO55" s="62">
        <f t="shared" si="36"/>
        <v>228.19398518024298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6.6782581486882417</v>
      </c>
      <c r="AV55" s="23">
        <f>EXP(-LN(2)/25)*AV54+(1-EXP(-LN(2)/25))/(LN(2)/25)*Calculateur!AQ55*Calculateur!AS55*VLOOKUP('Données projet'!$B$10,Paramètres!$A$1:$I$89,3,0)*0.475*44/12</f>
        <v>1.8161434697662224</v>
      </c>
      <c r="AW55" s="23">
        <f>EXP(-LN(2)/2)*AW54+(1-EXP(-LN(2)/2))/(LN(2)/2)*AQ55*AT55*VLOOKUP('Données projet'!$B$10,Paramètres!$A$1:$I$89,3,0)*0.475*44/12</f>
        <v>7.4540641844768885E-3</v>
      </c>
      <c r="AX55" s="23">
        <f t="shared" si="6"/>
        <v>8.5018556826389418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-1.7053025658242404E-13</v>
      </c>
      <c r="AJ56" s="14">
        <f>AI56*VLOOKUP('Données projet'!$B$10,Paramètres!$A$1:$I$89,3,0)*VLOOKUP('Données projet'!$B$10,Paramètres!$A$1:$I$89,5,0)</f>
        <v>-1.0197709343628959E-13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147.86588596077661</v>
      </c>
      <c r="AO56" s="62">
        <f t="shared" si="36"/>
        <v>228.19398518024298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6.5473015797277272</v>
      </c>
      <c r="AV56" s="23">
        <f>EXP(-LN(2)/25)*AV55+(1-EXP(-LN(2)/25))/(LN(2)/25)*Calculateur!AQ56*Calculateur!AS56*VLOOKUP('Données projet'!$B$10,Paramètres!$A$1:$I$89,3,0)*0.475*44/12</f>
        <v>1.7664809310786309</v>
      </c>
      <c r="AW56" s="23">
        <f>EXP(-LN(2)/2)*AW55+(1-EXP(-LN(2)/2))/(LN(2)/2)*AQ56*AT56*VLOOKUP('Données projet'!$B$10,Paramètres!$A$1:$I$89,3,0)*0.475*44/12</f>
        <v>5.2708193322433807E-3</v>
      </c>
      <c r="AX56" s="23">
        <f t="shared" si="6"/>
        <v>8.3190533301386029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-1.7053025658242404E-13</v>
      </c>
      <c r="AJ57" s="14">
        <f>AI57*VLOOKUP('Données projet'!$B$10,Paramètres!$A$1:$I$89,3,0)*VLOOKUP('Données projet'!$B$10,Paramètres!$A$1:$I$89,5,0)</f>
        <v>-1.0197709343628959E-13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147.86588596077661</v>
      </c>
      <c r="AO57" s="62">
        <f t="shared" si="36"/>
        <v>228.19398518024298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6.4189129892089083</v>
      </c>
      <c r="AV57" s="23">
        <f>EXP(-LN(2)/25)*AV56+(1-EXP(-LN(2)/25))/(LN(2)/25)*Calculateur!AQ57*Calculateur!AS57*VLOOKUP('Données projet'!$B$10,Paramètres!$A$1:$I$89,3,0)*0.475*44/12</f>
        <v>1.7181764171230909</v>
      </c>
      <c r="AW57" s="23">
        <f>EXP(-LN(2)/2)*AW56+(1-EXP(-LN(2)/2))/(LN(2)/2)*AQ57*AT57*VLOOKUP('Données projet'!$B$10,Paramètres!$A$1:$I$89,3,0)*0.475*44/12</f>
        <v>3.7270320922384451E-3</v>
      </c>
      <c r="AX57" s="23">
        <f t="shared" si="6"/>
        <v>8.1408164384242365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-1.7053025658242404E-13</v>
      </c>
      <c r="AJ58" s="14">
        <f>AI58*VLOOKUP('Données projet'!$B$10,Paramètres!$A$1:$I$89,3,0)*VLOOKUP('Données projet'!$B$10,Paramètres!$A$1:$I$89,5,0)</f>
        <v>-1.0197709343628959E-13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147.86588596077661</v>
      </c>
      <c r="AO58" s="62">
        <f t="shared" si="36"/>
        <v>228.19398518024298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6.2930420206408559</v>
      </c>
      <c r="AV58" s="23">
        <f>EXP(-LN(2)/25)*AV57+(1-EXP(-LN(2)/25))/(LN(2)/25)*Calculateur!AQ58*Calculateur!AS58*VLOOKUP('Données projet'!$B$10,Paramètres!$A$1:$I$89,3,0)*0.475*44/12</f>
        <v>1.671192792641889</v>
      </c>
      <c r="AW58" s="23">
        <f>EXP(-LN(2)/2)*AW57+(1-EXP(-LN(2)/2))/(LN(2)/2)*AQ58*AT58*VLOOKUP('Données projet'!$B$10,Paramètres!$A$1:$I$89,3,0)*0.475*44/12</f>
        <v>2.6354096661216908E-3</v>
      </c>
      <c r="AX58" s="23">
        <f t="shared" si="6"/>
        <v>7.9668702229488675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-1.7053025658242404E-13</v>
      </c>
      <c r="AJ59" s="14">
        <f>AI59*VLOOKUP('Données projet'!$B$10,Paramètres!$A$1:$I$89,3,0)*VLOOKUP('Données projet'!$B$10,Paramètres!$A$1:$I$89,5,0)</f>
        <v>-1.0197709343628959E-13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147.86588596077661</v>
      </c>
      <c r="AO59" s="62">
        <f t="shared" si="36"/>
        <v>228.19398518024298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6.169639304992713</v>
      </c>
      <c r="AV59" s="23">
        <f>EXP(-LN(2)/25)*AV58+(1-EXP(-LN(2)/25))/(LN(2)/25)*Calculateur!AQ59*Calculateur!AS59*VLOOKUP('Données projet'!$B$10,Paramètres!$A$1:$I$89,3,0)*0.475*44/12</f>
        <v>1.6254939378428872</v>
      </c>
      <c r="AW59" s="23">
        <f>EXP(-LN(2)/2)*AW58+(1-EXP(-LN(2)/2))/(LN(2)/2)*AQ59*AT59*VLOOKUP('Données projet'!$B$10,Paramètres!$A$1:$I$89,3,0)*0.475*44/12</f>
        <v>1.8635160461192228E-3</v>
      </c>
      <c r="AX59" s="23">
        <f t="shared" si="6"/>
        <v>7.7969967588817193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-1.7053025658242404E-13</v>
      </c>
      <c r="AJ60" s="14">
        <f>AI60*VLOOKUP('Données projet'!$B$10,Paramètres!$A$1:$I$89,3,0)*VLOOKUP('Données projet'!$B$10,Paramètres!$A$1:$I$89,5,0)</f>
        <v>-1.0197709343628959E-13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147.86588596077661</v>
      </c>
      <c r="AO60" s="62">
        <f t="shared" si="36"/>
        <v>228.19398518024298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6.0486564413302055</v>
      </c>
      <c r="AV60" s="23">
        <f>EXP(-LN(2)/25)*AV59+(1-EXP(-LN(2)/25))/(LN(2)/25)*Calculateur!AQ60*Calculateur!AS60*VLOOKUP('Données projet'!$B$10,Paramètres!$A$1:$I$89,3,0)*0.475*44/12</f>
        <v>1.5810447206315623</v>
      </c>
      <c r="AW60" s="23">
        <f>EXP(-LN(2)/2)*AW59+(1-EXP(-LN(2)/2))/(LN(2)/2)*AQ60*AT60*VLOOKUP('Données projet'!$B$10,Paramètres!$A$1:$I$89,3,0)*0.475*44/12</f>
        <v>1.3177048330608456E-3</v>
      </c>
      <c r="AX60" s="23">
        <f t="shared" si="6"/>
        <v>7.631018866794828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-1.7053025658242404E-13</v>
      </c>
      <c r="AJ61" s="14">
        <f>AI61*VLOOKUP('Données projet'!$B$10,Paramètres!$A$1:$I$89,3,0)*VLOOKUP('Données projet'!$B$10,Paramètres!$A$1:$I$89,5,0)</f>
        <v>-1.0197709343628959E-13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147.86588596077661</v>
      </c>
      <c r="AO61" s="62">
        <f t="shared" si="36"/>
        <v>228.19398518024298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5.9300459778318597</v>
      </c>
      <c r="AV61" s="23">
        <f>EXP(-LN(2)/25)*AV60+(1-EXP(-LN(2)/25))/(LN(2)/25)*Calculateur!AQ61*Calculateur!AS61*VLOOKUP('Données projet'!$B$10,Paramètres!$A$1:$I$89,3,0)*0.475*44/12</f>
        <v>1.5378109696023639</v>
      </c>
      <c r="AW61" s="23">
        <f>EXP(-LN(2)/2)*AW60+(1-EXP(-LN(2)/2))/(LN(2)/2)*AQ61*AT61*VLOOKUP('Données projet'!$B$10,Paramètres!$A$1:$I$89,3,0)*0.475*44/12</f>
        <v>9.317580230596116E-4</v>
      </c>
      <c r="AX61" s="23">
        <f t="shared" si="6"/>
        <v>7.4687887054572837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-1.7053025658242404E-13</v>
      </c>
      <c r="AJ62" s="14">
        <f>AI62*VLOOKUP('Données projet'!$B$10,Paramètres!$A$1:$I$89,3,0)*VLOOKUP('Données projet'!$B$10,Paramètres!$A$1:$I$89,5,0)</f>
        <v>-1.0197709343628959E-13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147.86588596077661</v>
      </c>
      <c r="AO62" s="62">
        <f t="shared" si="36"/>
        <v>228.19398518024298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5.8137613931774776</v>
      </c>
      <c r="AV62" s="23">
        <f>EXP(-LN(2)/25)*AV61+(1-EXP(-LN(2)/25))/(LN(2)/25)*Calculateur!AQ62*Calculateur!AS62*VLOOKUP('Données projet'!$B$10,Paramètres!$A$1:$I$89,3,0)*0.475*44/12</f>
        <v>1.4957594477686231</v>
      </c>
      <c r="AW62" s="23">
        <f>EXP(-LN(2)/2)*AW61+(1-EXP(-LN(2)/2))/(LN(2)/2)*AQ62*AT62*VLOOKUP('Données projet'!$B$10,Paramètres!$A$1:$I$89,3,0)*0.475*44/12</f>
        <v>6.5885241653042292E-4</v>
      </c>
      <c r="AX62" s="23">
        <f t="shared" si="6"/>
        <v>7.310179693362632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-1.7053025658242404E-13</v>
      </c>
      <c r="AJ63" s="14">
        <f>AI63*VLOOKUP('Données projet'!$B$10,Paramètres!$A$1:$I$89,3,0)*VLOOKUP('Données projet'!$B$10,Paramètres!$A$1:$I$89,5,0)</f>
        <v>-1.0197709343628959E-13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147.86588596077661</v>
      </c>
      <c r="AO63" s="62">
        <f t="shared" si="36"/>
        <v>228.19398518024298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5.6997570783015741</v>
      </c>
      <c r="AV63" s="23">
        <f>EXP(-LN(2)/25)*AV62+(1-EXP(-LN(2)/25))/(LN(2)/25)*Calculateur!AQ63*Calculateur!AS63*VLOOKUP('Données projet'!$B$10,Paramètres!$A$1:$I$89,3,0)*0.475*44/12</f>
        <v>1.4548578270108194</v>
      </c>
      <c r="AW63" s="23">
        <f>EXP(-LN(2)/2)*AW62+(1-EXP(-LN(2)/2))/(LN(2)/2)*AQ63*AT63*VLOOKUP('Données projet'!$B$10,Paramètres!$A$1:$I$89,3,0)*0.475*44/12</f>
        <v>4.6587901152980585E-4</v>
      </c>
      <c r="AX63" s="23">
        <f t="shared" si="6"/>
        <v>7.155080784323923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-1.7053025658242404E-13</v>
      </c>
      <c r="AJ64" s="14">
        <f>AI64*VLOOKUP('Données projet'!$B$10,Paramètres!$A$1:$I$89,3,0)*VLOOKUP('Données projet'!$B$10,Paramètres!$A$1:$I$89,5,0)</f>
        <v>-1.0197709343628959E-13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147.86588596077661</v>
      </c>
      <c r="AO64" s="62">
        <f t="shared" si="36"/>
        <v>228.19398518024298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5.5879883185046211</v>
      </c>
      <c r="AV64" s="23">
        <f>EXP(-LN(2)/25)*AV63+(1-EXP(-LN(2)/25))/(LN(2)/25)*Calculateur!AQ64*Calculateur!AS64*VLOOKUP('Données projet'!$B$10,Paramètres!$A$1:$I$89,3,0)*0.475*44/12</f>
        <v>1.4150746632235607</v>
      </c>
      <c r="AW64" s="23">
        <f>EXP(-LN(2)/2)*AW63+(1-EXP(-LN(2)/2))/(LN(2)/2)*AQ64*AT64*VLOOKUP('Données projet'!$B$10,Paramètres!$A$1:$I$89,3,0)*0.475*44/12</f>
        <v>3.2942620826521151E-4</v>
      </c>
      <c r="AX64" s="23">
        <f t="shared" si="6"/>
        <v>7.0033924079364462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-1.7053025658242404E-13</v>
      </c>
      <c r="AJ65" s="14">
        <f>AI65*VLOOKUP('Données projet'!$B$10,Paramètres!$A$1:$I$89,3,0)*VLOOKUP('Données projet'!$B$10,Paramètres!$A$1:$I$89,5,0)</f>
        <v>-1.0197709343628959E-13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147.86588596077661</v>
      </c>
      <c r="AO65" s="62">
        <f t="shared" si="36"/>
        <v>228.19398518024298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5.4784112759150743</v>
      </c>
      <c r="AV65" s="23">
        <f>EXP(-LN(2)/25)*AV64+(1-EXP(-LN(2)/25))/(LN(2)/25)*Calculateur!AQ65*Calculateur!AS65*VLOOKUP('Données projet'!$B$10,Paramètres!$A$1:$I$89,3,0)*0.475*44/12</f>
        <v>1.37637937214217</v>
      </c>
      <c r="AW65" s="23">
        <f>EXP(-LN(2)/2)*AW64+(1-EXP(-LN(2)/2))/(LN(2)/2)*AQ65*AT65*VLOOKUP('Données projet'!$B$10,Paramètres!$A$1:$I$89,3,0)*0.475*44/12</f>
        <v>2.3293950576490295E-4</v>
      </c>
      <c r="AX65" s="23">
        <f t="shared" si="6"/>
        <v>6.8550235875630099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-1.7053025658242404E-13</v>
      </c>
      <c r="AJ66" s="14">
        <f>AI66*VLOOKUP('Données projet'!$B$10,Paramètres!$A$1:$I$89,3,0)*VLOOKUP('Données projet'!$B$10,Paramètres!$A$1:$I$89,5,0)</f>
        <v>-1.0197709343628959E-13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147.86588596077661</v>
      </c>
      <c r="AO66" s="62">
        <f t="shared" si="36"/>
        <v>228.19398518024298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5.3709829722953124</v>
      </c>
      <c r="AV66" s="23">
        <f>EXP(-LN(2)/25)*AV65+(1-EXP(-LN(2)/25))/(LN(2)/25)*Calculateur!AQ66*Calculateur!AS66*VLOOKUP('Données projet'!$B$10,Paramètres!$A$1:$I$89,3,0)*0.475*44/12</f>
        <v>1.3387422058302969</v>
      </c>
      <c r="AW66" s="23">
        <f>EXP(-LN(2)/2)*AW65+(1-EXP(-LN(2)/2))/(LN(2)/2)*AQ66*AT66*VLOOKUP('Données projet'!$B$10,Paramètres!$A$1:$I$89,3,0)*0.475*44/12</f>
        <v>1.6471310413260576E-4</v>
      </c>
      <c r="AX66" s="23">
        <f t="shared" si="6"/>
        <v>6.709889891229742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-1.7053025658242404E-13</v>
      </c>
      <c r="AJ67" s="14">
        <f>AI67*VLOOKUP('Données projet'!$B$10,Paramètres!$A$1:$I$89,3,0)*VLOOKUP('Données projet'!$B$10,Paramètres!$A$1:$I$89,5,0)</f>
        <v>-1.0197709343628959E-13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147.86588596077661</v>
      </c>
      <c r="AO67" s="62">
        <f t="shared" si="36"/>
        <v>228.19398518024298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5.2656612721847385</v>
      </c>
      <c r="AV67" s="23">
        <f>EXP(-LN(2)/25)*AV66+(1-EXP(-LN(2)/25))/(LN(2)/25)*Calculateur!AQ67*Calculateur!AS67*VLOOKUP('Données projet'!$B$10,Paramètres!$A$1:$I$89,3,0)*0.475*44/12</f>
        <v>1.3021342298104746</v>
      </c>
      <c r="AW67" s="23">
        <f>EXP(-LN(2)/2)*AW66+(1-EXP(-LN(2)/2))/(LN(2)/2)*AQ67*AT67*VLOOKUP('Données projet'!$B$10,Paramètres!$A$1:$I$89,3,0)*0.475*44/12</f>
        <v>1.1646975288245148E-4</v>
      </c>
      <c r="AX67" s="23">
        <f t="shared" si="6"/>
        <v>6.5679119717480949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-1.7053025658242404E-13</v>
      </c>
      <c r="AJ68" s="14">
        <f>AI68*VLOOKUP('Données projet'!$B$10,Paramètres!$A$1:$I$89,3,0)*VLOOKUP('Données projet'!$B$10,Paramètres!$A$1:$I$89,5,0)</f>
        <v>-1.0197709343628959E-13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147.86588596077661</v>
      </c>
      <c r="AO68" s="62">
        <f t="shared" si="36"/>
        <v>228.19398518024298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5.1624048663734392</v>
      </c>
      <c r="AV68" s="23">
        <f>EXP(-LN(2)/25)*AV67+(1-EXP(-LN(2)/25))/(LN(2)/25)*Calculateur!AQ68*Calculateur!AS68*VLOOKUP('Données projet'!$B$10,Paramètres!$A$1:$I$89,3,0)*0.475*44/12</f>
        <v>1.2665273008200439</v>
      </c>
      <c r="AW68" s="23">
        <f>EXP(-LN(2)/2)*AW67+(1-EXP(-LN(2)/2))/(LN(2)/2)*AQ68*AT68*VLOOKUP('Données projet'!$B$10,Paramètres!$A$1:$I$89,3,0)*0.475*44/12</f>
        <v>8.2356552066302878E-5</v>
      </c>
      <c r="AX68" s="23">
        <f t="shared" ref="AX68:AX131" si="60">SUM(AU68:AW68)</f>
        <v>6.4290145237455496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-1.7053025658242404E-13</v>
      </c>
      <c r="AJ69" s="14">
        <f>AI69*VLOOKUP('Données projet'!$B$10,Paramètres!$A$1:$I$89,3,0)*VLOOKUP('Données projet'!$B$10,Paramètres!$A$1:$I$89,5,0)</f>
        <v>-1.0197709343628959E-13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147.86588596077661</v>
      </c>
      <c r="AO69" s="62">
        <f t="shared" ref="AO69:AO132" si="90">$AO$3</f>
        <v>228.19398518024298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5.0611732556999103</v>
      </c>
      <c r="AV69" s="23">
        <f>EXP(-LN(2)/25)*AV68+(1-EXP(-LN(2)/25))/(LN(2)/25)*Calculateur!AQ69*Calculateur!AS69*VLOOKUP('Données projet'!$B$10,Paramètres!$A$1:$I$89,3,0)*0.475*44/12</f>
        <v>1.2318940451753437</v>
      </c>
      <c r="AW69" s="23">
        <f>EXP(-LN(2)/2)*AW68+(1-EXP(-LN(2)/2))/(LN(2)/2)*AQ69*AT69*VLOOKUP('Données projet'!$B$10,Paramètres!$A$1:$I$89,3,0)*0.475*44/12</f>
        <v>5.8234876441225738E-5</v>
      </c>
      <c r="AX69" s="23">
        <f t="shared" si="60"/>
        <v>6.2931255357516953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-1.7053025658242404E-13</v>
      </c>
      <c r="AJ70" s="14">
        <f>AI70*VLOOKUP('Données projet'!$B$10,Paramètres!$A$1:$I$89,3,0)*VLOOKUP('Données projet'!$B$10,Paramètres!$A$1:$I$89,5,0)</f>
        <v>-1.0197709343628959E-13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147.86588596077661</v>
      </c>
      <c r="AO70" s="62">
        <f t="shared" si="90"/>
        <v>228.19398518024298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4.9619267351665037</v>
      </c>
      <c r="AV70" s="23">
        <f>EXP(-LN(2)/25)*AV69+(1-EXP(-LN(2)/25))/(LN(2)/25)*Calculateur!AQ70*Calculateur!AS70*VLOOKUP('Données projet'!$B$10,Paramètres!$A$1:$I$89,3,0)*0.475*44/12</f>
        <v>1.1982078377275316</v>
      </c>
      <c r="AW70" s="23">
        <f>EXP(-LN(2)/2)*AW69+(1-EXP(-LN(2)/2))/(LN(2)/2)*AQ70*AT70*VLOOKUP('Données projet'!$B$10,Paramètres!$A$1:$I$89,3,0)*0.475*44/12</f>
        <v>4.1178276033151439E-5</v>
      </c>
      <c r="AX70" s="23">
        <f t="shared" si="60"/>
        <v>6.160175751170069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-1.7053025658242404E-13</v>
      </c>
      <c r="AJ71" s="14">
        <f>AI71*VLOOKUP('Données projet'!$B$10,Paramètres!$A$1:$I$89,3,0)*VLOOKUP('Données projet'!$B$10,Paramètres!$A$1:$I$89,5,0)</f>
        <v>-1.0197709343628959E-13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147.86588596077661</v>
      </c>
      <c r="AO71" s="62">
        <f t="shared" si="90"/>
        <v>228.19398518024298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4.8646263783663573</v>
      </c>
      <c r="AV71" s="23">
        <f>EXP(-LN(2)/25)*AV70+(1-EXP(-LN(2)/25))/(LN(2)/25)*Calculateur!AQ71*Calculateur!AS71*VLOOKUP('Données projet'!$B$10,Paramètres!$A$1:$I$89,3,0)*0.475*44/12</f>
        <v>1.1654427813938606</v>
      </c>
      <c r="AW71" s="23">
        <f>EXP(-LN(2)/2)*AW70+(1-EXP(-LN(2)/2))/(LN(2)/2)*AQ71*AT71*VLOOKUP('Données projet'!$B$10,Paramètres!$A$1:$I$89,3,0)*0.475*44/12</f>
        <v>2.9117438220612869E-5</v>
      </c>
      <c r="AX71" s="23">
        <f t="shared" si="60"/>
        <v>6.0300982771984382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-1.7053025658242404E-13</v>
      </c>
      <c r="AJ72" s="14">
        <f>AI72*VLOOKUP('Données projet'!$B$10,Paramètres!$A$1:$I$89,3,0)*VLOOKUP('Données projet'!$B$10,Paramètres!$A$1:$I$89,5,0)</f>
        <v>-1.0197709343628959E-13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147.86588596077661</v>
      </c>
      <c r="AO72" s="62">
        <f t="shared" si="90"/>
        <v>228.19398518024298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4.7692340222157039</v>
      </c>
      <c r="AV72" s="23">
        <f>EXP(-LN(2)/25)*AV71+(1-EXP(-LN(2)/25))/(LN(2)/25)*Calculateur!AQ72*Calculateur!AS72*VLOOKUP('Données projet'!$B$10,Paramètres!$A$1:$I$89,3,0)*0.475*44/12</f>
        <v>1.1335736872486732</v>
      </c>
      <c r="AW72" s="23">
        <f>EXP(-LN(2)/2)*AW71+(1-EXP(-LN(2)/2))/(LN(2)/2)*AQ72*AT72*VLOOKUP('Données projet'!$B$10,Paramètres!$A$1:$I$89,3,0)*0.475*44/12</f>
        <v>2.058913801657572E-5</v>
      </c>
      <c r="AX72" s="23">
        <f t="shared" si="60"/>
        <v>5.9028282986023939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-1.7053025658242404E-13</v>
      </c>
      <c r="AJ73" s="14">
        <f>AI73*VLOOKUP('Données projet'!$B$10,Paramètres!$A$1:$I$89,3,0)*VLOOKUP('Données projet'!$B$10,Paramètres!$A$1:$I$89,5,0)</f>
        <v>-1.0197709343628959E-13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147.86588596077661</v>
      </c>
      <c r="AO73" s="62">
        <f t="shared" si="90"/>
        <v>228.19398518024298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4.6757122519855727</v>
      </c>
      <c r="AV73" s="23">
        <f>EXP(-LN(2)/25)*AV72+(1-EXP(-LN(2)/25))/(LN(2)/25)*Calculateur!AQ73*Calculateur!AS73*VLOOKUP('Données projet'!$B$10,Paramètres!$A$1:$I$89,3,0)*0.475*44/12</f>
        <v>1.1025760551588089</v>
      </c>
      <c r="AW73" s="23">
        <f>EXP(-LN(2)/2)*AW72+(1-EXP(-LN(2)/2))/(LN(2)/2)*AQ73*AT73*VLOOKUP('Données projet'!$B$10,Paramètres!$A$1:$I$89,3,0)*0.475*44/12</f>
        <v>1.4558719110306435E-5</v>
      </c>
      <c r="AX73" s="23">
        <f t="shared" si="60"/>
        <v>5.7783028658634921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-1.7053025658242404E-13</v>
      </c>
      <c r="AJ74" s="14">
        <f>AI74*VLOOKUP('Données projet'!$B$10,Paramètres!$A$1:$I$89,3,0)*VLOOKUP('Données projet'!$B$10,Paramètres!$A$1:$I$89,5,0)</f>
        <v>-1.0197709343628959E-13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147.86588596077661</v>
      </c>
      <c r="AO74" s="62">
        <f t="shared" si="90"/>
        <v>228.19398518024298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4.5840243866270072</v>
      </c>
      <c r="AV74" s="23">
        <f>EXP(-LN(2)/25)*AV73+(1-EXP(-LN(2)/25))/(LN(2)/25)*Calculateur!AQ74*Calculateur!AS74*VLOOKUP('Données projet'!$B$10,Paramètres!$A$1:$I$89,3,0)*0.475*44/12</f>
        <v>1.0724260549485365</v>
      </c>
      <c r="AW74" s="23">
        <f>EXP(-LN(2)/2)*AW73+(1-EXP(-LN(2)/2))/(LN(2)/2)*AQ74*AT74*VLOOKUP('Données projet'!$B$10,Paramètres!$A$1:$I$89,3,0)*0.475*44/12</f>
        <v>1.029456900828786E-5</v>
      </c>
      <c r="AX74" s="23">
        <f t="shared" si="60"/>
        <v>5.6564607361445516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-1.7053025658242404E-13</v>
      </c>
      <c r="AJ75" s="14">
        <f>AI75*VLOOKUP('Données projet'!$B$10,Paramètres!$A$1:$I$89,3,0)*VLOOKUP('Données projet'!$B$10,Paramètres!$A$1:$I$89,5,0)</f>
        <v>-1.0197709343628959E-13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147.86588596077661</v>
      </c>
      <c r="AO75" s="62">
        <f t="shared" si="90"/>
        <v>228.19398518024298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4.4941344643840475</v>
      </c>
      <c r="AV75" s="23">
        <f>EXP(-LN(2)/25)*AV74+(1-EXP(-LN(2)/25))/(LN(2)/25)*Calculateur!AQ75*Calculateur!AS75*VLOOKUP('Données projet'!$B$10,Paramètres!$A$1:$I$89,3,0)*0.475*44/12</f>
        <v>1.0431005080795337</v>
      </c>
      <c r="AW75" s="23">
        <f>EXP(-LN(2)/2)*AW74+(1-EXP(-LN(2)/2))/(LN(2)/2)*AQ75*AT75*VLOOKUP('Données projet'!$B$10,Paramètres!$A$1:$I$89,3,0)*0.475*44/12</f>
        <v>7.2793595551532173E-6</v>
      </c>
      <c r="AX75" s="23">
        <f t="shared" si="60"/>
        <v>5.5372422518231366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-1.7053025658242404E-13</v>
      </c>
      <c r="AJ76" s="14">
        <f>AI76*VLOOKUP('Données projet'!$B$10,Paramètres!$A$1:$I$89,3,0)*VLOOKUP('Données projet'!$B$10,Paramètres!$A$1:$I$89,5,0)</f>
        <v>-1.0197709343628959E-13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147.86588596077661</v>
      </c>
      <c r="AO76" s="62">
        <f t="shared" si="90"/>
        <v>228.19398518024298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4.406007228688833</v>
      </c>
      <c r="AV76" s="23">
        <f>EXP(-LN(2)/25)*AV75+(1-EXP(-LN(2)/25))/(LN(2)/25)*Calculateur!AQ76*Calculateur!AS76*VLOOKUP('Données projet'!$B$10,Paramètres!$A$1:$I$89,3,0)*0.475*44/12</f>
        <v>1.0145768698318272</v>
      </c>
      <c r="AW76" s="23">
        <f>EXP(-LN(2)/2)*AW75+(1-EXP(-LN(2)/2))/(LN(2)/2)*AQ76*AT76*VLOOKUP('Données projet'!$B$10,Paramètres!$A$1:$I$89,3,0)*0.475*44/12</f>
        <v>5.1472845041439299E-6</v>
      </c>
      <c r="AX76" s="23">
        <f t="shared" si="60"/>
        <v>5.4205892458051643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-1.7053025658242404E-13</v>
      </c>
      <c r="AJ77" s="14">
        <f>AI77*VLOOKUP('Données projet'!$B$10,Paramètres!$A$1:$I$89,3,0)*VLOOKUP('Données projet'!$B$10,Paramètres!$A$1:$I$89,5,0)</f>
        <v>-1.0197709343628959E-13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147.86588596077661</v>
      </c>
      <c r="AO77" s="62">
        <f t="shared" si="90"/>
        <v>228.19398518024298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4.3196081143332963</v>
      </c>
      <c r="AV77" s="23">
        <f>EXP(-LN(2)/25)*AV76+(1-EXP(-LN(2)/25))/(LN(2)/25)*Calculateur!AQ77*Calculateur!AS77*VLOOKUP('Données projet'!$B$10,Paramètres!$A$1:$I$89,3,0)*0.475*44/12</f>
        <v>0.98683321197199714</v>
      </c>
      <c r="AW77" s="23">
        <f>EXP(-LN(2)/2)*AW76+(1-EXP(-LN(2)/2))/(LN(2)/2)*AQ77*AT77*VLOOKUP('Données projet'!$B$10,Paramètres!$A$1:$I$89,3,0)*0.475*44/12</f>
        <v>3.6396797775766087E-6</v>
      </c>
      <c r="AX77" s="23">
        <f t="shared" si="60"/>
        <v>5.3064449659850714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-1.7053025658242404E-13</v>
      </c>
      <c r="AJ78" s="14">
        <f>AI78*VLOOKUP('Données projet'!$B$10,Paramètres!$A$1:$I$89,3,0)*VLOOKUP('Données projet'!$B$10,Paramètres!$A$1:$I$89,5,0)</f>
        <v>-1.0197709343628959E-13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147.86588596077661</v>
      </c>
      <c r="AO78" s="62">
        <f t="shared" si="90"/>
        <v>228.19398518024298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4.2349032339120152</v>
      </c>
      <c r="AV78" s="23">
        <f>EXP(-LN(2)/25)*AV77+(1-EXP(-LN(2)/25))/(LN(2)/25)*Calculateur!AQ78*Calculateur!AS78*VLOOKUP('Données projet'!$B$10,Paramètres!$A$1:$I$89,3,0)*0.475*44/12</f>
        <v>0.95984820589531972</v>
      </c>
      <c r="AW78" s="23">
        <f>EXP(-LN(2)/2)*AW77+(1-EXP(-LN(2)/2))/(LN(2)/2)*AQ78*AT78*VLOOKUP('Données projet'!$B$10,Paramètres!$A$1:$I$89,3,0)*0.475*44/12</f>
        <v>2.573642252071965E-6</v>
      </c>
      <c r="AX78" s="23">
        <f t="shared" si="60"/>
        <v>5.1947540134495869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-1.7053025658242404E-13</v>
      </c>
      <c r="AJ79" s="14">
        <f>AI79*VLOOKUP('Données projet'!$B$10,Paramètres!$A$1:$I$89,3,0)*VLOOKUP('Données projet'!$B$10,Paramètres!$A$1:$I$89,5,0)</f>
        <v>-1.0197709343628959E-13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147.86588596077661</v>
      </c>
      <c r="AO79" s="62">
        <f t="shared" si="90"/>
        <v>228.19398518024298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4.1518593645309192</v>
      </c>
      <c r="AV79" s="23">
        <f>EXP(-LN(2)/25)*AV78+(1-EXP(-LN(2)/25))/(LN(2)/25)*Calculateur!AQ79*Calculateur!AS79*VLOOKUP('Données projet'!$B$10,Paramètres!$A$1:$I$89,3,0)*0.475*44/12</f>
        <v>0.93360110622888881</v>
      </c>
      <c r="AW79" s="23">
        <f>EXP(-LN(2)/2)*AW78+(1-EXP(-LN(2)/2))/(LN(2)/2)*AQ79*AT79*VLOOKUP('Données projet'!$B$10,Paramètres!$A$1:$I$89,3,0)*0.475*44/12</f>
        <v>1.8198398887883043E-6</v>
      </c>
      <c r="AX79" s="23">
        <f t="shared" si="60"/>
        <v>5.0854622905996969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-1.7053025658242404E-13</v>
      </c>
      <c r="AJ80" s="14">
        <f>AI80*VLOOKUP('Données projet'!$B$10,Paramètres!$A$1:$I$89,3,0)*VLOOKUP('Données projet'!$B$10,Paramètres!$A$1:$I$89,5,0)</f>
        <v>-1.0197709343628959E-13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147.86588596077661</v>
      </c>
      <c r="AO80" s="62">
        <f t="shared" si="90"/>
        <v>228.19398518024298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4.0704439347766277</v>
      </c>
      <c r="AV80" s="23">
        <f>EXP(-LN(2)/25)*AV79+(1-EXP(-LN(2)/25))/(LN(2)/25)*Calculateur!AQ80*Calculateur!AS80*VLOOKUP('Données projet'!$B$10,Paramètres!$A$1:$I$89,3,0)*0.475*44/12</f>
        <v>0.90807173488311144</v>
      </c>
      <c r="AW80" s="23">
        <f>EXP(-LN(2)/2)*AW79+(1-EXP(-LN(2)/2))/(LN(2)/2)*AQ80*AT80*VLOOKUP('Données projet'!$B$10,Paramètres!$A$1:$I$89,3,0)*0.475*44/12</f>
        <v>1.2868211260359825E-6</v>
      </c>
      <c r="AX80" s="23">
        <f t="shared" si="60"/>
        <v>4.9785169564808651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-1.7053025658242404E-13</v>
      </c>
      <c r="AJ81" s="14">
        <f>AI81*VLOOKUP('Données projet'!$B$10,Paramètres!$A$1:$I$89,3,0)*VLOOKUP('Données projet'!$B$10,Paramètres!$A$1:$I$89,5,0)</f>
        <v>-1.0197709343628959E-13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147.86588596077661</v>
      </c>
      <c r="AO81" s="62">
        <f t="shared" si="90"/>
        <v>228.19398518024298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3.9906250119413094</v>
      </c>
      <c r="AV81" s="23">
        <f>EXP(-LN(2)/25)*AV80+(1-EXP(-LN(2)/25))/(LN(2)/25)*Calculateur!AQ81*Calculateur!AS81*VLOOKUP('Données projet'!$B$10,Paramètres!$A$1:$I$89,3,0)*0.475*44/12</f>
        <v>0.88324046553931568</v>
      </c>
      <c r="AW81" s="23">
        <f>EXP(-LN(2)/2)*AW80+(1-EXP(-LN(2)/2))/(LN(2)/2)*AQ81*AT81*VLOOKUP('Données projet'!$B$10,Paramètres!$A$1:$I$89,3,0)*0.475*44/12</f>
        <v>9.0991994439415216E-7</v>
      </c>
      <c r="AX81" s="23">
        <f t="shared" si="60"/>
        <v>4.8738663874005699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projet'!$B$10,Paramètres!$A$1:$I$89,3,0)*VLOOKUP('Données projet'!$B$10,Paramètres!$A$1:$I$89,5,0)</f>
        <v>-1.0197709343628959E-13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147.86588596077661</v>
      </c>
      <c r="AO82" s="62">
        <f t="shared" si="90"/>
        <v>228.19398518024298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3.912371289498056</v>
      </c>
      <c r="AV82" s="23">
        <f>EXP(-LN(2)/25)*AV81+(1-EXP(-LN(2)/25))/(LN(2)/25)*Calculateur!AQ82*Calculateur!AS82*VLOOKUP('Données projet'!$B$10,Paramètres!$A$1:$I$89,3,0)*0.475*44/12</f>
        <v>0.85908820856154566</v>
      </c>
      <c r="AW82" s="23">
        <f>EXP(-LN(2)/2)*AW81+(1-EXP(-LN(2)/2))/(LN(2)/2)*AQ82*AT82*VLOOKUP('Données projet'!$B$10,Paramètres!$A$1:$I$89,3,0)*0.475*44/12</f>
        <v>6.4341056301799124E-7</v>
      </c>
      <c r="AX82" s="23">
        <f t="shared" si="60"/>
        <v>4.7714601414701647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projet'!$B$10,Paramètres!$A$1:$I$89,3,0)*VLOOKUP('Données projet'!$B$10,Paramètres!$A$1:$I$89,5,0)</f>
        <v>-1.0197709343628959E-13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147.86588596077661</v>
      </c>
      <c r="AO83" s="62">
        <f t="shared" si="90"/>
        <v>228.19398518024298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3.8356520748218572</v>
      </c>
      <c r="AV83" s="23">
        <f>EXP(-LN(2)/25)*AV82+(1-EXP(-LN(2)/25))/(LN(2)/25)*Calculateur!AQ83*Calculateur!AS83*VLOOKUP('Données projet'!$B$10,Paramètres!$A$1:$I$89,3,0)*0.475*44/12</f>
        <v>0.83559639632094473</v>
      </c>
      <c r="AW83" s="23">
        <f>EXP(-LN(2)/2)*AW82+(1-EXP(-LN(2)/2))/(LN(2)/2)*AQ83*AT83*VLOOKUP('Données projet'!$B$10,Paramètres!$A$1:$I$89,3,0)*0.475*44/12</f>
        <v>4.5495997219707608E-7</v>
      </c>
      <c r="AX83" s="23">
        <f t="shared" si="60"/>
        <v>4.6712489261027734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-1.0197709343628959E-13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147.86588596077661</v>
      </c>
      <c r="AO84" s="62">
        <f t="shared" si="90"/>
        <v>228.19398518024298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3.7604372771513583</v>
      </c>
      <c r="AV84" s="23">
        <f>EXP(-LN(2)/25)*AV83+(1-EXP(-LN(2)/25))/(LN(2)/25)*Calculateur!AQ84*Calculateur!AS84*VLOOKUP('Données projet'!$B$10,Paramètres!$A$1:$I$89,3,0)*0.475*44/12</f>
        <v>0.81274696892144382</v>
      </c>
      <c r="AW84" s="23">
        <f>EXP(-LN(2)/2)*AW83+(1-EXP(-LN(2)/2))/(LN(2)/2)*AQ84*AT84*VLOOKUP('Données projet'!$B$10,Paramètres!$A$1:$I$89,3,0)*0.475*44/12</f>
        <v>3.2170528150899562E-7</v>
      </c>
      <c r="AX84" s="23">
        <f t="shared" si="60"/>
        <v>4.5731845677780836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-1.0197709343628959E-13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147.86588596077661</v>
      </c>
      <c r="AO85" s="62">
        <f t="shared" si="90"/>
        <v>228.19398518024298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3.6866973957866813</v>
      </c>
      <c r="AV85" s="23">
        <f>EXP(-LN(2)/25)*AV84+(1-EXP(-LN(2)/25))/(LN(2)/25)*Calculateur!AQ85*Calculateur!AS85*VLOOKUP('Données projet'!$B$10,Paramètres!$A$1:$I$89,3,0)*0.475*44/12</f>
        <v>0.79052236031578138</v>
      </c>
      <c r="AW85" s="23">
        <f>EXP(-LN(2)/2)*AW84+(1-EXP(-LN(2)/2))/(LN(2)/2)*AQ85*AT85*VLOOKUP('Données projet'!$B$10,Paramètres!$A$1:$I$89,3,0)*0.475*44/12</f>
        <v>2.2747998609853804E-7</v>
      </c>
      <c r="AX85" s="23">
        <f t="shared" si="60"/>
        <v>4.4772199835824482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-1.0197709343628959E-13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147.86588596077661</v>
      </c>
      <c r="AO86" s="62">
        <f t="shared" si="90"/>
        <v>228.19398518024298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3.614403508518679</v>
      </c>
      <c r="AV86" s="23">
        <f>EXP(-LN(2)/25)*AV85+(1-EXP(-LN(2)/25))/(LN(2)/25)*Calculateur!AQ86*Calculateur!AS86*VLOOKUP('Données projet'!$B$10,Paramètres!$A$1:$I$89,3,0)*0.475*44/12</f>
        <v>0.76890548480118215</v>
      </c>
      <c r="AW86" s="23">
        <f>EXP(-LN(2)/2)*AW85+(1-EXP(-LN(2)/2))/(LN(2)/2)*AQ86*AT86*VLOOKUP('Données projet'!$B$10,Paramètres!$A$1:$I$89,3,0)*0.475*44/12</f>
        <v>1.6085264075449781E-7</v>
      </c>
      <c r="AX86" s="23">
        <f t="shared" si="60"/>
        <v>4.383309154172502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-1.0197709343628959E-13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147.86588596077661</v>
      </c>
      <c r="AO87" s="62">
        <f t="shared" si="90"/>
        <v>228.19398518024298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3.5435272602850847</v>
      </c>
      <c r="AV87" s="23">
        <f>EXP(-LN(2)/25)*AV86+(1-EXP(-LN(2)/25))/(LN(2)/25)*Calculateur!AQ87*Calculateur!AS87*VLOOKUP('Données projet'!$B$10,Paramètres!$A$1:$I$89,3,0)*0.475*44/12</f>
        <v>0.74787972388431179</v>
      </c>
      <c r="AW87" s="23">
        <f>EXP(-LN(2)/2)*AW86+(1-EXP(-LN(2)/2))/(LN(2)/2)*AQ87*AT87*VLOOKUP('Données projet'!$B$10,Paramètres!$A$1:$I$89,3,0)*0.475*44/12</f>
        <v>1.1373999304926902E-7</v>
      </c>
      <c r="AX87" s="23">
        <f t="shared" si="60"/>
        <v>4.2914070979093903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-1.0197709343628959E-13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147.86588596077661</v>
      </c>
      <c r="AO88" s="62">
        <f t="shared" si="90"/>
        <v>228.19398518024298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3.4740408520491086</v>
      </c>
      <c r="AV88" s="23">
        <f>EXP(-LN(2)/25)*AV87+(1-EXP(-LN(2)/25))/(LN(2)/25)*Calculateur!AQ88*Calculateur!AS88*VLOOKUP('Données projet'!$B$10,Paramètres!$A$1:$I$89,3,0)*0.475*44/12</f>
        <v>0.72742891350540995</v>
      </c>
      <c r="AW88" s="23">
        <f>EXP(-LN(2)/2)*AW87+(1-EXP(-LN(2)/2))/(LN(2)/2)*AQ88*AT88*VLOOKUP('Données projet'!$B$10,Paramètres!$A$1:$I$89,3,0)*0.475*44/12</f>
        <v>8.0426320377248905E-8</v>
      </c>
      <c r="AX88" s="23">
        <f t="shared" si="60"/>
        <v>4.2014698459808395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-1.0197709343628959E-13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147.86588596077661</v>
      </c>
      <c r="AO89" s="62">
        <f t="shared" si="90"/>
        <v>228.19398518024298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3.4059170298961159</v>
      </c>
      <c r="AV89" s="23">
        <f>EXP(-LN(2)/25)*AV88+(1-EXP(-LN(2)/25))/(LN(2)/25)*Calculateur!AQ89*Calculateur!AS89*VLOOKUP('Données projet'!$B$10,Paramètres!$A$1:$I$89,3,0)*0.475*44/12</f>
        <v>0.70753733161178056</v>
      </c>
      <c r="AW89" s="23">
        <f>EXP(-LN(2)/2)*AW88+(1-EXP(-LN(2)/2))/(LN(2)/2)*AQ89*AT89*VLOOKUP('Données projet'!$B$10,Paramètres!$A$1:$I$89,3,0)*0.475*44/12</f>
        <v>5.686999652463451E-8</v>
      </c>
      <c r="AX89" s="23">
        <f t="shared" si="60"/>
        <v>4.1134544183778932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-1.0197709343628959E-13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147.86588596077661</v>
      </c>
      <c r="AO90" s="62">
        <f t="shared" si="90"/>
        <v>228.19398518024298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3.3391290743441147</v>
      </c>
      <c r="AV90" s="23">
        <f>EXP(-LN(2)/25)*AV89+(1-EXP(-LN(2)/25))/(LN(2)/25)*Calculateur!AQ90*Calculateur!AS90*VLOOKUP('Données projet'!$B$10,Paramètres!$A$1:$I$89,3,0)*0.475*44/12</f>
        <v>0.68818968607108522</v>
      </c>
      <c r="AW90" s="23">
        <f>EXP(-LN(2)/2)*AW89+(1-EXP(-LN(2)/2))/(LN(2)/2)*AQ90*AT90*VLOOKUP('Données projet'!$B$10,Paramètres!$A$1:$I$89,3,0)*0.475*44/12</f>
        <v>4.0213160188624452E-8</v>
      </c>
      <c r="AX90" s="23">
        <f t="shared" si="60"/>
        <v>4.0273188006283602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-1.0197709343628959E-13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147.86588596077661</v>
      </c>
      <c r="AO91" s="62">
        <f t="shared" si="90"/>
        <v>228.19398518024298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3.2736507898638578</v>
      </c>
      <c r="AV91" s="23">
        <f>EXP(-LN(2)/25)*AV90+(1-EXP(-LN(2)/25))/(LN(2)/25)*Calculateur!AQ91*Calculateur!AS91*VLOOKUP('Données projet'!$B$10,Paramètres!$A$1:$I$89,3,0)*0.475*44/12</f>
        <v>0.66937110291514867</v>
      </c>
      <c r="AW91" s="23">
        <f>EXP(-LN(2)/2)*AW90+(1-EXP(-LN(2)/2))/(LN(2)/2)*AQ91*AT91*VLOOKUP('Données projet'!$B$10,Paramètres!$A$1:$I$89,3,0)*0.475*44/12</f>
        <v>2.8434998262317255E-8</v>
      </c>
      <c r="AX91" s="23">
        <f t="shared" si="60"/>
        <v>3.943021921214005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-1.0197709343628959E-13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147.86588596077661</v>
      </c>
      <c r="AO92" s="62">
        <f t="shared" si="90"/>
        <v>228.19398518024298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3.2094564946044488</v>
      </c>
      <c r="AV92" s="23">
        <f>EXP(-LN(2)/25)*AV91+(1-EXP(-LN(2)/25))/(LN(2)/25)*Calculateur!AQ92*Calculateur!AS92*VLOOKUP('Données projet'!$B$10,Paramètres!$A$1:$I$89,3,0)*0.475*44/12</f>
        <v>0.6510671149052375</v>
      </c>
      <c r="AW92" s="23">
        <f>EXP(-LN(2)/2)*AW91+(1-EXP(-LN(2)/2))/(LN(2)/2)*AQ92*AT92*VLOOKUP('Données projet'!$B$10,Paramètres!$A$1:$I$89,3,0)*0.475*44/12</f>
        <v>2.0106580094312226E-8</v>
      </c>
      <c r="AX92" s="23">
        <f t="shared" si="60"/>
        <v>3.8605236296162664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-1.0197709343628959E-13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147.86588596077661</v>
      </c>
      <c r="AO93" s="62">
        <f t="shared" si="90"/>
        <v>228.19398518024298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3.1465210103204226</v>
      </c>
      <c r="AV93" s="23">
        <f>EXP(-LN(2)/25)*AV92+(1-EXP(-LN(2)/25))/(LN(2)/25)*Calculateur!AQ93*Calculateur!AS93*VLOOKUP('Données projet'!$B$10,Paramètres!$A$1:$I$89,3,0)*0.475*44/12</f>
        <v>0.63326365041002219</v>
      </c>
      <c r="AW93" s="23">
        <f>EXP(-LN(2)/2)*AW92+(1-EXP(-LN(2)/2))/(LN(2)/2)*AQ93*AT93*VLOOKUP('Données projet'!$B$10,Paramètres!$A$1:$I$89,3,0)*0.475*44/12</f>
        <v>1.4217499131158628E-8</v>
      </c>
      <c r="AX93" s="23">
        <f t="shared" si="60"/>
        <v>3.779784674947944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-1.0197709343628959E-13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147.86588596077661</v>
      </c>
      <c r="AO94" s="62">
        <f t="shared" si="90"/>
        <v>228.19398518024298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3.0848196524963512</v>
      </c>
      <c r="AV94" s="23">
        <f>EXP(-LN(2)/25)*AV93+(1-EXP(-LN(2)/25))/(LN(2)/25)*Calculateur!AQ94*Calculateur!AS94*VLOOKUP('Données projet'!$B$10,Paramètres!$A$1:$I$89,3,0)*0.475*44/12</f>
        <v>0.61594702258767209</v>
      </c>
      <c r="AW94" s="23">
        <f>EXP(-LN(2)/2)*AW93+(1-EXP(-LN(2)/2))/(LN(2)/2)*AQ94*AT94*VLOOKUP('Données projet'!$B$10,Paramètres!$A$1:$I$89,3,0)*0.475*44/12</f>
        <v>1.0053290047156113E-8</v>
      </c>
      <c r="AX94" s="23">
        <f t="shared" si="60"/>
        <v>3.7007666851373133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-1.0197709343628959E-13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147.86588596077661</v>
      </c>
      <c r="AO95" s="62">
        <f t="shared" si="90"/>
        <v>228.19398518024298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3.0243282206650979</v>
      </c>
      <c r="AV95" s="23">
        <f>EXP(-LN(2)/25)*AV94+(1-EXP(-LN(2)/25))/(LN(2)/25)*Calculateur!AQ95*Calculateur!AS95*VLOOKUP('Données projet'!$B$10,Paramètres!$A$1:$I$89,3,0)*0.475*44/12</f>
        <v>0.59910391886376602</v>
      </c>
      <c r="AW95" s="23">
        <f>EXP(-LN(2)/2)*AW94+(1-EXP(-LN(2)/2))/(LN(2)/2)*AQ95*AT95*VLOOKUP('Données projet'!$B$10,Paramètres!$A$1:$I$89,3,0)*0.475*44/12</f>
        <v>7.1087495655793138E-9</v>
      </c>
      <c r="AX95" s="23">
        <f t="shared" si="60"/>
        <v>3.6234321466376134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-1.0197709343628959E-13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147.86588596077661</v>
      </c>
      <c r="AO96" s="62">
        <f t="shared" si="90"/>
        <v>228.19398518024298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2.965022988915925</v>
      </c>
      <c r="AV96" s="23">
        <f>EXP(-LN(2)/25)*AV95+(1-EXP(-LN(2)/25))/(LN(2)/25)*Calculateur!AQ96*Calculateur!AS96*VLOOKUP('Données projet'!$B$10,Paramètres!$A$1:$I$89,3,0)*0.475*44/12</f>
        <v>0.58272139069693052</v>
      </c>
      <c r="AW96" s="23">
        <f>EXP(-LN(2)/2)*AW95+(1-EXP(-LN(2)/2))/(LN(2)/2)*AQ96*AT96*VLOOKUP('Données projet'!$B$10,Paramètres!$A$1:$I$89,3,0)*0.475*44/12</f>
        <v>5.0266450235780565E-9</v>
      </c>
      <c r="AX96" s="23">
        <f t="shared" si="60"/>
        <v>3.5477443846395005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-1.0197709343628959E-13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147.86588596077661</v>
      </c>
      <c r="AO97" s="62">
        <f t="shared" si="90"/>
        <v>228.19398518024298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2.9068806965887339</v>
      </c>
      <c r="AV97" s="23">
        <f>EXP(-LN(2)/25)*AV96+(1-EXP(-LN(2)/25))/(LN(2)/25)*Calculateur!AQ97*Calculateur!AS97*VLOOKUP('Données projet'!$B$10,Paramètres!$A$1:$I$89,3,0)*0.475*44/12</f>
        <v>0.56678684362433684</v>
      </c>
      <c r="AW97" s="23">
        <f>EXP(-LN(2)/2)*AW96+(1-EXP(-LN(2)/2))/(LN(2)/2)*AQ97*AT97*VLOOKUP('Données projet'!$B$10,Paramètres!$A$1:$I$89,3,0)*0.475*44/12</f>
        <v>3.5543747827896569E-9</v>
      </c>
      <c r="AX97" s="23">
        <f t="shared" si="60"/>
        <v>3.4736675437674451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-1.0197709343628959E-13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147.86588596077661</v>
      </c>
      <c r="AO98" s="62">
        <f t="shared" si="90"/>
        <v>228.19398518024298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2.8498785391507826</v>
      </c>
      <c r="AV98" s="23">
        <f>EXP(-LN(2)/25)*AV97+(1-EXP(-LN(2)/25))/(LN(2)/25)*Calculateur!AQ98*Calculateur!AS98*VLOOKUP('Données projet'!$B$10,Paramètres!$A$1:$I$89,3,0)*0.475*44/12</f>
        <v>0.55128802757940465</v>
      </c>
      <c r="AW98" s="23">
        <f>EXP(-LN(2)/2)*AW97+(1-EXP(-LN(2)/2))/(LN(2)/2)*AQ98*AT98*VLOOKUP('Données projet'!$B$10,Paramètres!$A$1:$I$89,3,0)*0.475*44/12</f>
        <v>2.5133225117890283E-9</v>
      </c>
      <c r="AX98" s="23">
        <f t="shared" si="60"/>
        <v>3.4011665692435096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-1.0197709343628959E-13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147.86588596077661</v>
      </c>
      <c r="AO99" s="62">
        <f t="shared" si="90"/>
        <v>228.19398518024298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2.7939941592523061</v>
      </c>
      <c r="AV99" s="23">
        <f>EXP(-LN(2)/25)*AV98+(1-EXP(-LN(2)/25))/(LN(2)/25)*Calculateur!AQ99*Calculateur!AS99*VLOOKUP('Données projet'!$B$10,Paramètres!$A$1:$I$89,3,0)*0.475*44/12</f>
        <v>0.53621302747426847</v>
      </c>
      <c r="AW99" s="23">
        <f>EXP(-LN(2)/2)*AW98+(1-EXP(-LN(2)/2))/(LN(2)/2)*AQ99*AT99*VLOOKUP('Données projet'!$B$10,Paramètres!$A$1:$I$89,3,0)*0.475*44/12</f>
        <v>1.7771873913948284E-9</v>
      </c>
      <c r="AX99" s="23">
        <f t="shared" si="60"/>
        <v>3.3302071885037616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-1.0197709343628959E-13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147.86588596077661</v>
      </c>
      <c r="AO100" s="62">
        <f t="shared" si="90"/>
        <v>228.19398518024298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2.7392056379575327</v>
      </c>
      <c r="AV100" s="23">
        <f>EXP(-LN(2)/25)*AV99+(1-EXP(-LN(2)/25))/(LN(2)/25)*Calculateur!AQ100*Calculateur!AS100*VLOOKUP('Données projet'!$B$10,Paramètres!$A$1:$I$89,3,0)*0.475*44/12</f>
        <v>0.52155025403976696</v>
      </c>
      <c r="AW100" s="23">
        <f>EXP(-LN(2)/2)*AW99+(1-EXP(-LN(2)/2))/(LN(2)/2)*AQ100*AT100*VLOOKUP('Données projet'!$B$10,Paramètres!$A$1:$I$89,3,0)*0.475*44/12</f>
        <v>1.2566612558945141E-9</v>
      </c>
      <c r="AX100" s="23">
        <f t="shared" si="60"/>
        <v>3.2607558932539611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-1.0197709343628959E-13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147.86588596077661</v>
      </c>
      <c r="AO101" s="62">
        <f t="shared" si="90"/>
        <v>228.19398518024298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2.6854914861476518</v>
      </c>
      <c r="AV101" s="23">
        <f>EXP(-LN(2)/25)*AV100+(1-EXP(-LN(2)/25))/(LN(2)/25)*Calculateur!AQ101*Calculateur!AS101*VLOOKUP('Données projet'!$B$10,Paramètres!$A$1:$I$89,3,0)*0.475*44/12</f>
        <v>0.50728843491591369</v>
      </c>
      <c r="AW101" s="23">
        <f>EXP(-LN(2)/2)*AW100+(1-EXP(-LN(2)/2))/(LN(2)/2)*AQ101*AT101*VLOOKUP('Données projet'!$B$10,Paramètres!$A$1:$I$89,3,0)*0.475*44/12</f>
        <v>8.8859369569741422E-10</v>
      </c>
      <c r="AX101" s="23">
        <f t="shared" si="60"/>
        <v>3.1927799219521593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-1.0197709343628959E-13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147.86588596077661</v>
      </c>
      <c r="AO102" s="62">
        <f t="shared" si="90"/>
        <v>228.19398518024298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2.6328306360923648</v>
      </c>
      <c r="AV102" s="23">
        <f>EXP(-LN(2)/25)*AV101+(1-EXP(-LN(2)/25))/(LN(2)/25)*Calculateur!AQ102*Calculateur!AS102*VLOOKUP('Données projet'!$B$10,Paramètres!$A$1:$I$89,3,0)*0.475*44/12</f>
        <v>0.49341660598599868</v>
      </c>
      <c r="AW102" s="23">
        <f>EXP(-LN(2)/2)*AW101+(1-EXP(-LN(2)/2))/(LN(2)/2)*AQ102*AT102*VLOOKUP('Données projet'!$B$10,Paramètres!$A$1:$I$89,3,0)*0.475*44/12</f>
        <v>6.2833062794725707E-10</v>
      </c>
      <c r="AX102" s="23">
        <f t="shared" si="60"/>
        <v>3.1262472427066941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-1.0197709343628959E-13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147.86588596077661</v>
      </c>
      <c r="AO103" s="62">
        <f t="shared" si="90"/>
        <v>228.19398518024298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2.5812024331867152</v>
      </c>
      <c r="AV103" s="23">
        <f>EXP(-LN(2)/25)*AV102+(1-EXP(-LN(2)/25))/(LN(2)/25)*Calculateur!AQ103*Calculateur!AS103*VLOOKUP('Données projet'!$B$10,Paramètres!$A$1:$I$89,3,0)*0.475*44/12</f>
        <v>0.47992410294765997</v>
      </c>
      <c r="AW103" s="23">
        <f>EXP(-LN(2)/2)*AW102+(1-EXP(-LN(2)/2))/(LN(2)/2)*AQ103*AT103*VLOOKUP('Données projet'!$B$10,Paramètres!$A$1:$I$89,3,0)*0.475*44/12</f>
        <v>4.4429684784870711E-10</v>
      </c>
      <c r="AX103" s="23">
        <f t="shared" si="60"/>
        <v>3.061126536578672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-1.0197709343628959E-13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147.86588596077661</v>
      </c>
      <c r="AO104" s="62">
        <f t="shared" si="90"/>
        <v>228.19398518024298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2.5305866278499511</v>
      </c>
      <c r="AV104" s="23">
        <f>EXP(-LN(2)/25)*AV103+(1-EXP(-LN(2)/25))/(LN(2)/25)*Calculateur!AQ104*Calculateur!AS104*VLOOKUP('Données projet'!$B$10,Paramètres!$A$1:$I$89,3,0)*0.475*44/12</f>
        <v>0.46680055311444452</v>
      </c>
      <c r="AW104" s="23">
        <f>EXP(-LN(2)/2)*AW103+(1-EXP(-LN(2)/2))/(LN(2)/2)*AQ104*AT104*VLOOKUP('Données projet'!$B$10,Paramètres!$A$1:$I$89,3,0)*0.475*44/12</f>
        <v>3.1416531397362853E-10</v>
      </c>
      <c r="AX104" s="23">
        <f t="shared" si="60"/>
        <v>2.9973871812785609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-1.0197709343628959E-13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147.86588596077661</v>
      </c>
      <c r="AO105" s="62">
        <f t="shared" si="90"/>
        <v>228.19398518024298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2.4809633675832479</v>
      </c>
      <c r="AV105" s="23">
        <f>EXP(-LN(2)/25)*AV104+(1-EXP(-LN(2)/25))/(LN(2)/25)*Calculateur!AQ105*Calculateur!AS105*VLOOKUP('Données projet'!$B$10,Paramètres!$A$1:$I$89,3,0)*0.475*44/12</f>
        <v>0.45403586744155583</v>
      </c>
      <c r="AW105" s="23">
        <f>EXP(-LN(2)/2)*AW104+(1-EXP(-LN(2)/2))/(LN(2)/2)*AQ105*AT105*VLOOKUP('Données projet'!$B$10,Paramètres!$A$1:$I$89,3,0)*0.475*44/12</f>
        <v>2.2214842392435356E-10</v>
      </c>
      <c r="AX105" s="23">
        <f t="shared" si="60"/>
        <v>2.9349992352469521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-1.0197709343628959E-13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147.86588596077661</v>
      </c>
      <c r="AO106" s="62">
        <f t="shared" si="90"/>
        <v>228.19398518024298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2.4323131891831746</v>
      </c>
      <c r="AV106" s="23">
        <f>EXP(-LN(2)/25)*AV105+(1-EXP(-LN(2)/25))/(LN(2)/25)*Calculateur!AQ106*Calculateur!AS106*VLOOKUP('Données projet'!$B$10,Paramètres!$A$1:$I$89,3,0)*0.475*44/12</f>
        <v>0.44162023276965795</v>
      </c>
      <c r="AW106" s="23">
        <f>EXP(-LN(2)/2)*AW105+(1-EXP(-LN(2)/2))/(LN(2)/2)*AQ106*AT106*VLOOKUP('Données projet'!$B$10,Paramètres!$A$1:$I$89,3,0)*0.475*44/12</f>
        <v>1.5708265698681427E-10</v>
      </c>
      <c r="AX106" s="23">
        <f t="shared" si="60"/>
        <v>2.8739334221099155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-1.0197709343628959E-13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147.86588596077661</v>
      </c>
      <c r="AO107" s="62">
        <f t="shared" si="90"/>
        <v>228.19398518024298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2.384617011107848</v>
      </c>
      <c r="AV107" s="23">
        <f>EXP(-LN(2)/25)*AV106+(1-EXP(-LN(2)/25))/(LN(2)/25)*Calculateur!AQ107*Calculateur!AS107*VLOOKUP('Données projet'!$B$10,Paramètres!$A$1:$I$89,3,0)*0.475*44/12</f>
        <v>0.42954410428077294</v>
      </c>
      <c r="AW107" s="23">
        <f>EXP(-LN(2)/2)*AW106+(1-EXP(-LN(2)/2))/(LN(2)/2)*AQ107*AT107*VLOOKUP('Données projet'!$B$10,Paramètres!$A$1:$I$89,3,0)*0.475*44/12</f>
        <v>1.1107421196217678E-10</v>
      </c>
      <c r="AX107" s="23">
        <f t="shared" si="60"/>
        <v>2.8141611154996951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-1.0197709343628959E-13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147.86588596077661</v>
      </c>
      <c r="AO108" s="62">
        <f t="shared" si="90"/>
        <v>228.19398518024298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2.3378561259927824</v>
      </c>
      <c r="AV108" s="23">
        <f>EXP(-LN(2)/25)*AV107+(1-EXP(-LN(2)/25))/(LN(2)/25)*Calculateur!AQ108*Calculateur!AS108*VLOOKUP('Données projet'!$B$10,Paramètres!$A$1:$I$89,3,0)*0.475*44/12</f>
        <v>0.41779819816047248</v>
      </c>
      <c r="AW108" s="23">
        <f>EXP(-LN(2)/2)*AW107+(1-EXP(-LN(2)/2))/(LN(2)/2)*AQ108*AT108*VLOOKUP('Données projet'!$B$10,Paramètres!$A$1:$I$89,3,0)*0.475*44/12</f>
        <v>7.8541328493407133E-11</v>
      </c>
      <c r="AX108" s="23">
        <f t="shared" si="60"/>
        <v>2.7556543242317959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-1.0197709343628959E-13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147.86588596077661</v>
      </c>
      <c r="AO109" s="62">
        <f t="shared" si="90"/>
        <v>228.19398518024298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2.2920121933134996</v>
      </c>
      <c r="AV109" s="23">
        <f>EXP(-LN(2)/25)*AV108+(1-EXP(-LN(2)/25))/(LN(2)/25)*Calculateur!AQ109*Calculateur!AS109*VLOOKUP('Données projet'!$B$10,Paramètres!$A$1:$I$89,3,0)*0.475*44/12</f>
        <v>0.40637348446072202</v>
      </c>
      <c r="AW109" s="23">
        <f>EXP(-LN(2)/2)*AW108+(1-EXP(-LN(2)/2))/(LN(2)/2)*AQ109*AT109*VLOOKUP('Données projet'!$B$10,Paramètres!$A$1:$I$89,3,0)*0.475*44/12</f>
        <v>5.5537105981088389E-11</v>
      </c>
      <c r="AX109" s="23">
        <f t="shared" si="60"/>
        <v>2.6983856778297586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-1.0197709343628959E-13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147.86588596077661</v>
      </c>
      <c r="AO110" s="62">
        <f t="shared" si="90"/>
        <v>228.19398518024298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2.2470672321920198</v>
      </c>
      <c r="AV110" s="23">
        <f>EXP(-LN(2)/25)*AV109+(1-EXP(-LN(2)/25))/(LN(2)/25)*Calculateur!AQ110*Calculateur!AS110*VLOOKUP('Données projet'!$B$10,Paramètres!$A$1:$I$89,3,0)*0.475*44/12</f>
        <v>0.3952611801578908</v>
      </c>
      <c r="AW110" s="23">
        <f>EXP(-LN(2)/2)*AW109+(1-EXP(-LN(2)/2))/(LN(2)/2)*AQ110*AT110*VLOOKUP('Données projet'!$B$10,Paramètres!$A$1:$I$89,3,0)*0.475*44/12</f>
        <v>3.9270664246703567E-11</v>
      </c>
      <c r="AX110" s="23">
        <f t="shared" si="60"/>
        <v>2.6423284123891815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-1.0197709343628959E-13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147.86588596077661</v>
      </c>
      <c r="AO111" s="62">
        <f t="shared" si="90"/>
        <v>228.19398518024298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2.2030036143444129</v>
      </c>
      <c r="AV111" s="23">
        <f>EXP(-LN(2)/25)*AV110+(1-EXP(-LN(2)/25))/(LN(2)/25)*Calculateur!AQ111*Calculateur!AS111*VLOOKUP('Données projet'!$B$10,Paramètres!$A$1:$I$89,3,0)*0.475*44/12</f>
        <v>0.38445274240059119</v>
      </c>
      <c r="AW111" s="23">
        <f>EXP(-LN(2)/2)*AW110+(1-EXP(-LN(2)/2))/(LN(2)/2)*AQ111*AT111*VLOOKUP('Données projet'!$B$10,Paramètres!$A$1:$I$89,3,0)*0.475*44/12</f>
        <v>2.7768552990544194E-11</v>
      </c>
      <c r="AX111" s="23">
        <f t="shared" si="60"/>
        <v>2.5874563567727726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-1.0197709343628959E-13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147.86588596077661</v>
      </c>
      <c r="AO112" s="62">
        <f t="shared" si="90"/>
        <v>228.19398518024298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2.1598040571666446</v>
      </c>
      <c r="AV112" s="23">
        <f>EXP(-LN(2)/25)*AV111+(1-EXP(-LN(2)/25))/(LN(2)/25)*Calculateur!AQ112*Calculateur!AS112*VLOOKUP('Données projet'!$B$10,Paramètres!$A$1:$I$89,3,0)*0.475*44/12</f>
        <v>0.37393986194215595</v>
      </c>
      <c r="AW112" s="23">
        <f>EXP(-LN(2)/2)*AW111+(1-EXP(-LN(2)/2))/(LN(2)/2)*AQ112*AT112*VLOOKUP('Données projet'!$B$10,Paramètres!$A$1:$I$89,3,0)*0.475*44/12</f>
        <v>1.9635332123351783E-11</v>
      </c>
      <c r="AX112" s="23">
        <f t="shared" si="60"/>
        <v>2.5337439191284359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-1.0197709343628959E-13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147.86588596077661</v>
      </c>
      <c r="AO113" s="62">
        <f t="shared" si="90"/>
        <v>228.19398518024298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2.117451616956004</v>
      </c>
      <c r="AV113" s="23">
        <f>EXP(-LN(2)/25)*AV112+(1-EXP(-LN(2)/25))/(LN(2)/25)*Calculateur!AQ113*Calculateur!AS113*VLOOKUP('Données projet'!$B$10,Paramètres!$A$1:$I$89,3,0)*0.475*44/12</f>
        <v>0.36371445675270503</v>
      </c>
      <c r="AW113" s="23">
        <f>EXP(-LN(2)/2)*AW112+(1-EXP(-LN(2)/2))/(LN(2)/2)*AQ113*AT113*VLOOKUP('Données projet'!$B$10,Paramètres!$A$1:$I$89,3,0)*0.475*44/12</f>
        <v>1.3884276495272097E-11</v>
      </c>
      <c r="AX113" s="23">
        <f t="shared" si="60"/>
        <v>2.4811660737225933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-1.0197709343628959E-13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147.86588596077661</v>
      </c>
      <c r="AO114" s="62">
        <f t="shared" si="90"/>
        <v>228.19398518024298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2.0759296822654565</v>
      </c>
      <c r="AV114" s="23">
        <f>EXP(-LN(2)/25)*AV113+(1-EXP(-LN(2)/25))/(LN(2)/25)*Calculateur!AQ114*Calculateur!AS114*VLOOKUP('Données projet'!$B$10,Paramètres!$A$1:$I$89,3,0)*0.475*44/12</f>
        <v>0.35376866580589034</v>
      </c>
      <c r="AW114" s="23">
        <f>EXP(-LN(2)/2)*AW113+(1-EXP(-LN(2)/2))/(LN(2)/2)*AQ114*AT114*VLOOKUP('Données projet'!$B$10,Paramètres!$A$1:$I$89,3,0)*0.475*44/12</f>
        <v>9.8176660616758917E-12</v>
      </c>
      <c r="AX114" s="23">
        <f t="shared" si="60"/>
        <v>2.4296983480811645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-1.0197709343628959E-13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147.86588596077661</v>
      </c>
      <c r="AO115" s="62">
        <f t="shared" si="90"/>
        <v>228.19398518024298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2.0352219673883112</v>
      </c>
      <c r="AV115" s="23">
        <f>EXP(-LN(2)/25)*AV114+(1-EXP(-LN(2)/25))/(LN(2)/25)*Calculateur!AQ115*Calculateur!AS115*VLOOKUP('Données projet'!$B$10,Paramètres!$A$1:$I$89,3,0)*0.475*44/12</f>
        <v>0.34409484303554266</v>
      </c>
      <c r="AW115" s="23">
        <f>EXP(-LN(2)/2)*AW114+(1-EXP(-LN(2)/2))/(LN(2)/2)*AQ115*AT115*VLOOKUP('Données projet'!$B$10,Paramètres!$A$1:$I$89,3,0)*0.475*44/12</f>
        <v>6.9421382476360486E-12</v>
      </c>
      <c r="AX115" s="23">
        <f t="shared" si="60"/>
        <v>2.379316810430796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-1.0197709343628959E-13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147.86588596077661</v>
      </c>
      <c r="AO116" s="62">
        <f t="shared" si="90"/>
        <v>228.19398518024298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1.995312505970652</v>
      </c>
      <c r="AV116" s="23">
        <f>EXP(-LN(2)/25)*AV115+(1-EXP(-LN(2)/25))/(LN(2)/25)*Calculateur!AQ116*Calculateur!AS116*VLOOKUP('Données projet'!$B$10,Paramètres!$A$1:$I$89,3,0)*0.475*44/12</f>
        <v>0.33468555145757439</v>
      </c>
      <c r="AW116" s="23">
        <f>EXP(-LN(2)/2)*AW115+(1-EXP(-LN(2)/2))/(LN(2)/2)*AQ116*AT116*VLOOKUP('Données projet'!$B$10,Paramètres!$A$1:$I$89,3,0)*0.475*44/12</f>
        <v>4.9088330308379458E-12</v>
      </c>
      <c r="AX116" s="23">
        <f t="shared" si="60"/>
        <v>2.3299980574331354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-1.0197709343628959E-13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147.86588596077661</v>
      </c>
      <c r="AO117" s="62">
        <f t="shared" si="90"/>
        <v>228.19398518024298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1.9561856447490253</v>
      </c>
      <c r="AV117" s="23">
        <f>EXP(-LN(2)/25)*AV116+(1-EXP(-LN(2)/25))/(LN(2)/25)*Calculateur!AQ117*Calculateur!AS117*VLOOKUP('Données projet'!$B$10,Paramètres!$A$1:$I$89,3,0)*0.475*44/12</f>
        <v>0.3255335574526188</v>
      </c>
      <c r="AW117" s="23">
        <f>EXP(-LN(2)/2)*AW116+(1-EXP(-LN(2)/2))/(LN(2)/2)*AQ117*AT117*VLOOKUP('Données projet'!$B$10,Paramètres!$A$1:$I$89,3,0)*0.475*44/12</f>
        <v>3.4710691238180243E-12</v>
      </c>
      <c r="AX117" s="23">
        <f t="shared" si="60"/>
        <v>2.2817192022051151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-1.0197709343628959E-13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147.86588596077661</v>
      </c>
      <c r="AO118" s="62">
        <f t="shared" si="90"/>
        <v>228.19398518024298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1.9178260374109259</v>
      </c>
      <c r="AV118" s="23">
        <f>EXP(-LN(2)/25)*AV117+(1-EXP(-LN(2)/25))/(LN(2)/25)*Calculateur!AQ118*Calculateur!AS118*VLOOKUP('Données projet'!$B$10,Paramètres!$A$1:$I$89,3,0)*0.475*44/12</f>
        <v>0.31663182520501115</v>
      </c>
      <c r="AW118" s="23">
        <f>EXP(-LN(2)/2)*AW117+(1-EXP(-LN(2)/2))/(LN(2)/2)*AQ118*AT118*VLOOKUP('Données projet'!$B$10,Paramètres!$A$1:$I$89,3,0)*0.475*44/12</f>
        <v>2.4544165154189729E-12</v>
      </c>
      <c r="AX118" s="23">
        <f t="shared" si="60"/>
        <v>2.2344578626183917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-1.0197709343628959E-13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147.86588596077661</v>
      </c>
      <c r="AO119" s="62">
        <f t="shared" si="90"/>
        <v>228.19398518024298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1.8802186385756765</v>
      </c>
      <c r="AV119" s="23">
        <f>EXP(-LN(2)/25)*AV118+(1-EXP(-LN(2)/25))/(LN(2)/25)*Calculateur!AQ119*Calculateur!AS119*VLOOKUP('Données projet'!$B$10,Paramètres!$A$1:$I$89,3,0)*0.475*44/12</f>
        <v>0.3079735112938361</v>
      </c>
      <c r="AW119" s="23">
        <f>EXP(-LN(2)/2)*AW118+(1-EXP(-LN(2)/2))/(LN(2)/2)*AQ119*AT119*VLOOKUP('Données projet'!$B$10,Paramètres!$A$1:$I$89,3,0)*0.475*44/12</f>
        <v>1.7355345619090122E-12</v>
      </c>
      <c r="AX119" s="23">
        <f t="shared" si="60"/>
        <v>2.1881921498712482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-1.0197709343628959E-13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147.86588596077661</v>
      </c>
      <c r="AO120" s="62">
        <f t="shared" si="90"/>
        <v>228.19398518024298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1.843348697893338</v>
      </c>
      <c r="AV120" s="23">
        <f>EXP(-LN(2)/25)*AV119+(1-EXP(-LN(2)/25))/(LN(2)/25)*Calculateur!AQ120*Calculateur!AS120*VLOOKUP('Données projet'!$B$10,Paramètres!$A$1:$I$89,3,0)*0.475*44/12</f>
        <v>0.29955195943188306</v>
      </c>
      <c r="AW120" s="23">
        <f>EXP(-LN(2)/2)*AW119+(1-EXP(-LN(2)/2))/(LN(2)/2)*AQ120*AT120*VLOOKUP('Données projet'!$B$10,Paramètres!$A$1:$I$89,3,0)*0.475*44/12</f>
        <v>1.2272082577094865E-12</v>
      </c>
      <c r="AX120" s="23">
        <f t="shared" si="60"/>
        <v>2.142900657326448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-1.0197709343628959E-13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147.86588596077661</v>
      </c>
      <c r="AO121" s="62">
        <f t="shared" si="90"/>
        <v>228.19398518024298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1.8072017542593368</v>
      </c>
      <c r="AV121" s="23">
        <f>EXP(-LN(2)/25)*AV120+(1-EXP(-LN(2)/25))/(LN(2)/25)*Calculateur!AQ121*Calculateur!AS121*VLOOKUP('Données projet'!$B$10,Paramètres!$A$1:$I$89,3,0)*0.475*44/12</f>
        <v>0.29136069534846532</v>
      </c>
      <c r="AW121" s="23">
        <f>EXP(-LN(2)/2)*AW120+(1-EXP(-LN(2)/2))/(LN(2)/2)*AQ121*AT121*VLOOKUP('Données projet'!$B$10,Paramètres!$A$1:$I$89,3,0)*0.475*44/12</f>
        <v>8.6776728095450608E-13</v>
      </c>
      <c r="AX121" s="23">
        <f t="shared" si="60"/>
        <v>2.0985624496086697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-1.0197709343628959E-13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147.86588596077661</v>
      </c>
      <c r="AO122" s="62">
        <f t="shared" si="90"/>
        <v>228.19398518024298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1.7717636301425399</v>
      </c>
      <c r="AV122" s="23">
        <f>EXP(-LN(2)/25)*AV121+(1-EXP(-LN(2)/25))/(LN(2)/25)*Calculateur!AQ122*Calculateur!AS122*VLOOKUP('Données projet'!$B$10,Paramètres!$A$1:$I$89,3,0)*0.475*44/12</f>
        <v>0.28339342181216848</v>
      </c>
      <c r="AW122" s="23">
        <f>EXP(-LN(2)/2)*AW121+(1-EXP(-LN(2)/2))/(LN(2)/2)*AQ122*AT122*VLOOKUP('Données projet'!$B$10,Paramètres!$A$1:$I$89,3,0)*0.475*44/12</f>
        <v>6.1360412885474323E-13</v>
      </c>
      <c r="AX122" s="23">
        <f t="shared" si="60"/>
        <v>2.0551570519553222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-1.0197709343628959E-13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147.86588596077661</v>
      </c>
      <c r="AO123" s="62">
        <f t="shared" si="90"/>
        <v>228.19398518024298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1.7370204260245519</v>
      </c>
      <c r="AV123" s="23">
        <f>EXP(-LN(2)/25)*AV122+(1-EXP(-LN(2)/25))/(LN(2)/25)*Calculateur!AQ123*Calculateur!AS123*VLOOKUP('Données projet'!$B$10,Paramètres!$A$1:$I$89,3,0)*0.475*44/12</f>
        <v>0.27564401378970238</v>
      </c>
      <c r="AW123" s="23">
        <f>EXP(-LN(2)/2)*AW122+(1-EXP(-LN(2)/2))/(LN(2)/2)*AQ123*AT123*VLOOKUP('Données projet'!$B$10,Paramètres!$A$1:$I$89,3,0)*0.475*44/12</f>
        <v>4.3388364047725304E-13</v>
      </c>
      <c r="AX123" s="23">
        <f t="shared" si="60"/>
        <v>2.0126644398146882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-1.0197709343628959E-13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147.86588596077661</v>
      </c>
      <c r="AO124" s="62">
        <f t="shared" si="90"/>
        <v>228.19398518024298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1.7029585149480555</v>
      </c>
      <c r="AV124" s="23">
        <f>EXP(-LN(2)/25)*AV123+(1-EXP(-LN(2)/25))/(LN(2)/25)*Calculateur!AQ124*Calculateur!AS124*VLOOKUP('Données projet'!$B$10,Paramètres!$A$1:$I$89,3,0)*0.475*44/12</f>
        <v>0.26810651373713429</v>
      </c>
      <c r="AW124" s="23">
        <f>EXP(-LN(2)/2)*AW123+(1-EXP(-LN(2)/2))/(LN(2)/2)*AQ124*AT124*VLOOKUP('Données projet'!$B$10,Paramètres!$A$1:$I$89,3,0)*0.475*44/12</f>
        <v>3.0680206442737162E-13</v>
      </c>
      <c r="AX124" s="23">
        <f t="shared" si="60"/>
        <v>1.9710650286854967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-1.0197709343628959E-13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147.86588596077661</v>
      </c>
      <c r="AO125" s="62">
        <f t="shared" si="90"/>
        <v>228.19398518024298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1.6695645371720549</v>
      </c>
      <c r="AV125" s="23">
        <f>EXP(-LN(2)/25)*AV124+(1-EXP(-LN(2)/25))/(LN(2)/25)*Calculateur!AQ125*Calculateur!AS125*VLOOKUP('Données projet'!$B$10,Paramètres!$A$1:$I$89,3,0)*0.475*44/12</f>
        <v>0.26077512701988353</v>
      </c>
      <c r="AW125" s="23">
        <f>EXP(-LN(2)/2)*AW124+(1-EXP(-LN(2)/2))/(LN(2)/2)*AQ125*AT125*VLOOKUP('Données projet'!$B$10,Paramètres!$A$1:$I$89,3,0)*0.475*44/12</f>
        <v>2.1694182023862652E-13</v>
      </c>
      <c r="AX125" s="23">
        <f t="shared" si="60"/>
        <v>1.9303396641921553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-1.0197709343628959E-13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147.86588596077661</v>
      </c>
      <c r="AO126" s="62">
        <f t="shared" si="90"/>
        <v>228.19398518024298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1.6368253949319265</v>
      </c>
      <c r="AV126" s="23">
        <f>EXP(-LN(2)/25)*AV125+(1-EXP(-LN(2)/25))/(LN(2)/25)*Calculateur!AQ126*Calculateur!AS126*VLOOKUP('Données projet'!$B$10,Paramètres!$A$1:$I$89,3,0)*0.475*44/12</f>
        <v>0.2536442174579569</v>
      </c>
      <c r="AW126" s="23">
        <f>EXP(-LN(2)/2)*AW125+(1-EXP(-LN(2)/2))/(LN(2)/2)*AQ126*AT126*VLOOKUP('Données projet'!$B$10,Paramètres!$A$1:$I$89,3,0)*0.475*44/12</f>
        <v>1.5340103221368581E-13</v>
      </c>
      <c r="AX126" s="23">
        <f t="shared" si="60"/>
        <v>1.8904696123900369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-1.0197709343628959E-13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147.86588596077661</v>
      </c>
      <c r="AO127" s="62">
        <f t="shared" si="90"/>
        <v>228.19398518024298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1.604728247302222</v>
      </c>
      <c r="AV127" s="23">
        <f>EXP(-LN(2)/25)*AV126+(1-EXP(-LN(2)/25))/(LN(2)/25)*Calculateur!AQ127*Calculateur!AS127*VLOOKUP('Données projet'!$B$10,Paramètres!$A$1:$I$89,3,0)*0.475*44/12</f>
        <v>0.2467083029929994</v>
      </c>
      <c r="AW127" s="23">
        <f>EXP(-LN(2)/2)*AW126+(1-EXP(-LN(2)/2))/(LN(2)/2)*AQ127*AT127*VLOOKUP('Données projet'!$B$10,Paramètres!$A$1:$I$89,3,0)*0.475*44/12</f>
        <v>1.0847091011931326E-13</v>
      </c>
      <c r="AX127" s="23">
        <f t="shared" si="60"/>
        <v>1.8514365502953301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-1.0197709343628959E-13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147.86588596077661</v>
      </c>
      <c r="AO128" s="62">
        <f t="shared" si="90"/>
        <v>228.19398518024298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1.5732605051602091</v>
      </c>
      <c r="AV128" s="23">
        <f>EXP(-LN(2)/25)*AV127+(1-EXP(-LN(2)/25))/(LN(2)/25)*Calculateur!AQ128*Calculateur!AS128*VLOOKUP('Données projet'!$B$10,Paramètres!$A$1:$I$89,3,0)*0.475*44/12</f>
        <v>0.23996205147383004</v>
      </c>
      <c r="AW128" s="23">
        <f>EXP(-LN(2)/2)*AW127+(1-EXP(-LN(2)/2))/(LN(2)/2)*AQ128*AT128*VLOOKUP('Données projet'!$B$10,Paramètres!$A$1:$I$89,3,0)*0.475*44/12</f>
        <v>7.6700516106842904E-14</v>
      </c>
      <c r="AX128" s="23">
        <f t="shared" si="60"/>
        <v>1.8132225566341158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-1.0197709343628959E-13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147.86588596077661</v>
      </c>
      <c r="AO129" s="62">
        <f t="shared" si="90"/>
        <v>228.19398518024298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1.5424098262481736</v>
      </c>
      <c r="AV129" s="23">
        <f>EXP(-LN(2)/25)*AV128+(1-EXP(-LN(2)/25))/(LN(2)/25)*Calculateur!AQ129*Calculateur!AS129*VLOOKUP('Données projet'!$B$10,Paramètres!$A$1:$I$89,3,0)*0.475*44/12</f>
        <v>0.23340027655722231</v>
      </c>
      <c r="AW129" s="23">
        <f>EXP(-LN(2)/2)*AW128+(1-EXP(-LN(2)/2))/(LN(2)/2)*AQ129*AT129*VLOOKUP('Données projet'!$B$10,Paramètres!$A$1:$I$89,3,0)*0.475*44/12</f>
        <v>5.423545505965663E-14</v>
      </c>
      <c r="AX129" s="23">
        <f t="shared" si="60"/>
        <v>1.77581010280545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-1.0197709343628959E-13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147.86588596077661</v>
      </c>
      <c r="AO130" s="62">
        <f t="shared" si="90"/>
        <v>228.19398518024298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1.5121641103325469</v>
      </c>
      <c r="AV130" s="23">
        <f>EXP(-LN(2)/25)*AV129+(1-EXP(-LN(2)/25))/(LN(2)/25)*Calculateur!AQ130*Calculateur!AS130*VLOOKUP('Données projet'!$B$10,Paramètres!$A$1:$I$89,3,0)*0.475*44/12</f>
        <v>0.22701793372077797</v>
      </c>
      <c r="AW130" s="23">
        <f>EXP(-LN(2)/2)*AW129+(1-EXP(-LN(2)/2))/(LN(2)/2)*AQ130*AT130*VLOOKUP('Données projet'!$B$10,Paramètres!$A$1:$I$89,3,0)*0.475*44/12</f>
        <v>3.8350258053421452E-14</v>
      </c>
      <c r="AX130" s="23">
        <f t="shared" si="60"/>
        <v>1.7391820440533634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-1.0197709343628959E-13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147.86588596077661</v>
      </c>
      <c r="AO131" s="62">
        <f t="shared" si="90"/>
        <v>228.19398518024298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1.4825114944579605</v>
      </c>
      <c r="AV131" s="23">
        <f>EXP(-LN(2)/25)*AV130+(1-EXP(-LN(2)/25))/(LN(2)/25)*Calculateur!AQ131*Calculateur!AS131*VLOOKUP('Données projet'!$B$10,Paramètres!$A$1:$I$89,3,0)*0.475*44/12</f>
        <v>0.22081011638482903</v>
      </c>
      <c r="AW131" s="23">
        <f>EXP(-LN(2)/2)*AW130+(1-EXP(-LN(2)/2))/(LN(2)/2)*AQ131*AT131*VLOOKUP('Données projet'!$B$10,Paramètres!$A$1:$I$89,3,0)*0.475*44/12</f>
        <v>2.7117727529828315E-14</v>
      </c>
      <c r="AX131" s="23">
        <f t="shared" si="60"/>
        <v>1.7033216108428166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-1.0197709343628959E-13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147.86588596077661</v>
      </c>
      <c r="AO132" s="62">
        <f t="shared" si="90"/>
        <v>228.19398518024298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1.453440348294365</v>
      </c>
      <c r="AV132" s="23">
        <f>EXP(-LN(2)/25)*AV131+(1-EXP(-LN(2)/25))/(LN(2)/25)*Calculateur!AQ132*Calculateur!AS132*VLOOKUP('Données projet'!$B$10,Paramètres!$A$1:$I$89,3,0)*0.475*44/12</f>
        <v>0.21477205214038653</v>
      </c>
      <c r="AW132" s="23">
        <f>EXP(-LN(2)/2)*AW131+(1-EXP(-LN(2)/2))/(LN(2)/2)*AQ132*AT132*VLOOKUP('Données projet'!$B$10,Paramètres!$A$1:$I$89,3,0)*0.475*44/12</f>
        <v>1.9175129026710726E-14</v>
      </c>
      <c r="AX132" s="23">
        <f t="shared" ref="AX132:AX153" si="114">SUM(AU132:AW132)</f>
        <v>1.6682124004347707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-1.0197709343628959E-13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147.86588596077661</v>
      </c>
      <c r="AO133" s="62">
        <f t="shared" ref="AO133:AO196" si="144">$AO$3</f>
        <v>228.19398518024298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1.4249392695753893</v>
      </c>
      <c r="AV133" s="23">
        <f>EXP(-LN(2)/25)*AV132+(1-EXP(-LN(2)/25))/(LN(2)/25)*Calculateur!AQ133*Calculateur!AS133*VLOOKUP('Données projet'!$B$10,Paramètres!$A$1:$I$89,3,0)*0.475*44/12</f>
        <v>0.20889909908023629</v>
      </c>
      <c r="AW133" s="23">
        <f>EXP(-LN(2)/2)*AW132+(1-EXP(-LN(2)/2))/(LN(2)/2)*AQ133*AT133*VLOOKUP('Données projet'!$B$10,Paramètres!$A$1:$I$89,3,0)*0.475*44/12</f>
        <v>1.3558863764914157E-14</v>
      </c>
      <c r="AX133" s="23">
        <f t="shared" si="114"/>
        <v>1.633838368655639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-1.0197709343628959E-13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147.86588596077661</v>
      </c>
      <c r="AO134" s="62">
        <f t="shared" si="144"/>
        <v>228.19398518024298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1.3969970796261513</v>
      </c>
      <c r="AV134" s="23">
        <f>EXP(-LN(2)/25)*AV133+(1-EXP(-LN(2)/25))/(LN(2)/25)*Calculateur!AQ134*Calculateur!AS134*VLOOKUP('Données projet'!$B$10,Paramètres!$A$1:$I$89,3,0)*0.475*44/12</f>
        <v>0.20318674223036107</v>
      </c>
      <c r="AW134" s="23">
        <f>EXP(-LN(2)/2)*AW133+(1-EXP(-LN(2)/2))/(LN(2)/2)*AQ134*AT134*VLOOKUP('Données projet'!$B$10,Paramètres!$A$1:$I$89,3,0)*0.475*44/12</f>
        <v>9.587564513355363E-15</v>
      </c>
      <c r="AX134" s="23">
        <f t="shared" si="114"/>
        <v>1.6001838218565219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-1.0197709343628959E-13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147.86588596077661</v>
      </c>
      <c r="AO135" s="62">
        <f t="shared" si="144"/>
        <v>228.19398518024298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1.3696028189787648</v>
      </c>
      <c r="AV135" s="23">
        <f>EXP(-LN(2)/25)*AV134+(1-EXP(-LN(2)/25))/(LN(2)/25)*Calculateur!AQ135*Calculateur!AS135*VLOOKUP('Données projet'!$B$10,Paramètres!$A$1:$I$89,3,0)*0.475*44/12</f>
        <v>0.19763059007894546</v>
      </c>
      <c r="AW135" s="23">
        <f>EXP(-LN(2)/2)*AW134+(1-EXP(-LN(2)/2))/(LN(2)/2)*AQ135*AT135*VLOOKUP('Données projet'!$B$10,Paramètres!$A$1:$I$89,3,0)*0.475*44/12</f>
        <v>6.7794318824570787E-15</v>
      </c>
      <c r="AX135" s="23">
        <f t="shared" si="114"/>
        <v>1.5672334090577171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-1.0197709343628959E-13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147.86588596077661</v>
      </c>
      <c r="AO136" s="62">
        <f t="shared" si="144"/>
        <v>228.19398518024298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1.3427457430738243</v>
      </c>
      <c r="AV136" s="23">
        <f>EXP(-LN(2)/25)*AV135+(1-EXP(-LN(2)/25))/(LN(2)/25)*Calculateur!AQ136*Calculateur!AS136*VLOOKUP('Données projet'!$B$10,Paramètres!$A$1:$I$89,3,0)*0.475*44/12</f>
        <v>0.19222637120029565</v>
      </c>
      <c r="AW136" s="23">
        <f>EXP(-LN(2)/2)*AW135+(1-EXP(-LN(2)/2))/(LN(2)/2)*AQ136*AT136*VLOOKUP('Données projet'!$B$10,Paramètres!$A$1:$I$89,3,0)*0.475*44/12</f>
        <v>4.7937822566776815E-15</v>
      </c>
      <c r="AX136" s="23">
        <f t="shared" si="114"/>
        <v>1.5349721142741248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-1.0197709343628959E-13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147.86588596077661</v>
      </c>
      <c r="AO137" s="62">
        <f t="shared" si="144"/>
        <v>228.19398518024298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1.3164153180461811</v>
      </c>
      <c r="AV137" s="23">
        <f>EXP(-LN(2)/25)*AV136+(1-EXP(-LN(2)/25))/(LN(2)/25)*Calculateur!AQ137*Calculateur!AS137*VLOOKUP('Données projet'!$B$10,Paramètres!$A$1:$I$89,3,0)*0.475*44/12</f>
        <v>0.18696993097107803</v>
      </c>
      <c r="AW137" s="23">
        <f>EXP(-LN(2)/2)*AW136+(1-EXP(-LN(2)/2))/(LN(2)/2)*AQ137*AT137*VLOOKUP('Données projet'!$B$10,Paramètres!$A$1:$I$89,3,0)*0.475*44/12</f>
        <v>3.3897159412285394E-15</v>
      </c>
      <c r="AX137" s="23">
        <f t="shared" si="114"/>
        <v>1.5033852490172623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-1.0197709343628959E-13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147.86588596077661</v>
      </c>
      <c r="AO138" s="62">
        <f t="shared" si="144"/>
        <v>228.19398518024298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1.2906012165933562</v>
      </c>
      <c r="AV138" s="23">
        <f>EXP(-LN(2)/25)*AV137+(1-EXP(-LN(2)/25))/(LN(2)/25)*Calculateur!AQ138*Calculateur!AS138*VLOOKUP('Données projet'!$B$10,Paramètres!$A$1:$I$89,3,0)*0.475*44/12</f>
        <v>0.18185722837635257</v>
      </c>
      <c r="AW138" s="23">
        <f>EXP(-LN(2)/2)*AW137+(1-EXP(-LN(2)/2))/(LN(2)/2)*AQ138*AT138*VLOOKUP('Données projet'!$B$10,Paramètres!$A$1:$I$89,3,0)*0.475*44/12</f>
        <v>2.3968911283388407E-15</v>
      </c>
      <c r="AX138" s="23">
        <f t="shared" si="114"/>
        <v>1.4724584449697113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-1.0197709343628959E-13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147.86588596077661</v>
      </c>
      <c r="AO139" s="62">
        <f t="shared" si="144"/>
        <v>228.19398518024298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1.2652933139249742</v>
      </c>
      <c r="AV139" s="23">
        <f>EXP(-LN(2)/25)*AV138+(1-EXP(-LN(2)/25))/(LN(2)/25)*Calculateur!AQ139*Calculateur!AS139*VLOOKUP('Données projet'!$B$10,Paramètres!$A$1:$I$89,3,0)*0.475*44/12</f>
        <v>0.1768843329029452</v>
      </c>
      <c r="AW139" s="23">
        <f>EXP(-LN(2)/2)*AW138+(1-EXP(-LN(2)/2))/(LN(2)/2)*AQ139*AT139*VLOOKUP('Données projet'!$B$10,Paramètres!$A$1:$I$89,3,0)*0.475*44/12</f>
        <v>1.6948579706142697E-15</v>
      </c>
      <c r="AX139" s="23">
        <f t="shared" si="114"/>
        <v>1.4421776468279213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-1.0197709343628959E-13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147.86588596077661</v>
      </c>
      <c r="AO140" s="62">
        <f t="shared" si="144"/>
        <v>228.19398518024298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1.2404816837916228</v>
      </c>
      <c r="AV140" s="23">
        <f>EXP(-LN(2)/25)*AV139+(1-EXP(-LN(2)/25))/(LN(2)/25)*Calculateur!AQ140*Calculateur!AS140*VLOOKUP('Données projet'!$B$10,Paramètres!$A$1:$I$89,3,0)*0.475*44/12</f>
        <v>0.17204742151777136</v>
      </c>
      <c r="AW140" s="23">
        <f>EXP(-LN(2)/2)*AW139+(1-EXP(-LN(2)/2))/(LN(2)/2)*AQ140*AT140*VLOOKUP('Données projet'!$B$10,Paramètres!$A$1:$I$89,3,0)*0.475*44/12</f>
        <v>1.1984455641694204E-15</v>
      </c>
      <c r="AX140" s="23">
        <f t="shared" si="114"/>
        <v>1.4125291053093953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-1.0197709343628959E-13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147.86588596077661</v>
      </c>
      <c r="AO141" s="62">
        <f t="shared" si="144"/>
        <v>228.19398518024298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1.2161565945915862</v>
      </c>
      <c r="AV141" s="23">
        <f>EXP(-LN(2)/25)*AV140+(1-EXP(-LN(2)/25))/(LN(2)/25)*Calculateur!AQ141*Calculateur!AS141*VLOOKUP('Données projet'!$B$10,Paramètres!$A$1:$I$89,3,0)*0.475*44/12</f>
        <v>0.16734277572878722</v>
      </c>
      <c r="AW141" s="23">
        <f>EXP(-LN(2)/2)*AW140+(1-EXP(-LN(2)/2))/(LN(2)/2)*AQ141*AT141*VLOOKUP('Données projet'!$B$10,Paramètres!$A$1:$I$89,3,0)*0.475*44/12</f>
        <v>8.4742898530713484E-16</v>
      </c>
      <c r="AX141" s="23">
        <f t="shared" si="114"/>
        <v>1.3834993703203744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-1.0197709343628959E-13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147.86588596077661</v>
      </c>
      <c r="AO142" s="62">
        <f t="shared" si="144"/>
        <v>228.19398518024298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1.1923085055539231</v>
      </c>
      <c r="AV142" s="23">
        <f>EXP(-LN(2)/25)*AV141+(1-EXP(-LN(2)/25))/(LN(2)/25)*Calculateur!AQ142*Calculateur!AS142*VLOOKUP('Données projet'!$B$10,Paramètres!$A$1:$I$89,3,0)*0.475*44/12</f>
        <v>0.16276677872630943</v>
      </c>
      <c r="AW142" s="23">
        <f>EXP(-LN(2)/2)*AW141+(1-EXP(-LN(2)/2))/(LN(2)/2)*AQ142*AT142*VLOOKUP('Données projet'!$B$10,Paramètres!$A$1:$I$89,3,0)*0.475*44/12</f>
        <v>5.9922278208471019E-16</v>
      </c>
      <c r="AX142" s="23">
        <f t="shared" si="114"/>
        <v>1.3550752842802332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-1.0197709343628959E-13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147.86588596077661</v>
      </c>
      <c r="AO143" s="62">
        <f t="shared" si="144"/>
        <v>228.19398518024298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1.1689280629963905</v>
      </c>
      <c r="AV143" s="23">
        <f>EXP(-LN(2)/25)*AV142+(1-EXP(-LN(2)/25))/(LN(2)/25)*Calculateur!AQ143*Calculateur!AS143*VLOOKUP('Données projet'!$B$10,Paramètres!$A$1:$I$89,3,0)*0.475*44/12</f>
        <v>0.1583159126025056</v>
      </c>
      <c r="AW143" s="23">
        <f>EXP(-LN(2)/2)*AW142+(1-EXP(-LN(2)/2))/(LN(2)/2)*AQ143*AT143*VLOOKUP('Données projet'!$B$10,Paramètres!$A$1:$I$89,3,0)*0.475*44/12</f>
        <v>4.2371449265356742E-16</v>
      </c>
      <c r="AX143" s="23">
        <f t="shared" si="114"/>
        <v>1.3272439755988965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-1.0197709343628959E-13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147.86588596077661</v>
      </c>
      <c r="AO144" s="62">
        <f t="shared" si="144"/>
        <v>228.19398518024298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1.1460060966567491</v>
      </c>
      <c r="AV144" s="23">
        <f>EXP(-LN(2)/25)*AV143+(1-EXP(-LN(2)/25))/(LN(2)/25)*Calculateur!AQ144*Calculateur!AS144*VLOOKUP('Données projet'!$B$10,Paramètres!$A$1:$I$89,3,0)*0.475*44/12</f>
        <v>0.15398675564691808</v>
      </c>
      <c r="AW144" s="23">
        <f>EXP(-LN(2)/2)*AW143+(1-EXP(-LN(2)/2))/(LN(2)/2)*AQ144*AT144*VLOOKUP('Données projet'!$B$10,Paramètres!$A$1:$I$89,3,0)*0.475*44/12</f>
        <v>2.9961139104235509E-16</v>
      </c>
      <c r="AX144" s="23">
        <f t="shared" si="114"/>
        <v>1.2999928523036675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-1.0197709343628959E-13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147.86588596077661</v>
      </c>
      <c r="AO145" s="62">
        <f t="shared" si="144"/>
        <v>228.19398518024298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1.1235336160960092</v>
      </c>
      <c r="AV145" s="23">
        <f>EXP(-LN(2)/25)*AV144+(1-EXP(-LN(2)/25))/(LN(2)/25)*Calculateur!AQ145*Calculateur!AS145*VLOOKUP('Données projet'!$B$10,Paramètres!$A$1:$I$89,3,0)*0.475*44/12</f>
        <v>0.14977597971594156</v>
      </c>
      <c r="AW145" s="23">
        <f>EXP(-LN(2)/2)*AW144+(1-EXP(-LN(2)/2))/(LN(2)/2)*AQ145*AT145*VLOOKUP('Données projet'!$B$10,Paramètres!$A$1:$I$89,3,0)*0.475*44/12</f>
        <v>2.1185724632678371E-16</v>
      </c>
      <c r="AX145" s="23">
        <f t="shared" si="114"/>
        <v>1.2733095958119509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-1.0197709343628959E-13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147.86588596077661</v>
      </c>
      <c r="AO146" s="62">
        <f t="shared" si="144"/>
        <v>228.19398518024298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1.1015018071722058</v>
      </c>
      <c r="AV146" s="23">
        <f>EXP(-LN(2)/25)*AV145+(1-EXP(-LN(2)/25))/(LN(2)/25)*Calculateur!AQ146*Calculateur!AS146*VLOOKUP('Données projet'!$B$10,Paramètres!$A$1:$I$89,3,0)*0.475*44/12</f>
        <v>0.14568034767423269</v>
      </c>
      <c r="AW146" s="23">
        <f>EXP(-LN(2)/2)*AW145+(1-EXP(-LN(2)/2))/(LN(2)/2)*AQ146*AT146*VLOOKUP('Données projet'!$B$10,Paramètres!$A$1:$I$89,3,0)*0.475*44/12</f>
        <v>1.4980569552117755E-16</v>
      </c>
      <c r="AX146" s="23">
        <f t="shared" si="114"/>
        <v>1.2471821548464388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-1.0197709343628959E-13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147.86588596077661</v>
      </c>
      <c r="AO147" s="62">
        <f t="shared" si="144"/>
        <v>228.19398518024298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1.0799020285833216</v>
      </c>
      <c r="AV147" s="23">
        <f>EXP(-LN(2)/25)*AV146+(1-EXP(-LN(2)/25))/(LN(2)/25)*Calculateur!AQ147*Calculateur!AS147*VLOOKUP('Données projet'!$B$10,Paramètres!$A$1:$I$89,3,0)*0.475*44/12</f>
        <v>0.14169671090608427</v>
      </c>
      <c r="AW147" s="23">
        <f>EXP(-LN(2)/2)*AW146+(1-EXP(-LN(2)/2))/(LN(2)/2)*AQ147*AT147*VLOOKUP('Données projet'!$B$10,Paramètres!$A$1:$I$89,3,0)*0.475*44/12</f>
        <v>1.0592862316339186E-16</v>
      </c>
      <c r="AX147" s="23">
        <f t="shared" si="114"/>
        <v>1.2215987394894059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-1.0197709343628959E-13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147.86588596077661</v>
      </c>
      <c r="AO148" s="62">
        <f t="shared" si="144"/>
        <v>228.19398518024298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1.0587258084780014</v>
      </c>
      <c r="AV148" s="23">
        <f>EXP(-LN(2)/25)*AV147+(1-EXP(-LN(2)/25))/(LN(2)/25)*Calculateur!AQ148*Calculateur!AS148*VLOOKUP('Données projet'!$B$10,Paramètres!$A$1:$I$89,3,0)*0.475*44/12</f>
        <v>0.13782200689485122</v>
      </c>
      <c r="AW148" s="23">
        <f>EXP(-LN(2)/2)*AW147+(1-EXP(-LN(2)/2))/(LN(2)/2)*AQ148*AT148*VLOOKUP('Données projet'!$B$10,Paramètres!$A$1:$I$89,3,0)*0.475*44/12</f>
        <v>7.4902847760588773E-17</v>
      </c>
      <c r="AX148" s="23">
        <f t="shared" si="114"/>
        <v>1.1965478153728526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-1.0197709343628959E-13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147.86588596077661</v>
      </c>
      <c r="AO149" s="62">
        <f t="shared" si="144"/>
        <v>228.19398518024298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1.0379648411327276</v>
      </c>
      <c r="AV149" s="23">
        <f>EXP(-LN(2)/25)*AV148+(1-EXP(-LN(2)/25))/(LN(2)/25)*Calculateur!AQ149*Calculateur!AS149*VLOOKUP('Données projet'!$B$10,Paramètres!$A$1:$I$89,3,0)*0.475*44/12</f>
        <v>0.13405325686856717</v>
      </c>
      <c r="AW149" s="23">
        <f>EXP(-LN(2)/2)*AW148+(1-EXP(-LN(2)/2))/(LN(2)/2)*AQ149*AT149*VLOOKUP('Données projet'!$B$10,Paramètres!$A$1:$I$89,3,0)*0.475*44/12</f>
        <v>5.2964311581695928E-17</v>
      </c>
      <c r="AX149" s="23">
        <f t="shared" si="114"/>
        <v>1.1720180980012946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-1.0197709343628959E-13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147.86588596077661</v>
      </c>
      <c r="AO150" s="62">
        <f t="shared" si="144"/>
        <v>228.19398518024298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1.0176109836941549</v>
      </c>
      <c r="AV150" s="23">
        <f>EXP(-LN(2)/25)*AV149+(1-EXP(-LN(2)/25))/(LN(2)/25)*Calculateur!AQ150*Calculateur!AS150*VLOOKUP('Données projet'!$B$10,Paramètres!$A$1:$I$89,3,0)*0.475*44/12</f>
        <v>0.1303875635099418</v>
      </c>
      <c r="AW150" s="23">
        <f>EXP(-LN(2)/2)*AW149+(1-EXP(-LN(2)/2))/(LN(2)/2)*AQ150*AT150*VLOOKUP('Données projet'!$B$10,Paramètres!$A$1:$I$89,3,0)*0.475*44/12</f>
        <v>3.7451423880294387E-17</v>
      </c>
      <c r="AX150" s="23">
        <f t="shared" si="114"/>
        <v>1.1479985472040968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-1.0197709343628959E-13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147.86588596077661</v>
      </c>
      <c r="AO151" s="62">
        <f t="shared" si="144"/>
        <v>228.19398518024298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0.99765625298532545</v>
      </c>
      <c r="AV151" s="23">
        <f>EXP(-LN(2)/25)*AV150+(1-EXP(-LN(2)/25))/(LN(2)/25)*Calculateur!AQ151*Calculateur!AS151*VLOOKUP('Données projet'!$B$10,Paramètres!$A$1:$I$89,3,0)*0.475*44/12</f>
        <v>0.12682210872897848</v>
      </c>
      <c r="AW151" s="23">
        <f>EXP(-LN(2)/2)*AW150+(1-EXP(-LN(2)/2))/(LN(2)/2)*AQ151*AT151*VLOOKUP('Données projet'!$B$10,Paramètres!$A$1:$I$89,3,0)*0.475*44/12</f>
        <v>2.6482155790847964E-17</v>
      </c>
      <c r="AX151" s="23">
        <f t="shared" si="114"/>
        <v>1.1244783617143039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-1.0197709343628959E-13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147.86588596077661</v>
      </c>
      <c r="AO152" s="62">
        <f t="shared" si="144"/>
        <v>228.19398518024298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0.97809282237451212</v>
      </c>
      <c r="AV152" s="23">
        <f>EXP(-LN(2)/25)*AV151+(1-EXP(-LN(2)/25))/(LN(2)/25)*Calculateur!AQ152*Calculateur!AS152*VLOOKUP('Données projet'!$B$10,Paramètres!$A$1:$I$89,3,0)*0.475*44/12</f>
        <v>0.12335415149649973</v>
      </c>
      <c r="AW152" s="23">
        <f>EXP(-LN(2)/2)*AW151+(1-EXP(-LN(2)/2))/(LN(2)/2)*AQ152*AT152*VLOOKUP('Données projet'!$B$10,Paramètres!$A$1:$I$89,3,0)*0.475*44/12</f>
        <v>1.8725711940147193E-17</v>
      </c>
      <c r="AX152" s="23">
        <f t="shared" si="114"/>
        <v>1.1014469738710118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-1.0197709343628959E-13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147.86588596077661</v>
      </c>
      <c r="AO153" s="62">
        <f t="shared" si="144"/>
        <v>228.19398518024298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0.95891301870546242</v>
      </c>
      <c r="AV153" s="23">
        <f>EXP(-LN(2)/25)*AV152+(1-EXP(-LN(2)/25))/(LN(2)/25)*Calculateur!AQ153*Calculateur!AS153*VLOOKUP('Données projet'!$B$10,Paramètres!$A$1:$I$89,3,0)*0.475*44/12</f>
        <v>0.11998102573691505</v>
      </c>
      <c r="AW153" s="23">
        <f>EXP(-LN(2)/2)*AW152+(1-EXP(-LN(2)/2))/(LN(2)/2)*AQ153*AT153*VLOOKUP('Données projet'!$B$10,Paramètres!$A$1:$I$89,3,0)*0.475*44/12</f>
        <v>1.3241077895423982E-17</v>
      </c>
      <c r="AX153" s="23">
        <f t="shared" si="114"/>
        <v>1.0788940444423774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-1.0197709343628959E-13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147.86588596077661</v>
      </c>
      <c r="AO154" s="62">
        <f t="shared" si="144"/>
        <v>228.19398518024298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0.9401093192878377</v>
      </c>
      <c r="AV154" s="23">
        <f>EXP(-LN(2)/25)*AV153+(1-EXP(-LN(2)/25))/(LN(2)/25)*Calculateur!AQ154*Calculateur!AS154*VLOOKUP('Données projet'!$B$10,Paramètres!$A$1:$I$89,3,0)*0.475*44/12</f>
        <v>0.11670013827861118</v>
      </c>
      <c r="AW154" s="23">
        <f>EXP(-LN(2)/2)*AW153+(1-EXP(-LN(2)/2))/(LN(2)/2)*AQ154*AT154*VLOOKUP('Données projet'!$B$10,Paramètres!$A$1:$I$89,3,0)*0.475*44/12</f>
        <v>9.3628559700735967E-18</v>
      </c>
      <c r="AX154" s="23">
        <f t="shared" ref="AX154:AX203" si="166">SUM(AU154:AW154)</f>
        <v>1.0568094575664488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-1.0197709343628959E-13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147.86588596077661</v>
      </c>
      <c r="AO155" s="62">
        <f t="shared" si="144"/>
        <v>228.19398518024298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0.92167434894666844</v>
      </c>
      <c r="AV155" s="23">
        <f>EXP(-LN(2)/25)*AV154+(1-EXP(-LN(2)/25))/(LN(2)/25)*Calculateur!AQ155*Calculateur!AS155*VLOOKUP('Données projet'!$B$10,Paramètres!$A$1:$I$89,3,0)*0.475*44/12</f>
        <v>0.11350896686038901</v>
      </c>
      <c r="AW155" s="23">
        <f>EXP(-LN(2)/2)*AW154+(1-EXP(-LN(2)/2))/(LN(2)/2)*AQ155*AT155*VLOOKUP('Données projet'!$B$10,Paramètres!$A$1:$I$89,3,0)*0.475*44/12</f>
        <v>6.6205389477119909E-18</v>
      </c>
      <c r="AX155" s="23">
        <f t="shared" si="166"/>
        <v>1.0351833158070574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-1.0197709343628959E-13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147.86588596077661</v>
      </c>
      <c r="AO156" s="62">
        <f t="shared" si="144"/>
        <v>228.19398518024298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0.90360087712966786</v>
      </c>
      <c r="AV156" s="23">
        <f>EXP(-LN(2)/25)*AV155+(1-EXP(-LN(2)/25))/(LN(2)/25)*Calculateur!AQ156*Calculateur!AS156*VLOOKUP('Données projet'!$B$10,Paramètres!$A$1:$I$89,3,0)*0.475*44/12</f>
        <v>0.11040505819241454</v>
      </c>
      <c r="AW156" s="23">
        <f>EXP(-LN(2)/2)*AW155+(1-EXP(-LN(2)/2))/(LN(2)/2)*AQ156*AT156*VLOOKUP('Données projet'!$B$10,Paramètres!$A$1:$I$89,3,0)*0.475*44/12</f>
        <v>4.6814279850367983E-18</v>
      </c>
      <c r="AX156" s="23">
        <f t="shared" si="166"/>
        <v>1.0140059353220825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-1.0197709343628959E-13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147.86588596077661</v>
      </c>
      <c r="AO157" s="62">
        <f t="shared" si="144"/>
        <v>228.19398518024298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0.8858818150712694</v>
      </c>
      <c r="AV157" s="23">
        <f>EXP(-LN(2)/25)*AV156+(1-EXP(-LN(2)/25))/(LN(2)/25)*Calculateur!AQ157*Calculateur!AS157*VLOOKUP('Données projet'!$B$10,Paramètres!$A$1:$I$89,3,0)*0.475*44/12</f>
        <v>0.10738602607019329</v>
      </c>
      <c r="AW157" s="23">
        <f>EXP(-LN(2)/2)*AW156+(1-EXP(-LN(2)/2))/(LN(2)/2)*AQ157*AT157*VLOOKUP('Données projet'!$B$10,Paramètres!$A$1:$I$89,3,0)*0.475*44/12</f>
        <v>3.3102694738559955E-18</v>
      </c>
      <c r="AX157" s="23">
        <f t="shared" si="166"/>
        <v>0.99326784114146272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-1.0197709343628959E-13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147.86588596077661</v>
      </c>
      <c r="AO158" s="62">
        <f t="shared" si="144"/>
        <v>228.19398518024298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0.86851021301227538</v>
      </c>
      <c r="AV158" s="23">
        <f>EXP(-LN(2)/25)*AV157+(1-EXP(-LN(2)/25))/(LN(2)/25)*Calculateur!AQ158*Calculateur!AS158*VLOOKUP('Données projet'!$B$10,Paramètres!$A$1:$I$89,3,0)*0.475*44/12</f>
        <v>0.10444954954011818</v>
      </c>
      <c r="AW158" s="23">
        <f>EXP(-LN(2)/2)*AW157+(1-EXP(-LN(2)/2))/(LN(2)/2)*AQ158*AT158*VLOOKUP('Données projet'!$B$10,Paramètres!$A$1:$I$89,3,0)*0.475*44/12</f>
        <v>2.3407139925183992E-18</v>
      </c>
      <c r="AX158" s="23">
        <f t="shared" si="166"/>
        <v>0.97295976255239358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-1.0197709343628959E-13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147.86588596077661</v>
      </c>
      <c r="AO159" s="62">
        <f t="shared" si="144"/>
        <v>228.19398518024298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0.8514792574740272</v>
      </c>
      <c r="AV159" s="23">
        <f>EXP(-LN(2)/25)*AV158+(1-EXP(-LN(2)/25))/(LN(2)/25)*Calculateur!AQ159*Calculateur!AS159*VLOOKUP('Données projet'!$B$10,Paramètres!$A$1:$I$89,3,0)*0.475*44/12</f>
        <v>0.10159337111518056</v>
      </c>
      <c r="AW159" s="23">
        <f>EXP(-LN(2)/2)*AW158+(1-EXP(-LN(2)/2))/(LN(2)/2)*AQ159*AT159*VLOOKUP('Données projet'!$B$10,Paramètres!$A$1:$I$89,3,0)*0.475*44/12</f>
        <v>1.6551347369279977E-18</v>
      </c>
      <c r="AX159" s="23">
        <f t="shared" si="166"/>
        <v>0.95307262858920772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-1.0197709343628959E-13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147.86588596077661</v>
      </c>
      <c r="AO160" s="62">
        <f t="shared" si="144"/>
        <v>228.19398518024298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0.83478226858602689</v>
      </c>
      <c r="AV160" s="23">
        <f>EXP(-LN(2)/25)*AV159+(1-EXP(-LN(2)/25))/(LN(2)/25)*Calculateur!AQ160*Calculateur!AS160*VLOOKUP('Données projet'!$B$10,Paramètres!$A$1:$I$89,3,0)*0.475*44/12</f>
        <v>9.8815295039472756E-2</v>
      </c>
      <c r="AW160" s="23">
        <f>EXP(-LN(2)/2)*AW159+(1-EXP(-LN(2)/2))/(LN(2)/2)*AQ160*AT160*VLOOKUP('Données projet'!$B$10,Paramètres!$A$1:$I$89,3,0)*0.475*44/12</f>
        <v>1.1703569962591996E-18</v>
      </c>
      <c r="AX160" s="23">
        <f t="shared" si="166"/>
        <v>0.93359756362549962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-1.0197709343628959E-13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147.86588596077661</v>
      </c>
      <c r="AO161" s="62">
        <f t="shared" si="144"/>
        <v>228.19398518024298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0.81841269746596268</v>
      </c>
      <c r="AV161" s="23">
        <f>EXP(-LN(2)/25)*AV160+(1-EXP(-LN(2)/25))/(LN(2)/25)*Calculateur!AQ161*Calculateur!AS161*VLOOKUP('Données projet'!$B$10,Paramètres!$A$1:$I$89,3,0)*0.475*44/12</f>
        <v>9.6113185600147852E-2</v>
      </c>
      <c r="AW161" s="23">
        <f>EXP(-LN(2)/2)*AW160+(1-EXP(-LN(2)/2))/(LN(2)/2)*AQ161*AT161*VLOOKUP('Données projet'!$B$10,Paramètres!$A$1:$I$89,3,0)*0.475*44/12</f>
        <v>8.2756736846399887E-19</v>
      </c>
      <c r="AX161" s="23">
        <f t="shared" si="166"/>
        <v>0.91452588306611049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-1.0197709343628959E-13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147.86588596077661</v>
      </c>
      <c r="AO162" s="62">
        <f t="shared" si="144"/>
        <v>228.19398518024298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0.80236412365111043</v>
      </c>
      <c r="AV162" s="23">
        <f>EXP(-LN(2)/25)*AV161+(1-EXP(-LN(2)/25))/(LN(2)/25)*Calculateur!AQ162*Calculateur!AS162*VLOOKUP('Données projet'!$B$10,Paramètres!$A$1:$I$89,3,0)*0.475*44/12</f>
        <v>9.3484965485539043E-2</v>
      </c>
      <c r="AW162" s="23">
        <f>EXP(-LN(2)/2)*AW161+(1-EXP(-LN(2)/2))/(LN(2)/2)*AQ162*AT162*VLOOKUP('Données projet'!$B$10,Paramètres!$A$1:$I$89,3,0)*0.475*44/12</f>
        <v>5.8517849812959979E-19</v>
      </c>
      <c r="AX162" s="23">
        <f t="shared" si="166"/>
        <v>0.89584908913664951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-1.0197709343628959E-13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147.86588596077661</v>
      </c>
      <c r="AO163" s="62">
        <f t="shared" si="144"/>
        <v>228.19398518024298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0.78663025258010399</v>
      </c>
      <c r="AV163" s="23">
        <f>EXP(-LN(2)/25)*AV162+(1-EXP(-LN(2)/25))/(LN(2)/25)*Calculateur!AQ163*Calculateur!AS163*VLOOKUP('Données projet'!$B$10,Paramètres!$A$1:$I$89,3,0)*0.475*44/12</f>
        <v>9.0928614188176299E-2</v>
      </c>
      <c r="AW163" s="23">
        <f>EXP(-LN(2)/2)*AW162+(1-EXP(-LN(2)/2))/(LN(2)/2)*AQ163*AT163*VLOOKUP('Données projet'!$B$10,Paramètres!$A$1:$I$89,3,0)*0.475*44/12</f>
        <v>4.1378368423199943E-19</v>
      </c>
      <c r="AX163" s="23">
        <f t="shared" si="166"/>
        <v>0.87755886676828032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-1.0197709343628959E-13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147.86588596077661</v>
      </c>
      <c r="AO164" s="62">
        <f t="shared" si="144"/>
        <v>228.19398518024298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0.77120491312408623</v>
      </c>
      <c r="AV164" s="23">
        <f>EXP(-LN(2)/25)*AV163+(1-EXP(-LN(2)/25))/(LN(2)/25)*Calculateur!AQ164*Calculateur!AS164*VLOOKUP('Données projet'!$B$10,Paramètres!$A$1:$I$89,3,0)*0.475*44/12</f>
        <v>8.8442166451472612E-2</v>
      </c>
      <c r="AW164" s="23">
        <f>EXP(-LN(2)/2)*AW163+(1-EXP(-LN(2)/2))/(LN(2)/2)*AQ164*AT164*VLOOKUP('Données projet'!$B$10,Paramètres!$A$1:$I$89,3,0)*0.475*44/12</f>
        <v>2.925892490647999E-19</v>
      </c>
      <c r="AX164" s="23">
        <f t="shared" si="166"/>
        <v>0.85964707957555886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-1.0197709343628959E-13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147.86588596077661</v>
      </c>
      <c r="AO165" s="62">
        <f t="shared" si="144"/>
        <v>228.19398518024298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0.75608205516627291</v>
      </c>
      <c r="AV165" s="23">
        <f>EXP(-LN(2)/25)*AV164+(1-EXP(-LN(2)/25))/(LN(2)/25)*Calculateur!AQ165*Calculateur!AS165*VLOOKUP('Données projet'!$B$10,Paramètres!$A$1:$I$89,3,0)*0.475*44/12</f>
        <v>8.6023710758885694E-2</v>
      </c>
      <c r="AW165" s="23">
        <f>EXP(-LN(2)/2)*AW164+(1-EXP(-LN(2)/2))/(LN(2)/2)*AQ165*AT165*VLOOKUP('Données projet'!$B$10,Paramètres!$A$1:$I$89,3,0)*0.475*44/12</f>
        <v>2.0689184211599972E-19</v>
      </c>
      <c r="AX165" s="23">
        <f t="shared" si="166"/>
        <v>0.84210576592515862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-1.0197709343628959E-13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147.86588596077661</v>
      </c>
      <c r="AO166" s="62">
        <f t="shared" si="144"/>
        <v>228.19398518024298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0.74125574722897969</v>
      </c>
      <c r="AV166" s="23">
        <f>EXP(-LN(2)/25)*AV165+(1-EXP(-LN(2)/25))/(LN(2)/25)*Calculateur!AQ166*Calculateur!AS166*VLOOKUP('Données projet'!$B$10,Paramètres!$A$1:$I$89,3,0)*0.475*44/12</f>
        <v>8.3671387864393626E-2</v>
      </c>
      <c r="AW166" s="23">
        <f>EXP(-LN(2)/2)*AW165+(1-EXP(-LN(2)/2))/(LN(2)/2)*AQ166*AT166*VLOOKUP('Données projet'!$B$10,Paramètres!$A$1:$I$89,3,0)*0.475*44/12</f>
        <v>1.4629462453239995E-19</v>
      </c>
      <c r="AX166" s="23">
        <f t="shared" si="166"/>
        <v>0.82492713509337334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-1.0197709343628959E-13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147.86588596077661</v>
      </c>
      <c r="AO167" s="62">
        <f t="shared" si="144"/>
        <v>228.19398518024298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0.72672017414718193</v>
      </c>
      <c r="AV167" s="23">
        <f>EXP(-LN(2)/25)*AV166+(1-EXP(-LN(2)/25))/(LN(2)/25)*Calculateur!AQ167*Calculateur!AS167*VLOOKUP('Données projet'!$B$10,Paramètres!$A$1:$I$89,3,0)*0.475*44/12</f>
        <v>8.1383389363154729E-2</v>
      </c>
      <c r="AW167" s="23">
        <f>EXP(-LN(2)/2)*AW166+(1-EXP(-LN(2)/2))/(LN(2)/2)*AQ167*AT167*VLOOKUP('Données projet'!$B$10,Paramètres!$A$1:$I$89,3,0)*0.475*44/12</f>
        <v>1.0344592105799986E-19</v>
      </c>
      <c r="AX167" s="23">
        <f t="shared" si="166"/>
        <v>0.80810356351033663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-1.0197709343628959E-13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147.86588596077661</v>
      </c>
      <c r="AO168" s="62">
        <f t="shared" si="144"/>
        <v>228.19398518024298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0.71246963478769409</v>
      </c>
      <c r="AV168" s="23">
        <f>EXP(-LN(2)/25)*AV167+(1-EXP(-LN(2)/25))/(LN(2)/25)*Calculateur!AQ168*Calculateur!AS168*VLOOKUP('Données projet'!$B$10,Paramètres!$A$1:$I$89,3,0)*0.475*44/12</f>
        <v>7.9157956301252816E-2</v>
      </c>
      <c r="AW168" s="23">
        <f>EXP(-LN(2)/2)*AW167+(1-EXP(-LN(2)/2))/(LN(2)/2)*AQ168*AT168*VLOOKUP('Données projet'!$B$10,Paramètres!$A$1:$I$89,3,0)*0.475*44/12</f>
        <v>7.3147312266199974E-20</v>
      </c>
      <c r="AX168" s="23">
        <f t="shared" si="166"/>
        <v>0.79162759108894687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-1.0197709343628959E-13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147.86588596077661</v>
      </c>
      <c r="AO169" s="62">
        <f t="shared" si="144"/>
        <v>228.19398518024298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0.69849853981307508</v>
      </c>
      <c r="AV169" s="23">
        <f>EXP(-LN(2)/25)*AV168+(1-EXP(-LN(2)/25))/(LN(2)/25)*Calculateur!AQ169*Calculateur!AS169*VLOOKUP('Données projet'!$B$10,Paramètres!$A$1:$I$89,3,0)*0.475*44/12</f>
        <v>7.6993377823459053E-2</v>
      </c>
      <c r="AW169" s="23">
        <f>EXP(-LN(2)/2)*AW168+(1-EXP(-LN(2)/2))/(LN(2)/2)*AQ169*AT169*VLOOKUP('Données projet'!$B$10,Paramètres!$A$1:$I$89,3,0)*0.475*44/12</f>
        <v>5.1722960528999929E-20</v>
      </c>
      <c r="AX169" s="23">
        <f t="shared" si="166"/>
        <v>0.77549191763653413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-1.0197709343628959E-13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147.86588596077661</v>
      </c>
      <c r="AO170" s="62">
        <f t="shared" si="144"/>
        <v>228.19398518024298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0.68480140948938184</v>
      </c>
      <c r="AV170" s="23">
        <f>EXP(-LN(2)/25)*AV169+(1-EXP(-LN(2)/25))/(LN(2)/25)*Calculateur!AQ170*Calculateur!AS170*VLOOKUP('Données projet'!$B$10,Paramètres!$A$1:$I$89,3,0)*0.475*44/12</f>
        <v>7.4887989857970794E-2</v>
      </c>
      <c r="AW170" s="23">
        <f>EXP(-LN(2)/2)*AW169+(1-EXP(-LN(2)/2))/(LN(2)/2)*AQ170*AT170*VLOOKUP('Données projet'!$B$10,Paramètres!$A$1:$I$89,3,0)*0.475*44/12</f>
        <v>3.6573656133099987E-20</v>
      </c>
      <c r="AX170" s="23">
        <f t="shared" si="166"/>
        <v>0.75968939934735258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-1.0197709343628959E-13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147.86588596077661</v>
      </c>
      <c r="AO171" s="62">
        <f t="shared" si="144"/>
        <v>228.19398518024298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0.67137287153691161</v>
      </c>
      <c r="AV171" s="23">
        <f>EXP(-LN(2)/25)*AV170+(1-EXP(-LN(2)/25))/(LN(2)/25)*Calculateur!AQ171*Calculateur!AS171*VLOOKUP('Données projet'!$B$10,Paramètres!$A$1:$I$89,3,0)*0.475*44/12</f>
        <v>7.2840173837116357E-2</v>
      </c>
      <c r="AW171" s="23">
        <f>EXP(-LN(2)/2)*AW170+(1-EXP(-LN(2)/2))/(LN(2)/2)*AQ171*AT171*VLOOKUP('Données projet'!$B$10,Paramètres!$A$1:$I$89,3,0)*0.475*44/12</f>
        <v>2.5861480264499965E-20</v>
      </c>
      <c r="AX171" s="23">
        <f t="shared" si="166"/>
        <v>0.74421304537402799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-1.0197709343628959E-13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147.86588596077661</v>
      </c>
      <c r="AO172" s="62">
        <f t="shared" si="144"/>
        <v>228.19398518024298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0.65820765902308997</v>
      </c>
      <c r="AV172" s="23">
        <f>EXP(-LN(2)/25)*AV171+(1-EXP(-LN(2)/25))/(LN(2)/25)*Calculateur!AQ172*Calculateur!AS172*VLOOKUP('Données projet'!$B$10,Paramètres!$A$1:$I$89,3,0)*0.475*44/12</f>
        <v>7.0848355453042147E-2</v>
      </c>
      <c r="AW172" s="23">
        <f>EXP(-LN(2)/2)*AW171+(1-EXP(-LN(2)/2))/(LN(2)/2)*AQ172*AT172*VLOOKUP('Données projet'!$B$10,Paramètres!$A$1:$I$89,3,0)*0.475*44/12</f>
        <v>1.8286828066549993E-20</v>
      </c>
      <c r="AX172" s="23">
        <f t="shared" si="166"/>
        <v>0.72905601447613211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-1.0197709343628959E-13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147.86588596077661</v>
      </c>
      <c r="AO173" s="62">
        <f t="shared" si="144"/>
        <v>228.19398518024298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0.64530060829667757</v>
      </c>
      <c r="AV173" s="23">
        <f>EXP(-LN(2)/25)*AV172+(1-EXP(-LN(2)/25))/(LN(2)/25)*Calculateur!AQ173*Calculateur!AS173*VLOOKUP('Données projet'!$B$10,Paramètres!$A$1:$I$89,3,0)*0.475*44/12</f>
        <v>6.8911003447425623E-2</v>
      </c>
      <c r="AW173" s="23">
        <f>EXP(-LN(2)/2)*AW172+(1-EXP(-LN(2)/2))/(LN(2)/2)*AQ173*AT173*VLOOKUP('Données projet'!$B$10,Paramètres!$A$1:$I$89,3,0)*0.475*44/12</f>
        <v>1.2930740132249982E-20</v>
      </c>
      <c r="AX173" s="23">
        <f t="shared" si="166"/>
        <v>0.71421161174410319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-1.0197709343628959E-13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147.86588596077661</v>
      </c>
      <c r="AO174" s="62">
        <f t="shared" si="144"/>
        <v>228.19398518024298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0.63264665696248656</v>
      </c>
      <c r="AV174" s="23">
        <f>EXP(-LN(2)/25)*AV173+(1-EXP(-LN(2)/25))/(LN(2)/25)*Calculateur!AQ174*Calculateur!AS174*VLOOKUP('Données projet'!$B$10,Paramètres!$A$1:$I$89,3,0)*0.475*44/12</f>
        <v>6.70266284342836E-2</v>
      </c>
      <c r="AW174" s="23">
        <f>EXP(-LN(2)/2)*AW173+(1-EXP(-LN(2)/2))/(LN(2)/2)*AQ174*AT174*VLOOKUP('Données projet'!$B$10,Paramètres!$A$1:$I$89,3,0)*0.475*44/12</f>
        <v>9.1434140332749967E-21</v>
      </c>
      <c r="AX174" s="23">
        <f t="shared" si="166"/>
        <v>0.69967328539677021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-1.0197709343628959E-13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147.86588596077661</v>
      </c>
      <c r="AO175" s="62">
        <f t="shared" si="144"/>
        <v>228.19398518024298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0.62024084189581086</v>
      </c>
      <c r="AV175" s="23">
        <f>EXP(-LN(2)/25)*AV174+(1-EXP(-LN(2)/25))/(LN(2)/25)*Calculateur!AQ175*Calculateur!AS175*VLOOKUP('Données projet'!$B$10,Paramètres!$A$1:$I$89,3,0)*0.475*44/12</f>
        <v>6.5193781754970911E-2</v>
      </c>
      <c r="AW175" s="23">
        <f>EXP(-LN(2)/2)*AW174+(1-EXP(-LN(2)/2))/(LN(2)/2)*AQ175*AT175*VLOOKUP('Données projet'!$B$10,Paramètres!$A$1:$I$89,3,0)*0.475*44/12</f>
        <v>6.4653700661249912E-21</v>
      </c>
      <c r="AX175" s="23">
        <f t="shared" si="166"/>
        <v>0.68543462365078178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-1.0197709343628959E-13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147.86588596077661</v>
      </c>
      <c r="AO176" s="62">
        <f t="shared" si="144"/>
        <v>228.19398518024298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0.60807829729579255</v>
      </c>
      <c r="AV176" s="23">
        <f>EXP(-LN(2)/25)*AV175+(1-EXP(-LN(2)/25))/(LN(2)/25)*Calculateur!AQ176*Calculateur!AS176*VLOOKUP('Données projet'!$B$10,Paramètres!$A$1:$I$89,3,0)*0.475*44/12</f>
        <v>6.3411054364489253E-2</v>
      </c>
      <c r="AW176" s="23">
        <f>EXP(-LN(2)/2)*AW175+(1-EXP(-LN(2)/2))/(LN(2)/2)*AQ176*AT176*VLOOKUP('Données projet'!$B$10,Paramètres!$A$1:$I$89,3,0)*0.475*44/12</f>
        <v>4.5717070166374984E-21</v>
      </c>
      <c r="AX176" s="23">
        <f t="shared" si="166"/>
        <v>0.67148935166028179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-1.0197709343628959E-13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147.86588596077661</v>
      </c>
      <c r="AO177" s="62">
        <f t="shared" si="144"/>
        <v>228.19398518024298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0.59615425277696099</v>
      </c>
      <c r="AV177" s="23">
        <f>EXP(-LN(2)/25)*AV176+(1-EXP(-LN(2)/25))/(LN(2)/25)*Calculateur!AQ177*Calculateur!AS177*VLOOKUP('Données projet'!$B$10,Paramètres!$A$1:$I$89,3,0)*0.475*44/12</f>
        <v>6.167707574824987E-2</v>
      </c>
      <c r="AW177" s="23">
        <f>EXP(-LN(2)/2)*AW176+(1-EXP(-LN(2)/2))/(LN(2)/2)*AQ177*AT177*VLOOKUP('Données projet'!$B$10,Paramètres!$A$1:$I$89,3,0)*0.475*44/12</f>
        <v>3.2326850330624956E-21</v>
      </c>
      <c r="AX177" s="23">
        <f t="shared" si="166"/>
        <v>0.65783132852521087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-1.0197709343628959E-13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147.86588596077661</v>
      </c>
      <c r="AO178" s="62">
        <f t="shared" si="144"/>
        <v>228.19398518024298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0.5844640314981947</v>
      </c>
      <c r="AV178" s="23">
        <f>EXP(-LN(2)/25)*AV177+(1-EXP(-LN(2)/25))/(LN(2)/25)*Calculateur!AQ178*Calculateur!AS178*VLOOKUP('Données projet'!$B$10,Paramètres!$A$1:$I$89,3,0)*0.475*44/12</f>
        <v>5.9990512868457531E-2</v>
      </c>
      <c r="AW178" s="23">
        <f>EXP(-LN(2)/2)*AW177+(1-EXP(-LN(2)/2))/(LN(2)/2)*AQ178*AT178*VLOOKUP('Données projet'!$B$10,Paramètres!$A$1:$I$89,3,0)*0.475*44/12</f>
        <v>2.2858535083187492E-21</v>
      </c>
      <c r="AX178" s="23">
        <f t="shared" si="166"/>
        <v>0.64445454436665228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-1.0197709343628959E-13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147.86588596077661</v>
      </c>
      <c r="AO179" s="62">
        <f t="shared" si="144"/>
        <v>228.19398518024298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0.57300304832837412</v>
      </c>
      <c r="AV179" s="23">
        <f>EXP(-LN(2)/25)*AV178+(1-EXP(-LN(2)/25))/(LN(2)/25)*Calculateur!AQ179*Calculateur!AS179*VLOOKUP('Données projet'!$B$10,Paramètres!$A$1:$I$89,3,0)*0.475*44/12</f>
        <v>5.8350069139305599E-2</v>
      </c>
      <c r="AW179" s="23">
        <f>EXP(-LN(2)/2)*AW178+(1-EXP(-LN(2)/2))/(LN(2)/2)*AQ179*AT179*VLOOKUP('Données projet'!$B$10,Paramètres!$A$1:$I$89,3,0)*0.475*44/12</f>
        <v>1.6163425165312478E-21</v>
      </c>
      <c r="AX179" s="23">
        <f t="shared" si="166"/>
        <v>0.63135311746767975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-1.0197709343628959E-13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147.86588596077661</v>
      </c>
      <c r="AO180" s="62">
        <f t="shared" si="144"/>
        <v>228.19398518024298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0.56176680804800416</v>
      </c>
      <c r="AV180" s="23">
        <f>EXP(-LN(2)/25)*AV179+(1-EXP(-LN(2)/25))/(LN(2)/25)*Calculateur!AQ180*Calculateur!AS180*VLOOKUP('Données projet'!$B$10,Paramètres!$A$1:$I$89,3,0)*0.475*44/12</f>
        <v>5.6754483430194513E-2</v>
      </c>
      <c r="AW180" s="23">
        <f>EXP(-LN(2)/2)*AW179+(1-EXP(-LN(2)/2))/(LN(2)/2)*AQ180*AT180*VLOOKUP('Données projet'!$B$10,Paramètres!$A$1:$I$89,3,0)*0.475*44/12</f>
        <v>1.1429267541593746E-21</v>
      </c>
      <c r="AX180" s="23">
        <f t="shared" si="166"/>
        <v>0.61852129147819868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-1.0197709343628959E-13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147.86588596077661</v>
      </c>
      <c r="AO181" s="62">
        <f t="shared" si="144"/>
        <v>228.19398518024298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0.55075090358610246</v>
      </c>
      <c r="AV181" s="23">
        <f>EXP(-LN(2)/25)*AV180+(1-EXP(-LN(2)/25))/(LN(2)/25)*Calculateur!AQ181*Calculateur!AS181*VLOOKUP('Données projet'!$B$10,Paramètres!$A$1:$I$89,3,0)*0.475*44/12</f>
        <v>5.5202529096207271E-2</v>
      </c>
      <c r="AW181" s="23">
        <f>EXP(-LN(2)/2)*AW180+(1-EXP(-LN(2)/2))/(LN(2)/2)*AQ181*AT181*VLOOKUP('Données projet'!$B$10,Paramètres!$A$1:$I$89,3,0)*0.475*44/12</f>
        <v>8.0817125826562389E-22</v>
      </c>
      <c r="AX181" s="23">
        <f t="shared" si="166"/>
        <v>0.60595343268230972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-1.0197709343628959E-13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147.86588596077661</v>
      </c>
      <c r="AO182" s="62">
        <f t="shared" si="144"/>
        <v>228.19398518024298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0.53995101429166037</v>
      </c>
      <c r="AV182" s="23">
        <f>EXP(-LN(2)/25)*AV181+(1-EXP(-LN(2)/25))/(LN(2)/25)*Calculateur!AQ182*Calculateur!AS182*VLOOKUP('Données projet'!$B$10,Paramètres!$A$1:$I$89,3,0)*0.475*44/12</f>
        <v>5.3693013035096646E-2</v>
      </c>
      <c r="AW182" s="23">
        <f>EXP(-LN(2)/2)*AW181+(1-EXP(-LN(2)/2))/(LN(2)/2)*AQ182*AT182*VLOOKUP('Données projet'!$B$10,Paramètres!$A$1:$I$89,3,0)*0.475*44/12</f>
        <v>5.714633770796873E-22</v>
      </c>
      <c r="AX182" s="23">
        <f t="shared" si="166"/>
        <v>0.59364402732675703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-1.0197709343628959E-13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147.86588596077661</v>
      </c>
      <c r="AO183" s="62">
        <f t="shared" si="144"/>
        <v>228.19398518024298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0.52936290423900023</v>
      </c>
      <c r="AV183" s="23">
        <f>EXP(-LN(2)/25)*AV182+(1-EXP(-LN(2)/25))/(LN(2)/25)*Calculateur!AQ183*Calculateur!AS183*VLOOKUP('Données projet'!$B$10,Paramètres!$A$1:$I$89,3,0)*0.475*44/12</f>
        <v>5.2224774770059088E-2</v>
      </c>
      <c r="AW183" s="23">
        <f>EXP(-LN(2)/2)*AW182+(1-EXP(-LN(2)/2))/(LN(2)/2)*AQ183*AT183*VLOOKUP('Données projet'!$B$10,Paramètres!$A$1:$I$89,3,0)*0.475*44/12</f>
        <v>4.0408562913281195E-22</v>
      </c>
      <c r="AX183" s="23">
        <f t="shared" si="166"/>
        <v>0.58158767900905928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-1.0197709343628959E-13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147.86588596077661</v>
      </c>
      <c r="AO184" s="62">
        <f t="shared" si="144"/>
        <v>228.19398518024298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0.51898242056636334</v>
      </c>
      <c r="AV184" s="23">
        <f>EXP(-LN(2)/25)*AV183+(1-EXP(-LN(2)/25))/(LN(2)/25)*Calculateur!AQ184*Calculateur!AS184*VLOOKUP('Données projet'!$B$10,Paramètres!$A$1:$I$89,3,0)*0.475*44/12</f>
        <v>5.0796685557590281E-2</v>
      </c>
      <c r="AW184" s="23">
        <f>EXP(-LN(2)/2)*AW183+(1-EXP(-LN(2)/2))/(LN(2)/2)*AQ184*AT184*VLOOKUP('Données projet'!$B$10,Paramètres!$A$1:$I$89,3,0)*0.475*44/12</f>
        <v>2.8573168853984365E-22</v>
      </c>
      <c r="AX184" s="23">
        <f t="shared" si="166"/>
        <v>0.56977910612395366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-1.0197709343628959E-13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147.86588596077661</v>
      </c>
      <c r="AO185" s="62">
        <f t="shared" si="144"/>
        <v>228.19398518024298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0.50880549184707702</v>
      </c>
      <c r="AV185" s="23">
        <f>EXP(-LN(2)/25)*AV184+(1-EXP(-LN(2)/25))/(LN(2)/25)*Calculateur!AQ185*Calculateur!AS185*VLOOKUP('Données projet'!$B$10,Paramètres!$A$1:$I$89,3,0)*0.475*44/12</f>
        <v>4.9407647519736378E-2</v>
      </c>
      <c r="AW185" s="23">
        <f>EXP(-LN(2)/2)*AW184+(1-EXP(-LN(2)/2))/(LN(2)/2)*AQ185*AT185*VLOOKUP('Données projet'!$B$10,Paramètres!$A$1:$I$89,3,0)*0.475*44/12</f>
        <v>2.0204281456640597E-22</v>
      </c>
      <c r="AX185" s="23">
        <f t="shared" si="166"/>
        <v>0.55821313936681338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-1.0197709343628959E-13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147.86588596077661</v>
      </c>
      <c r="AO186" s="62">
        <f t="shared" si="144"/>
        <v>228.19398518024298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0.49882812649266228</v>
      </c>
      <c r="AV186" s="23">
        <f>EXP(-LN(2)/25)*AV185+(1-EXP(-LN(2)/25))/(LN(2)/25)*Calculateur!AQ186*Calculateur!AS186*VLOOKUP('Données projet'!$B$10,Paramètres!$A$1:$I$89,3,0)*0.475*44/12</f>
        <v>4.8056592800073926E-2</v>
      </c>
      <c r="AW186" s="23">
        <f>EXP(-LN(2)/2)*AW185+(1-EXP(-LN(2)/2))/(LN(2)/2)*AQ186*AT186*VLOOKUP('Données projet'!$B$10,Paramètres!$A$1:$I$89,3,0)*0.475*44/12</f>
        <v>1.4286584426992182E-22</v>
      </c>
      <c r="AX186" s="23">
        <f t="shared" si="166"/>
        <v>0.54688471929273619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-1.0197709343628959E-13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147.86588596077661</v>
      </c>
      <c r="AO187" s="62">
        <f t="shared" si="144"/>
        <v>228.19398518024298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0.48904641118725561</v>
      </c>
      <c r="AV187" s="23">
        <f>EXP(-LN(2)/25)*AV186+(1-EXP(-LN(2)/25))/(LN(2)/25)*Calculateur!AQ187*Calculateur!AS187*VLOOKUP('Données projet'!$B$10,Paramètres!$A$1:$I$89,3,0)*0.475*44/12</f>
        <v>4.6742482742769521E-2</v>
      </c>
      <c r="AW187" s="23">
        <f>EXP(-LN(2)/2)*AW186+(1-EXP(-LN(2)/2))/(LN(2)/2)*AQ187*AT187*VLOOKUP('Données projet'!$B$10,Paramètres!$A$1:$I$89,3,0)*0.475*44/12</f>
        <v>1.0102140728320299E-22</v>
      </c>
      <c r="AX187" s="23">
        <f t="shared" si="166"/>
        <v>0.53578889393002516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-1.0197709343628959E-13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147.86588596077661</v>
      </c>
      <c r="AO188" s="62">
        <f t="shared" si="144"/>
        <v>228.19398518024298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0.47945650935273076</v>
      </c>
      <c r="AV188" s="23">
        <f>EXP(-LN(2)/25)*AV187+(1-EXP(-LN(2)/25))/(LN(2)/25)*Calculateur!AQ188*Calculateur!AS188*VLOOKUP('Données projet'!$B$10,Paramètres!$A$1:$I$89,3,0)*0.475*44/12</f>
        <v>4.5464307094088149E-2</v>
      </c>
      <c r="AW188" s="23">
        <f>EXP(-LN(2)/2)*AW187+(1-EXP(-LN(2)/2))/(LN(2)/2)*AQ188*AT188*VLOOKUP('Données projet'!$B$10,Paramètres!$A$1:$I$89,3,0)*0.475*44/12</f>
        <v>7.1432922134960912E-23</v>
      </c>
      <c r="AX188" s="23">
        <f t="shared" si="166"/>
        <v>0.52492081644681887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-1.0197709343628959E-13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147.86588596077661</v>
      </c>
      <c r="AO189" s="62">
        <f t="shared" si="144"/>
        <v>228.19398518024298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0.4700546596439184</v>
      </c>
      <c r="AV189" s="23">
        <f>EXP(-LN(2)/25)*AV188+(1-EXP(-LN(2)/25))/(LN(2)/25)*Calculateur!AQ189*Calculateur!AS189*VLOOKUP('Données projet'!$B$10,Paramètres!$A$1:$I$89,3,0)*0.475*44/12</f>
        <v>4.4221083225736306E-2</v>
      </c>
      <c r="AW189" s="23">
        <f>EXP(-LN(2)/2)*AW188+(1-EXP(-LN(2)/2))/(LN(2)/2)*AQ189*AT189*VLOOKUP('Données projet'!$B$10,Paramètres!$A$1:$I$89,3,0)*0.475*44/12</f>
        <v>5.0510703641601493E-23</v>
      </c>
      <c r="AX189" s="23">
        <f t="shared" si="166"/>
        <v>0.51427574286965472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-1.0197709343628959E-13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147.86588596077661</v>
      </c>
      <c r="AO190" s="62">
        <f t="shared" si="144"/>
        <v>228.19398518024298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0.46083717447333378</v>
      </c>
      <c r="AV190" s="23">
        <f>EXP(-LN(2)/25)*AV189+(1-EXP(-LN(2)/25))/(LN(2)/25)*Calculateur!AQ190*Calculateur!AS190*VLOOKUP('Données projet'!$B$10,Paramètres!$A$1:$I$89,3,0)*0.475*44/12</f>
        <v>4.3011855379442847E-2</v>
      </c>
      <c r="AW190" s="23">
        <f>EXP(-LN(2)/2)*AW189+(1-EXP(-LN(2)/2))/(LN(2)/2)*AQ190*AT190*VLOOKUP('Données projet'!$B$10,Paramètres!$A$1:$I$89,3,0)*0.475*44/12</f>
        <v>3.5716461067480456E-23</v>
      </c>
      <c r="AX190" s="23">
        <f t="shared" si="166"/>
        <v>0.50384902985277658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-1.0197709343628959E-13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147.86588596077661</v>
      </c>
      <c r="AO191" s="62">
        <f t="shared" si="144"/>
        <v>228.19398518024298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0.45180043856483348</v>
      </c>
      <c r="AV191" s="23">
        <f>EXP(-LN(2)/25)*AV190+(1-EXP(-LN(2)/25))/(LN(2)/25)*Calculateur!AQ191*Calculateur!AS191*VLOOKUP('Données projet'!$B$10,Paramètres!$A$1:$I$89,3,0)*0.475*44/12</f>
        <v>4.1835693932196813E-2</v>
      </c>
      <c r="AW191" s="23">
        <f>EXP(-LN(2)/2)*AW190+(1-EXP(-LN(2)/2))/(LN(2)/2)*AQ191*AT191*VLOOKUP('Données projet'!$B$10,Paramètres!$A$1:$I$89,3,0)*0.475*44/12</f>
        <v>2.5255351820800747E-23</v>
      </c>
      <c r="AX191" s="23">
        <f t="shared" si="166"/>
        <v>0.49363613249703031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-1.0197709343628959E-13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147.86588596077661</v>
      </c>
      <c r="AO192" s="62">
        <f t="shared" si="144"/>
        <v>228.19398518024298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0.44294090753563425</v>
      </c>
      <c r="AV192" s="23">
        <f>EXP(-LN(2)/25)*AV191+(1-EXP(-LN(2)/25))/(LN(2)/25)*Calculateur!AQ192*Calculateur!AS192*VLOOKUP('Données projet'!$B$10,Paramètres!$A$1:$I$89,3,0)*0.475*44/12</f>
        <v>4.0691694681577364E-2</v>
      </c>
      <c r="AW192" s="23">
        <f>EXP(-LN(2)/2)*AW191+(1-EXP(-LN(2)/2))/(LN(2)/2)*AQ192*AT192*VLOOKUP('Données projet'!$B$10,Paramètres!$A$1:$I$89,3,0)*0.475*44/12</f>
        <v>1.7858230533740228E-23</v>
      </c>
      <c r="AX192" s="23">
        <f t="shared" si="166"/>
        <v>0.4836326022172116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-1.0197709343628959E-13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147.86588596077661</v>
      </c>
      <c r="AO193" s="62">
        <f t="shared" si="144"/>
        <v>228.19398518024298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0.43425510650613725</v>
      </c>
      <c r="AV193" s="23">
        <f>EXP(-LN(2)/25)*AV192+(1-EXP(-LN(2)/25))/(LN(2)/25)*Calculateur!AQ193*Calculateur!AS193*VLOOKUP('Données projet'!$B$10,Paramètres!$A$1:$I$89,3,0)*0.475*44/12</f>
        <v>3.9578978150626408E-2</v>
      </c>
      <c r="AW193" s="23">
        <f>EXP(-LN(2)/2)*AW192+(1-EXP(-LN(2)/2))/(LN(2)/2)*AQ193*AT193*VLOOKUP('Données projet'!$B$10,Paramètres!$A$1:$I$89,3,0)*0.475*44/12</f>
        <v>1.2627675910400373E-23</v>
      </c>
      <c r="AX193" s="23">
        <f t="shared" si="166"/>
        <v>0.47383408465676363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-1.0197709343628959E-13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147.86588596077661</v>
      </c>
      <c r="AO194" s="62">
        <f t="shared" si="144"/>
        <v>228.19398518024298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0.42573962873701315</v>
      </c>
      <c r="AV194" s="23">
        <f>EXP(-LN(2)/25)*AV193+(1-EXP(-LN(2)/25))/(LN(2)/25)*Calculateur!AQ194*Calculateur!AS194*VLOOKUP('Données projet'!$B$10,Paramètres!$A$1:$I$89,3,0)*0.475*44/12</f>
        <v>3.8496688911729526E-2</v>
      </c>
      <c r="AW194" s="23">
        <f>EXP(-LN(2)/2)*AW193+(1-EXP(-LN(2)/2))/(LN(2)/2)*AQ194*AT194*VLOOKUP('Données projet'!$B$10,Paramètres!$A$1:$I$89,3,0)*0.475*44/12</f>
        <v>8.929115266870114E-24</v>
      </c>
      <c r="AX194" s="23">
        <f t="shared" si="166"/>
        <v>0.46423631764874268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-1.0197709343628959E-13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147.86588596077661</v>
      </c>
      <c r="AO195" s="62">
        <f t="shared" si="144"/>
        <v>228.19398518024298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0.417391134293013</v>
      </c>
      <c r="AV195" s="23">
        <f>EXP(-LN(2)/25)*AV194+(1-EXP(-LN(2)/25))/(LN(2)/25)*Calculateur!AQ195*Calculateur!AS195*VLOOKUP('Données projet'!$B$10,Paramètres!$A$1:$I$89,3,0)*0.475*44/12</f>
        <v>3.7443994928985397E-2</v>
      </c>
      <c r="AW195" s="23">
        <f>EXP(-LN(2)/2)*AW194+(1-EXP(-LN(2)/2))/(LN(2)/2)*AQ195*AT195*VLOOKUP('Données projet'!$B$10,Paramètres!$A$1:$I$89,3,0)*0.475*44/12</f>
        <v>6.3138379552001867E-24</v>
      </c>
      <c r="AX195" s="23">
        <f t="shared" si="166"/>
        <v>0.45483512922199842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-1.0197709343628959E-13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147.86588596077661</v>
      </c>
      <c r="AO196" s="62">
        <f t="shared" si="144"/>
        <v>228.19398518024298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0.4092063487329809</v>
      </c>
      <c r="AV196" s="23">
        <f>EXP(-LN(2)/25)*AV195+(1-EXP(-LN(2)/25))/(LN(2)/25)*Calculateur!AQ196*Calculateur!AS196*VLOOKUP('Données projet'!$B$10,Paramètres!$A$1:$I$89,3,0)*0.475*44/12</f>
        <v>3.6420086918558178E-2</v>
      </c>
      <c r="AW196" s="23">
        <f>EXP(-LN(2)/2)*AW195+(1-EXP(-LN(2)/2))/(LN(2)/2)*AQ196*AT196*VLOOKUP('Données projet'!$B$10,Paramètres!$A$1:$I$89,3,0)*0.475*44/12</f>
        <v>4.464557633435057E-24</v>
      </c>
      <c r="AX196" s="23">
        <f t="shared" si="166"/>
        <v>0.44562643565153909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-1.0197709343628959E-13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147.86588596077661</v>
      </c>
      <c r="AO197" s="62">
        <f t="shared" ref="AO197:AO203" si="205">$AO$3</f>
        <v>228.19398518024298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0.40118206182555477</v>
      </c>
      <c r="AV197" s="23">
        <f>EXP(-LN(2)/25)*AV196+(1-EXP(-LN(2)/25))/(LN(2)/25)*Calculateur!AQ197*Calculateur!AS197*VLOOKUP('Données projet'!$B$10,Paramètres!$A$1:$I$89,3,0)*0.475*44/12</f>
        <v>3.5424177726521074E-2</v>
      </c>
      <c r="AW197" s="23">
        <f>EXP(-LN(2)/2)*AW196+(1-EXP(-LN(2)/2))/(LN(2)/2)*AQ197*AT197*VLOOKUP('Données projet'!$B$10,Paramètres!$A$1:$I$89,3,0)*0.475*44/12</f>
        <v>3.1569189776000933E-24</v>
      </c>
      <c r="AX197" s="23">
        <f t="shared" si="166"/>
        <v>0.43660623955207584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-1.0197709343628959E-13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147.86588596077661</v>
      </c>
      <c r="AO198" s="62">
        <f t="shared" si="205"/>
        <v>228.19398518024298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0.39331512629005155</v>
      </c>
      <c r="AV198" s="23">
        <f>EXP(-LN(2)/25)*AV197+(1-EXP(-LN(2)/25))/(LN(2)/25)*Calculateur!AQ198*Calculateur!AS198*VLOOKUP('Données projet'!$B$10,Paramètres!$A$1:$I$89,3,0)*0.475*44/12</f>
        <v>3.4455501723712811E-2</v>
      </c>
      <c r="AW198" s="23">
        <f>EXP(-LN(2)/2)*AW197+(1-EXP(-LN(2)/2))/(LN(2)/2)*AQ198*AT198*VLOOKUP('Données projet'!$B$10,Paramètres!$A$1:$I$89,3,0)*0.475*44/12</f>
        <v>2.2322788167175285E-24</v>
      </c>
      <c r="AX198" s="23">
        <f t="shared" si="166"/>
        <v>0.42777062801376436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-1.0197709343628959E-13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147.86588596077661</v>
      </c>
      <c r="AO199" s="62">
        <f t="shared" si="205"/>
        <v>228.19398518024298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0.38560245656204267</v>
      </c>
      <c r="AV199" s="23">
        <f>EXP(-LN(2)/25)*AV198+(1-EXP(-LN(2)/25))/(LN(2)/25)*Calculateur!AQ199*Calculateur!AS199*VLOOKUP('Données projet'!$B$10,Paramètres!$A$1:$I$89,3,0)*0.475*44/12</f>
        <v>3.35133142171418E-2</v>
      </c>
      <c r="AW199" s="23">
        <f>EXP(-LN(2)/2)*AW198+(1-EXP(-LN(2)/2))/(LN(2)/2)*AQ199*AT199*VLOOKUP('Données projet'!$B$10,Paramètres!$A$1:$I$89,3,0)*0.475*44/12</f>
        <v>1.5784594888000467E-24</v>
      </c>
      <c r="AX199" s="23">
        <f t="shared" si="166"/>
        <v>0.41911577077918449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-1.0197709343628959E-13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147.86588596077661</v>
      </c>
      <c r="AO200" s="62">
        <f t="shared" si="205"/>
        <v>228.19398518024298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0.37804102758313601</v>
      </c>
      <c r="AV200" s="23">
        <f>EXP(-LN(2)/25)*AV199+(1-EXP(-LN(2)/25))/(LN(2)/25)*Calculateur!AQ200*Calculateur!AS200*VLOOKUP('Données projet'!$B$10,Paramètres!$A$1:$I$89,3,0)*0.475*44/12</f>
        <v>3.2596890877485456E-2</v>
      </c>
      <c r="AW200" s="23">
        <f>EXP(-LN(2)/2)*AW199+(1-EXP(-LN(2)/2))/(LN(2)/2)*AQ200*AT200*VLOOKUP('Données projet'!$B$10,Paramètres!$A$1:$I$89,3,0)*0.475*44/12</f>
        <v>1.1161394083587642E-24</v>
      </c>
      <c r="AX200" s="23">
        <f t="shared" si="166"/>
        <v>0.41063791846062148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-1.0197709343628959E-13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147.86588596077661</v>
      </c>
      <c r="AO201" s="62">
        <f t="shared" si="205"/>
        <v>228.19398518024298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0.37062787361448946</v>
      </c>
      <c r="AV201" s="23">
        <f>EXP(-LN(2)/25)*AV200+(1-EXP(-LN(2)/25))/(LN(2)/25)*Calculateur!AQ201*Calculateur!AS201*VLOOKUP('Données projet'!$B$10,Paramètres!$A$1:$I$89,3,0)*0.475*44/12</f>
        <v>3.1705527182244626E-2</v>
      </c>
      <c r="AW201" s="23">
        <f>EXP(-LN(2)/2)*AW200+(1-EXP(-LN(2)/2))/(LN(2)/2)*AQ201*AT201*VLOOKUP('Données projet'!$B$10,Paramètres!$A$1:$I$89,3,0)*0.475*44/12</f>
        <v>7.8922974440002333E-25</v>
      </c>
      <c r="AX201" s="23">
        <f t="shared" si="166"/>
        <v>0.40233340079673408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-1.0197709343628959E-13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147.86588596077661</v>
      </c>
      <c r="AO202" s="62">
        <f t="shared" si="205"/>
        <v>228.19398518024298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0.36336008707359058</v>
      </c>
      <c r="AV202" s="23">
        <f>EXP(-LN(2)/25)*AV201+(1-EXP(-LN(2)/25))/(LN(2)/25)*Calculateur!AQ202*Calculateur!AS202*VLOOKUP('Données projet'!$B$10,Paramètres!$A$1:$I$89,3,0)*0.475*44/12</f>
        <v>3.0838537874124935E-2</v>
      </c>
      <c r="AW202" s="23">
        <f>EXP(-LN(2)/2)*AW201+(1-EXP(-LN(2)/2))/(LN(2)/2)*AQ202*AT202*VLOOKUP('Données projet'!$B$10,Paramètres!$A$1:$I$89,3,0)*0.475*44/12</f>
        <v>5.5806970417938212E-25</v>
      </c>
      <c r="AX202" s="23">
        <f t="shared" si="166"/>
        <v>0.39419862494771551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-1.0197709343628959E-13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147.86588596077661</v>
      </c>
      <c r="AO203" s="62">
        <f t="shared" si="205"/>
        <v>228.19398518024298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0.35623481739384666</v>
      </c>
      <c r="AV203" s="23">
        <f>EXP(-LN(2)/25)*AV202+(1-EXP(-LN(2)/25))/(LN(2)/25)*Calculateur!AQ203*Calculateur!AS203*VLOOKUP('Données projet'!$B$10,Paramètres!$A$1:$I$89,3,0)*0.475*44/12</f>
        <v>2.9995256434228765E-2</v>
      </c>
      <c r="AW203" s="23">
        <f>EXP(-LN(2)/2)*AW202+(1-EXP(-LN(2)/2))/(LN(2)/2)*AQ203*AT203*VLOOKUP('Données projet'!$B$10,Paramètres!$A$1:$I$89,3,0)*0.475*44/12</f>
        <v>3.9461487220001167E-25</v>
      </c>
      <c r="AX203" s="23">
        <f t="shared" si="166"/>
        <v>0.38623007382807545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1.2990595333015609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25.998000000000001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3940.8843987633918</v>
      </c>
      <c r="G6" s="156">
        <f ca="1">F6*(100%-'Données projet'!$C$24)*(100%-'Données projet'!$C$25)*(100%-'Données projet'!$C$26)*(100%-'Données projet'!$C$27)</f>
        <v>3014.7765650539945</v>
      </c>
      <c r="H6" s="157">
        <f>IF(OR('Données projet'!B9="",'Données projet'!C9="",'Données projet'!C9=0%),0,AVERAGE(Calculateur!$AC$3:$AC$33)*B6)</f>
        <v>251.76416363989563</v>
      </c>
      <c r="I6" s="158">
        <f>H6*(100%-'Données projet'!$C$24)*(100%-'Données projet'!$C$25)*(100%-'Données projet'!$C$26)*(100%-'Données projet'!$C$27)</f>
        <v>192.59958518452015</v>
      </c>
      <c r="J6" s="159">
        <f>IF(OR('Données projet'!B9="",'Données projet'!C9="",'Données projet'!C9=0%),0,SUM(Calculateur!$V$3:$V$33)*VLOOKUP('Données projet'!$B$9,Paramètres!$A$1:$I$89,9,0)*B6)</f>
        <v>1840.6584</v>
      </c>
      <c r="K6" s="160">
        <f>J6*(100%-'Données projet'!$C$24)*(100%-'Données projet'!$C$25)*(100%-'Données projet'!$C$26)*(100%-'Données projet'!$C$27)</f>
        <v>1408.103676</v>
      </c>
      <c r="L6" s="161">
        <f ca="1">G6+I6+K6</f>
        <v>4615.4798262385148</v>
      </c>
      <c r="M6" s="25">
        <f ca="1">L6/B6</f>
        <v>177.53211117157144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16.001999999999999</v>
      </c>
      <c r="C7" s="156">
        <f ca="1">IF(OR('Données projet'!B10="",'Données projet'!C10="",'Données projet'!C10=0%),0,Calculateur!AN3)</f>
        <v>147.86588596077661</v>
      </c>
      <c r="D7" s="156">
        <f>IF(OR('Données projet'!B10="",'Données projet'!C10="",'Données projet'!C10=0%),0,Calculateur!AO3)</f>
        <v>228.19398518024298</v>
      </c>
      <c r="E7" s="156">
        <f t="shared" ref="E7:E15" ca="1" si="0">MIN(C7,D7)</f>
        <v>147.86588596077661</v>
      </c>
      <c r="F7" s="156">
        <f t="shared" ref="F7:F15" ca="1" si="1">E7*B7</f>
        <v>2366.1499071443473</v>
      </c>
      <c r="G7" s="156">
        <f ca="1">F7*(100%-'Données projet'!$C$24)*(100%-'Données projet'!$C$25)*(100%-'Données projet'!$C$26)*(100%-'Données projet'!$C$27)</f>
        <v>1810.1046789654258</v>
      </c>
      <c r="H7" s="164">
        <f>IF(OR('Données projet'!B10="",'Données projet'!C10="",'Données projet'!C10=0%),0,AVERAGE(Calculateur!$AX$3:$AX$33)*B7)</f>
        <v>86.425591997502892</v>
      </c>
      <c r="I7" s="158">
        <f>H7*(100%-'Données projet'!$C$24)*(100%-'Données projet'!$C$25)*(100%-'Données projet'!$C$26)*(100%-'Données projet'!$C$27)</f>
        <v>66.115577878089724</v>
      </c>
      <c r="J7" s="159">
        <f>IF(OR('Données projet'!B10="",'Données projet'!C10="",'Données projet'!C10=0%),0,SUM(Calculateur!$AQ$3:$AQ$33)*VLOOKUP('Données projet'!$B$10,Paramètres!$A$1:$I$89,9,0)*B7)</f>
        <v>1057.4121599999999</v>
      </c>
      <c r="K7" s="160">
        <f>J7*(100%-'Données projet'!$C$24)*(100%-'Données projet'!$C$25)*(100%-'Données projet'!$C$26)*(100%-'Données projet'!$C$27)</f>
        <v>808.92030239999985</v>
      </c>
      <c r="L7" s="161">
        <f t="shared" ref="L7:L15" ca="1" si="2">G7+I7+K7</f>
        <v>2685.1405592435153</v>
      </c>
      <c r="M7" s="25">
        <f ca="1">L7/B7</f>
        <v>167.80030991398047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6307.0343059077386</v>
      </c>
      <c r="G16" s="175">
        <f t="shared" ca="1" si="3"/>
        <v>4824.8812440194206</v>
      </c>
      <c r="H16" s="176">
        <f t="shared" si="3"/>
        <v>338.18975563739855</v>
      </c>
      <c r="I16" s="176">
        <f t="shared" si="3"/>
        <v>258.71516306260986</v>
      </c>
      <c r="J16" s="177">
        <f t="shared" si="3"/>
        <v>2898.0705600000001</v>
      </c>
      <c r="K16" s="177">
        <f t="shared" si="3"/>
        <v>2217.0239783999996</v>
      </c>
      <c r="L16" s="178">
        <f t="shared" ca="1" si="3"/>
        <v>7300.6203854820305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9" zoomScale="90" zoomScaleNormal="90" workbookViewId="0">
      <selection activeCell="H41" sqref="H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4205.7615022271521</v>
      </c>
      <c r="U10" s="190">
        <f>'Données projet'!D9</f>
        <v>25.998000000000001</v>
      </c>
      <c r="V10" s="189">
        <f>U10*T10</f>
        <v>109341.3875349015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2145.3670562173811</v>
      </c>
      <c r="U11" s="190">
        <f>'Données projet'!D10</f>
        <v>16.001999999999999</v>
      </c>
      <c r="V11" s="189">
        <f t="shared" ref="V11" si="0">U11*T11</f>
        <v>34330.163633590528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45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44.999999999999979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2024.9999999999991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2710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251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>
        <v>293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12</v>
      </c>
      <c r="D23" s="194">
        <f>B23*C23</f>
        <v>336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8979.8068814803555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18</v>
      </c>
      <c r="D24" s="194">
        <f t="shared" ref="D24:D42" si="2">B24*C24</f>
        <v>720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11733.869337748667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22</v>
      </c>
      <c r="D25" s="194">
        <f t="shared" si="2"/>
        <v>1144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-2754.0624562683115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27</v>
      </c>
      <c r="C54" s="204">
        <v>12</v>
      </c>
      <c r="D54" s="191">
        <f>B54*C54</f>
        <v>324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24</v>
      </c>
      <c r="B55" s="193">
        <f>'Données projet'!D63</f>
        <v>38</v>
      </c>
      <c r="C55" s="204">
        <v>18</v>
      </c>
      <c r="D55" s="191">
        <f t="shared" ref="D55:D73" si="4">B55*C55</f>
        <v>684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47</v>
      </c>
      <c r="C56" s="204">
        <v>22</v>
      </c>
      <c r="D56" s="191">
        <f t="shared" si="4"/>
        <v>1034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50</v>
      </c>
      <c r="C57" s="204">
        <v>30</v>
      </c>
      <c r="D57" s="191">
        <f t="shared" si="4"/>
        <v>1500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294</v>
      </c>
      <c r="C58" s="204">
        <v>45</v>
      </c>
      <c r="D58" s="191">
        <f t="shared" si="4"/>
        <v>13230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2024-03-19T10:45:41Z</dcterms:modified>
</cp:coreProperties>
</file>