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La course aux projets\CNPF C+for n° 194 Serain (Festival de Cannes n° 7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3" i="1" l="1"/>
  <c r="B283" i="1"/>
  <c r="B282" i="1"/>
  <c r="D281" i="1"/>
  <c r="B281" i="1"/>
  <c r="B280" i="1"/>
  <c r="D279" i="1"/>
  <c r="B279" i="1"/>
  <c r="B278" i="1"/>
  <c r="D277" i="1"/>
  <c r="B277" i="1"/>
  <c r="B276" i="1"/>
  <c r="D275" i="1"/>
  <c r="B275" i="1"/>
  <c r="B274" i="1"/>
  <c r="D273" i="1"/>
  <c r="B273" i="1"/>
  <c r="B272" i="1"/>
  <c r="D271" i="1"/>
  <c r="B271" i="1"/>
  <c r="B270" i="1"/>
  <c r="D198" i="1" l="1"/>
  <c r="B198" i="1"/>
  <c r="B197" i="1"/>
  <c r="D196" i="1"/>
  <c r="B196" i="1"/>
  <c r="B195" i="1"/>
  <c r="D194" i="1"/>
  <c r="B194" i="1"/>
  <c r="B193" i="1"/>
  <c r="B192" i="1"/>
  <c r="D246" i="1" l="1"/>
  <c r="B246" i="1"/>
  <c r="B245" i="1"/>
  <c r="D237" i="1"/>
  <c r="B237" i="1"/>
  <c r="D236" i="1"/>
  <c r="B236" i="1"/>
  <c r="D235" i="1"/>
  <c r="B235" i="1"/>
  <c r="D234" i="1"/>
  <c r="B234" i="1"/>
  <c r="D233" i="1"/>
  <c r="B233" i="1"/>
  <c r="D232" i="1"/>
  <c r="B232" i="1"/>
  <c r="D231" i="1"/>
  <c r="B231" i="1"/>
  <c r="B230" i="1"/>
  <c r="D229" i="1"/>
  <c r="B229" i="1"/>
  <c r="B228" i="1"/>
  <c r="D227" i="1"/>
  <c r="B227" i="1"/>
  <c r="B226" i="1"/>
  <c r="D225" i="1"/>
  <c r="B225" i="1"/>
  <c r="B224" i="1"/>
  <c r="D223" i="1"/>
  <c r="B223" i="1"/>
  <c r="B222" i="1"/>
  <c r="D221" i="1"/>
  <c r="B221" i="1"/>
  <c r="B220" i="1"/>
  <c r="D219" i="1"/>
  <c r="B219" i="1"/>
  <c r="B218" i="1"/>
  <c r="D81" i="1"/>
  <c r="B81" i="1"/>
  <c r="D80" i="1"/>
  <c r="B80" i="1"/>
  <c r="D79" i="1"/>
  <c r="B79" i="1"/>
  <c r="D78" i="1"/>
  <c r="B78" i="1"/>
  <c r="D77" i="1"/>
  <c r="B77" i="1"/>
  <c r="D76" i="1"/>
  <c r="B76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D63" i="1"/>
  <c r="B63" i="1"/>
  <c r="B62" i="1"/>
  <c r="D55" i="1"/>
  <c r="B55" i="1"/>
  <c r="D54" i="1"/>
  <c r="B54" i="1"/>
  <c r="D53" i="1"/>
  <c r="B53" i="1"/>
  <c r="D52" i="1"/>
  <c r="B52" i="1"/>
  <c r="D51" i="1"/>
  <c r="B51" i="1"/>
  <c r="D50" i="1"/>
  <c r="B50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B180" i="1"/>
  <c r="B179" i="1"/>
  <c r="D178" i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D168" i="1"/>
  <c r="B168" i="1"/>
  <c r="B167" i="1"/>
  <c r="B166" i="1"/>
  <c r="B128" i="1"/>
  <c r="B127" i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D116" i="1"/>
  <c r="B116" i="1"/>
  <c r="B115" i="1"/>
  <c r="B114" i="1"/>
  <c r="D102" i="1" l="1"/>
  <c r="B102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8" i="1"/>
  <c r="B89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D153" i="1"/>
  <c r="D151" i="1"/>
  <c r="D149" i="1"/>
  <c r="D147" i="1"/>
  <c r="D145" i="1"/>
  <c r="D143" i="1"/>
  <c r="D141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B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V7" i="2"/>
  <c r="EX7" i="2"/>
  <c r="EA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EV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HH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B22" i="2"/>
  <c r="HG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HG38" i="2"/>
  <c r="HI38" i="2"/>
  <c r="HH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G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HI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HI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H130" i="2"/>
  <c r="HI130" i="2"/>
  <c r="HG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DI154" i="2"/>
  <c r="HG155" i="2"/>
  <c r="HH155" i="2"/>
  <c r="EW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HH156" i="2"/>
  <c r="HG156" i="2"/>
  <c r="HI156" i="2"/>
  <c r="FS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C157" i="2"/>
  <c r="EB157" i="2"/>
  <c r="HG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FS160" i="2"/>
  <c r="EC160" i="2"/>
  <c r="DG160" i="2"/>
  <c r="HI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HH161" i="2"/>
  <c r="ED160" i="2"/>
  <c r="HG161" i="2"/>
  <c r="EX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EB162" i="2"/>
  <c r="HG162" i="2"/>
  <c r="EW162" i="2"/>
  <c r="EY161" i="2"/>
  <c r="DI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Y162" i="2"/>
  <c r="ED162" i="2"/>
  <c r="EB163" i="2"/>
  <c r="HG163" i="2"/>
  <c r="HI163" i="2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HH164" i="2"/>
  <c r="EY163" i="2"/>
  <c r="EA164" i="2"/>
  <c r="FR164" i="2"/>
  <c r="FS164" i="2"/>
  <c r="EX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DG167" i="2"/>
  <c r="HH167" i="2"/>
  <c r="HI167" i="2"/>
  <c r="FR167" i="2"/>
  <c r="EX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HH168" i="2"/>
  <c r="EW168" i="2"/>
  <c r="EV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G172" i="2"/>
  <c r="HI172" i="2"/>
  <c r="EW172" i="2"/>
  <c r="EV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D174" i="2"/>
  <c r="EB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HH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W178" i="2"/>
  <c r="FQ178" i="2"/>
  <c r="HG178" i="2"/>
  <c r="HH178" i="2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HH179" i="2"/>
  <c r="HI179" i="2"/>
  <c r="HG179" i="2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HH185" i="2"/>
  <c r="HG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EB186" i="2"/>
  <c r="EA186" i="2"/>
  <c r="HH186" i="2"/>
  <c r="HG186" i="2"/>
  <c r="FR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HH189" i="2"/>
  <c r="EV189" i="2"/>
  <c r="EB189" i="2"/>
  <c r="EC189" i="2"/>
  <c r="FS189" i="2"/>
  <c r="HI189" i="2"/>
  <c r="EX189" i="2"/>
  <c r="EY189" i="2" s="1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W190" i="2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HG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EC192" i="2"/>
  <c r="EA192" i="2"/>
  <c r="EB192" i="2"/>
  <c r="HG192" i="2"/>
  <c r="HI192" i="2"/>
  <c r="EV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HI193" i="2" l="1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I194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HI195" i="2"/>
  <c r="HG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FS197" i="2"/>
  <c r="HG197" i="2"/>
  <c r="HH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B199" i="2"/>
  <c r="HH199" i="2"/>
  <c r="HG199" i="2"/>
  <c r="HJ199" i="2" s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HG202" i="2"/>
  <c r="EX202" i="2"/>
  <c r="FR202" i="2"/>
  <c r="ED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HG203" i="2" l="1"/>
  <c r="FY57" i="2" a="1"/>
  <c r="FY57" i="2" s="1"/>
  <c r="FY54" i="2" a="1"/>
  <c r="FY54" i="2" s="1"/>
  <c r="FY109" i="2" a="1"/>
  <c r="FY109" i="2" s="1"/>
  <c r="FY79" i="2" a="1"/>
  <c r="FY79" i="2" s="1"/>
  <c r="FY47" i="2" a="1"/>
  <c r="FY47" i="2" s="1"/>
  <c r="FY22" i="2" a="1"/>
  <c r="FY22" i="2" s="1"/>
  <c r="FY90" i="2" a="1"/>
  <c r="FY90" i="2" s="1"/>
  <c r="BC32" i="2" a="1"/>
  <c r="BC32" i="2" s="1"/>
  <c r="BC18" i="2" a="1"/>
  <c r="BC18" i="2" s="1"/>
  <c r="BC38" i="2" a="1"/>
  <c r="BC38" i="2" s="1"/>
  <c r="BC126" i="2" a="1"/>
  <c r="BC126" i="2" s="1"/>
  <c r="BC82" i="2" a="1"/>
  <c r="BC82" i="2" s="1"/>
  <c r="BC84" i="2" a="1"/>
  <c r="BC84" i="2" s="1"/>
  <c r="BC31" i="2" a="1"/>
  <c r="BC31" i="2" s="1"/>
  <c r="BC114" i="2" a="1"/>
  <c r="BC114" i="2" s="1"/>
  <c r="BC83" i="2" a="1"/>
  <c r="BC83" i="2" s="1"/>
  <c r="BC164" i="2" a="1"/>
  <c r="BC164" i="2" s="1"/>
  <c r="BC47" i="2" a="1"/>
  <c r="BC47" i="2" s="1"/>
  <c r="BC151" i="2" a="1"/>
  <c r="BC151" i="2" s="1"/>
  <c r="BC192" i="2" a="1"/>
  <c r="BC192" i="2" s="1"/>
  <c r="BC68" i="2" a="1"/>
  <c r="BC68" i="2" s="1"/>
  <c r="BC55" i="2" a="1"/>
  <c r="BC55" i="2" s="1"/>
  <c r="BC117" i="2" a="1"/>
  <c r="BC117" i="2" s="1"/>
  <c r="BC58" i="2" a="1"/>
  <c r="BC58" i="2" s="1"/>
  <c r="BC7" i="2" a="1"/>
  <c r="BC7" i="2" s="1"/>
  <c r="BC130" i="2" a="1"/>
  <c r="BC130" i="2" s="1"/>
  <c r="BC181" i="2" a="1"/>
  <c r="BC181" i="2" s="1"/>
  <c r="BC34" i="2" a="1"/>
  <c r="BC34" i="2" s="1"/>
  <c r="BC185" i="2" a="1"/>
  <c r="BC185" i="2" s="1"/>
  <c r="BC143" i="2" a="1"/>
  <c r="BC143" i="2" s="1"/>
  <c r="BC65" i="2" a="1"/>
  <c r="BC65" i="2" s="1"/>
  <c r="BX107" i="2" a="1"/>
  <c r="BX107" i="2" s="1"/>
  <c r="CS72" i="2" a="1"/>
  <c r="CS72" i="2" s="1"/>
  <c r="CS134" i="2" a="1"/>
  <c r="CS134" i="2" s="1"/>
  <c r="CS38" i="2" a="1"/>
  <c r="CS38" i="2" s="1"/>
  <c r="CS56" i="2" a="1"/>
  <c r="CS56" i="2" s="1"/>
  <c r="CS137" i="2" a="1"/>
  <c r="CS137" i="2" s="1"/>
  <c r="CS129" i="2" a="1"/>
  <c r="CS129" i="2" s="1"/>
  <c r="CS52" i="2" a="1"/>
  <c r="CS52" i="2" s="1"/>
  <c r="CS114" i="2" a="1"/>
  <c r="CS114" i="2" s="1"/>
  <c r="CS116" i="2" a="1"/>
  <c r="CS116" i="2" s="1"/>
  <c r="CS66" i="2" a="1"/>
  <c r="CS66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E11" i="2" l="1"/>
  <c r="GE141" i="2"/>
  <c r="GE122" i="2"/>
  <c r="GE31" i="2"/>
  <c r="GE179" i="2"/>
  <c r="GE178" i="2"/>
  <c r="GE43" i="2"/>
  <c r="GE81" i="2"/>
  <c r="GE199" i="2"/>
  <c r="GE21" i="2"/>
  <c r="GE23" i="2"/>
  <c r="GE148" i="2"/>
  <c r="GE25" i="2"/>
  <c r="GE195" i="2"/>
  <c r="GE68" i="2"/>
  <c r="GE172" i="2"/>
  <c r="GE167" i="2"/>
  <c r="GE121" i="2"/>
  <c r="GE161" i="2"/>
  <c r="GE185" i="2"/>
  <c r="GE55" i="2"/>
  <c r="GE61" i="2"/>
  <c r="GE189" i="2"/>
  <c r="GE112" i="2"/>
  <c r="GE143" i="2"/>
  <c r="GE192" i="2"/>
  <c r="GE176" i="2"/>
  <c r="GE188" i="2"/>
  <c r="GE14" i="2"/>
  <c r="GE3" i="2"/>
  <c r="C14" i="4" s="1"/>
  <c r="E14" i="4" s="1"/>
  <c r="F14" i="4" s="1"/>
  <c r="G14" i="4" s="1"/>
  <c r="L14" i="4" s="1"/>
  <c r="GE92" i="2"/>
  <c r="GE164" i="2"/>
  <c r="GE24" i="2"/>
  <c r="GE56" i="2"/>
  <c r="GE62" i="2"/>
  <c r="GE28" i="2"/>
  <c r="GE38" i="2"/>
  <c r="GE42" i="2"/>
  <c r="GE136" i="2"/>
  <c r="GE6" i="2"/>
  <c r="GE150" i="2"/>
  <c r="GE105" i="2"/>
  <c r="GE16" i="2"/>
  <c r="GE48" i="2"/>
  <c r="GE190" i="2"/>
  <c r="GE133" i="2"/>
  <c r="GE83" i="2"/>
  <c r="GE4" i="2"/>
  <c r="GE102" i="2"/>
  <c r="GE45" i="2"/>
  <c r="GE98" i="2"/>
  <c r="GE168" i="2"/>
  <c r="GE170" i="2"/>
  <c r="GE194" i="2"/>
  <c r="GE129" i="2"/>
  <c r="GE74" i="2"/>
  <c r="GE132" i="2"/>
  <c r="GE159" i="2"/>
  <c r="GE87" i="2"/>
  <c r="GE64" i="2"/>
  <c r="GE110" i="2"/>
  <c r="GE44" i="2"/>
  <c r="GE186" i="2"/>
  <c r="GE101" i="2"/>
  <c r="GE47" i="2"/>
  <c r="GE183" i="2"/>
  <c r="GE175" i="2"/>
  <c r="GE184" i="2"/>
  <c r="GE51" i="2"/>
  <c r="GE93" i="2"/>
  <c r="GE79" i="2"/>
  <c r="GE27" i="2"/>
  <c r="GE18" i="2"/>
  <c r="GE134" i="2"/>
  <c r="GE114" i="2"/>
  <c r="GE22" i="2"/>
  <c r="GE180" i="2"/>
  <c r="GE104" i="2"/>
  <c r="GE166" i="2"/>
  <c r="GE13" i="2"/>
  <c r="GE70" i="2"/>
  <c r="GE26" i="2"/>
  <c r="GE109" i="2"/>
  <c r="GE85" i="2"/>
  <c r="GE108" i="2"/>
  <c r="GE35" i="2"/>
  <c r="GE182" i="2"/>
  <c r="GE142" i="2"/>
  <c r="GE193" i="2"/>
  <c r="GE80" i="2"/>
  <c r="GE65" i="2"/>
  <c r="GE160" i="2"/>
  <c r="GE40" i="2"/>
  <c r="GE187" i="2"/>
  <c r="GE130" i="2"/>
  <c r="GE128" i="2"/>
  <c r="GE9" i="2"/>
  <c r="GE96" i="2"/>
  <c r="GE131" i="2"/>
  <c r="GE94" i="2"/>
  <c r="GE107" i="2"/>
  <c r="GE5" i="2"/>
  <c r="GE113" i="2"/>
  <c r="GE8" i="2"/>
  <c r="GE53" i="2"/>
  <c r="GE200" i="2"/>
  <c r="GE157" i="2"/>
  <c r="GE66" i="2"/>
  <c r="GE34" i="2"/>
  <c r="GE117" i="2"/>
  <c r="GE76" i="2"/>
  <c r="GE63" i="2"/>
  <c r="GE15" i="2"/>
  <c r="GE201" i="2"/>
  <c r="GE60" i="2"/>
  <c r="GE165" i="2"/>
  <c r="GE174" i="2"/>
  <c r="GE17" i="2"/>
  <c r="GE126" i="2"/>
  <c r="GE36" i="2"/>
  <c r="GE123" i="2"/>
  <c r="GE72" i="2"/>
  <c r="GE41" i="2"/>
  <c r="GE59" i="2"/>
  <c r="GE88" i="2"/>
  <c r="GE127" i="2"/>
  <c r="GE171" i="2"/>
  <c r="GE103" i="2"/>
  <c r="GE198" i="2"/>
  <c r="GE202" i="2"/>
  <c r="GE155" i="2"/>
  <c r="GE57" i="2"/>
  <c r="GE163" i="2"/>
  <c r="GE86" i="2"/>
  <c r="GE154" i="2"/>
  <c r="GE135" i="2"/>
  <c r="GE197" i="2"/>
  <c r="GE139" i="2"/>
  <c r="GE99" i="2"/>
  <c r="GE91" i="2"/>
  <c r="GE138" i="2"/>
  <c r="GE181" i="2"/>
  <c r="GE191" i="2"/>
  <c r="GE144" i="2"/>
  <c r="GE73" i="2"/>
  <c r="GE75" i="2"/>
  <c r="GE196" i="2"/>
  <c r="GE125" i="2"/>
  <c r="GE106" i="2"/>
  <c r="GE20" i="2"/>
  <c r="GE173" i="2"/>
  <c r="GE153" i="2"/>
  <c r="GE151" i="2"/>
  <c r="GE177" i="2"/>
  <c r="GE152" i="2"/>
  <c r="GE52" i="2"/>
  <c r="GE100" i="2"/>
  <c r="GE97" i="2"/>
  <c r="GE119" i="2"/>
  <c r="GE32" i="2"/>
  <c r="GE39" i="2"/>
  <c r="GE140" i="2"/>
  <c r="GE78" i="2"/>
  <c r="GE12" i="2"/>
  <c r="GE146" i="2"/>
  <c r="GE54" i="2"/>
  <c r="GE10" i="2"/>
  <c r="GE37" i="2"/>
  <c r="GE7" i="2"/>
  <c r="GE147" i="2"/>
  <c r="GE49" i="2"/>
  <c r="GE137" i="2"/>
  <c r="GE77" i="2"/>
  <c r="GE69" i="2"/>
  <c r="GE169" i="2"/>
  <c r="GE33" i="2"/>
  <c r="GE89" i="2"/>
  <c r="GE158" i="2"/>
  <c r="GE84" i="2"/>
  <c r="GE82" i="2"/>
  <c r="GE67" i="2"/>
  <c r="GE58" i="2"/>
  <c r="GE145" i="2"/>
  <c r="GE156" i="2"/>
  <c r="GE115" i="2"/>
  <c r="GE30" i="2"/>
  <c r="GE149" i="2"/>
  <c r="GE29" i="2"/>
  <c r="GE162" i="2"/>
  <c r="GE203" i="2"/>
  <c r="GE90" i="2"/>
  <c r="GE95" i="2"/>
  <c r="GE116" i="2"/>
  <c r="GE118" i="2"/>
  <c r="GE120" i="2"/>
  <c r="GE71" i="2"/>
  <c r="GE46" i="2"/>
  <c r="GE111" i="2"/>
  <c r="GE124" i="2"/>
  <c r="GE19" i="2"/>
  <c r="GE50" i="2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156" i="2" l="1"/>
  <c r="FJ145" i="2"/>
  <c r="FJ196" i="2"/>
  <c r="FJ184" i="2"/>
  <c r="FJ94" i="2"/>
  <c r="FJ132" i="2"/>
  <c r="FJ109" i="2"/>
  <c r="FJ114" i="2"/>
  <c r="FJ52" i="2"/>
  <c r="FJ115" i="2"/>
  <c r="FJ149" i="2"/>
  <c r="FJ51" i="2"/>
  <c r="FJ38" i="2"/>
  <c r="FJ159" i="2"/>
  <c r="FJ165" i="2"/>
  <c r="FJ195" i="2"/>
  <c r="FJ26" i="2"/>
  <c r="FJ161" i="2"/>
  <c r="FJ143" i="2"/>
  <c r="FJ22" i="2"/>
  <c r="FJ140" i="2"/>
  <c r="FJ153" i="2"/>
  <c r="FJ47" i="2"/>
  <c r="FJ84" i="2"/>
  <c r="FJ88" i="2"/>
  <c r="FJ180" i="2"/>
  <c r="FJ100" i="2"/>
  <c r="FJ96" i="2"/>
  <c r="FJ147" i="2"/>
  <c r="FJ178" i="2"/>
  <c r="FJ4" i="2"/>
  <c r="FJ171" i="2"/>
  <c r="FJ194" i="2"/>
  <c r="FJ64" i="2"/>
  <c r="FJ189" i="2"/>
  <c r="FJ160" i="2"/>
  <c r="FJ104" i="2"/>
  <c r="FJ151" i="2"/>
  <c r="FJ169" i="2"/>
  <c r="FJ31" i="2"/>
  <c r="FJ83" i="2"/>
  <c r="FJ199" i="2"/>
  <c r="FJ141" i="2"/>
  <c r="FJ108" i="2"/>
  <c r="FJ152" i="2"/>
  <c r="FJ45" i="2"/>
  <c r="FJ76" i="2"/>
  <c r="FJ110" i="2"/>
  <c r="FJ28" i="2"/>
  <c r="FJ173" i="2"/>
  <c r="FJ182" i="2"/>
  <c r="FJ20" i="2"/>
  <c r="FJ130" i="2"/>
  <c r="FJ179" i="2"/>
  <c r="FJ111" i="2"/>
  <c r="FJ65" i="2"/>
  <c r="FJ193" i="2"/>
  <c r="FJ137" i="2"/>
  <c r="FJ40" i="2"/>
  <c r="FJ57" i="2"/>
  <c r="FJ122" i="2"/>
  <c r="FJ75" i="2"/>
  <c r="FJ187" i="2"/>
  <c r="FJ46" i="2"/>
  <c r="FJ105" i="2"/>
  <c r="FJ125" i="2"/>
  <c r="FJ97" i="2"/>
  <c r="FJ59" i="2"/>
  <c r="FJ15" i="2"/>
  <c r="FJ85" i="2"/>
  <c r="FJ80" i="2"/>
  <c r="FJ8" i="2"/>
  <c r="FJ81" i="2"/>
  <c r="FJ135" i="2"/>
  <c r="FJ18" i="2"/>
  <c r="FJ116" i="2"/>
  <c r="FJ14" i="2"/>
  <c r="FJ41" i="2"/>
  <c r="FJ30" i="2"/>
  <c r="FJ89" i="2"/>
  <c r="FJ12" i="2"/>
  <c r="FJ121" i="2"/>
  <c r="FJ42" i="2"/>
  <c r="FJ128" i="2"/>
  <c r="FJ118" i="2"/>
  <c r="FJ19" i="2"/>
  <c r="FJ101" i="2"/>
  <c r="FJ106" i="2"/>
  <c r="FJ131" i="2"/>
  <c r="FJ112" i="2"/>
  <c r="FJ77" i="2"/>
  <c r="FJ168" i="2"/>
  <c r="FJ154" i="2"/>
  <c r="FJ191" i="2"/>
  <c r="FJ10" i="2"/>
  <c r="FJ56" i="2"/>
  <c r="FJ127" i="2"/>
  <c r="FJ36" i="2"/>
  <c r="FJ39" i="2"/>
  <c r="FJ86" i="2"/>
  <c r="FJ142" i="2"/>
  <c r="FJ148" i="2"/>
  <c r="FJ183" i="2"/>
  <c r="FJ102" i="2"/>
  <c r="FJ150" i="2"/>
  <c r="FJ60" i="2"/>
  <c r="FJ163" i="2"/>
  <c r="FJ181" i="2"/>
  <c r="FJ172" i="2"/>
  <c r="FJ117" i="2"/>
  <c r="FJ138" i="2"/>
  <c r="FJ71" i="2"/>
  <c r="FJ103" i="2"/>
  <c r="FJ107" i="2"/>
  <c r="FJ66" i="2"/>
  <c r="FJ124" i="2"/>
  <c r="FJ33" i="2"/>
  <c r="FJ91" i="2"/>
  <c r="FJ55" i="2"/>
  <c r="FJ69" i="2"/>
  <c r="FJ202" i="2"/>
  <c r="FJ164" i="2"/>
  <c r="FJ166" i="2"/>
  <c r="FJ25" i="2"/>
  <c r="FJ174" i="2"/>
  <c r="FJ185" i="2"/>
  <c r="FJ146" i="2"/>
  <c r="FJ5" i="2"/>
  <c r="FJ62" i="2"/>
  <c r="FJ13" i="2"/>
  <c r="FJ133" i="2"/>
  <c r="FJ134" i="2"/>
  <c r="FJ67" i="2"/>
  <c r="FJ197" i="2"/>
  <c r="FJ79" i="2"/>
  <c r="FJ21" i="2"/>
  <c r="FJ61" i="2"/>
  <c r="FJ9" i="2"/>
  <c r="FJ73" i="2"/>
  <c r="FJ190" i="2"/>
  <c r="FJ11" i="2"/>
  <c r="FJ177" i="2"/>
  <c r="FJ58" i="2"/>
  <c r="FJ7" i="2"/>
  <c r="FJ17" i="2"/>
  <c r="FJ74" i="2"/>
  <c r="FJ70" i="2"/>
  <c r="FJ99" i="2"/>
  <c r="FJ35" i="2"/>
  <c r="FJ48" i="2"/>
  <c r="FJ87" i="2"/>
  <c r="FJ113" i="2"/>
  <c r="FJ162" i="2"/>
  <c r="FJ157" i="2"/>
  <c r="FJ63" i="2"/>
  <c r="FJ175" i="2"/>
  <c r="FJ27" i="2"/>
  <c r="FJ186" i="2"/>
  <c r="FJ170" i="2"/>
  <c r="FJ98" i="2"/>
  <c r="FJ54" i="2"/>
  <c r="FJ188" i="2"/>
  <c r="FJ23" i="2"/>
  <c r="FJ155" i="2"/>
  <c r="FJ34" i="2"/>
  <c r="FJ93" i="2"/>
  <c r="FJ50" i="2"/>
  <c r="FJ136" i="2"/>
  <c r="FJ16" i="2"/>
  <c r="FJ3" i="2"/>
  <c r="C13" i="4" s="1"/>
  <c r="E13" i="4" s="1"/>
  <c r="F13" i="4" s="1"/>
  <c r="G13" i="4" s="1"/>
  <c r="L13" i="4" s="1"/>
  <c r="FJ126" i="2"/>
  <c r="FJ78" i="2"/>
  <c r="FJ53" i="2"/>
  <c r="FJ24" i="2"/>
  <c r="FJ32" i="2"/>
  <c r="FJ37" i="2"/>
  <c r="FJ200" i="2"/>
  <c r="FJ144" i="2"/>
  <c r="FJ49" i="2"/>
  <c r="FJ176" i="2"/>
  <c r="FJ123" i="2"/>
  <c r="FJ203" i="2"/>
  <c r="FJ139" i="2"/>
  <c r="FJ92" i="2"/>
  <c r="FJ119" i="2"/>
  <c r="FJ120" i="2"/>
  <c r="FJ192" i="2"/>
  <c r="FJ44" i="2"/>
  <c r="FJ167" i="2"/>
  <c r="FJ90" i="2"/>
  <c r="FJ43" i="2"/>
  <c r="FJ82" i="2"/>
  <c r="FJ72" i="2"/>
  <c r="FJ68" i="2"/>
  <c r="FJ95" i="2"/>
  <c r="FJ198" i="2"/>
  <c r="FJ29" i="2"/>
  <c r="FJ129" i="2"/>
  <c r="FJ201" i="2"/>
  <c r="FJ6" i="2"/>
  <c r="FJ15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<sst xmlns="http://schemas.openxmlformats.org/spreadsheetml/2006/main" count="1179" uniqueCount="324">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</sst>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630.8975046307105</c:v>
                </c:pt>
                <c:pt idx="82">
                  <c:v>637.38123339273841</c:v>
                </c:pt>
                <c:pt idx="83">
                  <c:v>643.86359958648598</c:v>
                </c:pt>
                <c:pt idx="84">
                  <c:v>650.34461886630652</c:v>
                </c:pt>
                <c:pt idx="85">
                  <c:v>656.82430654907148</c:v>
                </c:pt>
                <c:pt idx="86">
                  <c:v>663.30267762477627</c:v>
                </c:pt>
                <c:pt idx="87">
                  <c:v>669.77974676670863</c:v>
                </c:pt>
                <c:pt idx="88">
                  <c:v>676.25552834120549</c:v>
                </c:pt>
                <c:pt idx="89">
                  <c:v>682.73003641701519</c:v>
                </c:pt>
                <c:pt idx="90">
                  <c:v>689.20328477428632</c:v>
                </c:pt>
                <c:pt idx="91">
                  <c:v>594.44810225296612</c:v>
                </c:pt>
                <c:pt idx="92">
                  <c:v>606.47567200029607</c:v>
                </c:pt>
                <c:pt idx="93">
                  <c:v>618.49829000291663</c:v>
                </c:pt>
                <c:pt idx="94">
                  <c:v>630.51606604803283</c:v>
                </c:pt>
                <c:pt idx="95">
                  <c:v>642.52910539795459</c:v>
                </c:pt>
                <c:pt idx="96">
                  <c:v>654.53750905947902</c:v>
                </c:pt>
                <c:pt idx="97">
                  <c:v>666.54137403248535</c:v>
                </c:pt>
                <c:pt idx="98">
                  <c:v>678.54079353970053</c:v>
                </c:pt>
                <c:pt idx="99">
                  <c:v>690.53585723937306</c:v>
                </c:pt>
                <c:pt idx="100">
                  <c:v>702.52665142241437</c:v>
                </c:pt>
                <c:pt idx="101">
                  <c:v>607.62089481714156</c:v>
                </c:pt>
                <c:pt idx="102">
                  <c:v>617.5442922766041</c:v>
                </c:pt>
                <c:pt idx="103">
                  <c:v>627.46438526884378</c:v>
                </c:pt>
                <c:pt idx="104">
                  <c:v>637.38123339273818</c:v>
                </c:pt>
                <c:pt idx="105">
                  <c:v>647.29489424172436</c:v>
                </c:pt>
                <c:pt idx="106">
                  <c:v>657.20542350161361</c:v>
                </c:pt>
                <c:pt idx="107">
                  <c:v>667.11287504220047</c:v>
                </c:pt>
                <c:pt idx="108">
                  <c:v>677.01730100315001</c:v>
                </c:pt>
                <c:pt idx="109">
                  <c:v>686.91875187459846</c:v>
                </c:pt>
                <c:pt idx="110">
                  <c:v>696.81727657286831</c:v>
                </c:pt>
                <c:pt idx="111">
                  <c:v>608.19348941446731</c:v>
                </c:pt>
                <c:pt idx="112">
                  <c:v>616.78107210210862</c:v>
                </c:pt>
                <c:pt idx="113">
                  <c:v>625.36617664098833</c:v>
                </c:pt>
                <c:pt idx="114">
                  <c:v>633.94884184663977</c:v>
                </c:pt>
                <c:pt idx="115">
                  <c:v>642.52910539795437</c:v>
                </c:pt>
                <c:pt idx="116">
                  <c:v>651.10700388552482</c:v>
                </c:pt>
                <c:pt idx="117">
                  <c:v>659.68257285730908</c:v>
                </c:pt>
                <c:pt idx="118">
                  <c:v>668.25584686179945</c:v>
                </c:pt>
                <c:pt idx="119">
                  <c:v>676.82685948885739</c:v>
                </c:pt>
                <c:pt idx="120">
                  <c:v>685.39564340837785</c:v>
                </c:pt>
                <c:pt idx="121">
                  <c:v>603.80331060916126</c:v>
                </c:pt>
                <c:pt idx="122">
                  <c:v>611.81966247182015</c:v>
                </c:pt>
                <c:pt idx="123">
                  <c:v>619.83383559808965</c:v>
                </c:pt>
                <c:pt idx="124">
                  <c:v>627.84586213083367</c:v>
                </c:pt>
                <c:pt idx="125">
                  <c:v>635.85577332565299</c:v>
                </c:pt>
                <c:pt idx="126">
                  <c:v>643.86359958648563</c:v>
                </c:pt>
                <c:pt idx="127">
                  <c:v>651.86937049934534</c:v>
                </c:pt>
                <c:pt idx="128">
                  <c:v>659.87311486431622</c:v>
                </c:pt>
                <c:pt idx="129">
                  <c:v>667.874860725914</c:v>
                </c:pt>
                <c:pt idx="130">
                  <c:v>675.87463540191857</c:v>
                </c:pt>
                <c:pt idx="131">
                  <c:v>599.22154722155699</c:v>
                </c:pt>
                <c:pt idx="132">
                  <c:v>606.47567200029584</c:v>
                </c:pt>
                <c:pt idx="133">
                  <c:v>613.72799533010118</c:v>
                </c:pt>
                <c:pt idx="134">
                  <c:v>620.97854150271417</c:v>
                </c:pt>
                <c:pt idx="135">
                  <c:v>628.22733419629958</c:v>
                </c:pt>
                <c:pt idx="136">
                  <c:v>635.47439649799776</c:v>
                </c:pt>
                <c:pt idx="137">
                  <c:v>642.71975092539503</c:v>
                </c:pt>
                <c:pt idx="138">
                  <c:v>649.96341944697531</c:v>
                </c:pt>
                <c:pt idx="139">
                  <c:v>657.20542350161361</c:v>
                </c:pt>
                <c:pt idx="140">
                  <c:v>664.44578401716353</c:v>
                </c:pt>
                <c:pt idx="141">
                  <c:v>592.92043173039792</c:v>
                </c:pt>
                <c:pt idx="142">
                  <c:v>599.60338857466684</c:v>
                </c:pt>
                <c:pt idx="143">
                  <c:v>606.2847971671705</c:v>
                </c:pt>
                <c:pt idx="144">
                  <c:v>612.96467697950163</c:v>
                </c:pt>
                <c:pt idx="145">
                  <c:v>619.64304702417724</c:v>
                </c:pt>
                <c:pt idx="146">
                  <c:v>626.31992587040429</c:v>
                </c:pt>
                <c:pt idx="147">
                  <c:v>632.99533165913135</c:v>
                </c:pt>
                <c:pt idx="148">
                  <c:v>639.66928211743868</c:v>
                </c:pt>
                <c:pt idx="149">
                  <c:v>646.34179457229197</c:v>
                </c:pt>
                <c:pt idx="150">
                  <c:v>653.01288596370046</c:v>
                </c:pt>
                <c:pt idx="151">
                  <c:v>582.41546615645075</c:v>
                </c:pt>
                <c:pt idx="152">
                  <c:v>582.41546615645075</c:v>
                </c:pt>
                <c:pt idx="153">
                  <c:v>582.41546615645075</c:v>
                </c:pt>
                <c:pt idx="154">
                  <c:v>582.41546615645075</c:v>
                </c:pt>
                <c:pt idx="155">
                  <c:v>582.41546615645075</c:v>
                </c:pt>
                <c:pt idx="156">
                  <c:v>582.41546615645075</c:v>
                </c:pt>
                <c:pt idx="157">
                  <c:v>582.41546615645075</c:v>
                </c:pt>
                <c:pt idx="158">
                  <c:v>582.41546615645075</c:v>
                </c:pt>
                <c:pt idx="159">
                  <c:v>582.41546615645075</c:v>
                </c:pt>
                <c:pt idx="160">
                  <c:v>582.41546615645075</c:v>
                </c:pt>
                <c:pt idx="161">
                  <c:v>582.41546615645075</c:v>
                </c:pt>
                <c:pt idx="162">
                  <c:v>582.41546615645075</c:v>
                </c:pt>
                <c:pt idx="163">
                  <c:v>582.41546615645075</c:v>
                </c:pt>
                <c:pt idx="164">
                  <c:v>582.41546615645075</c:v>
                </c:pt>
                <c:pt idx="165">
                  <c:v>582.41546615645075</c:v>
                </c:pt>
                <c:pt idx="166">
                  <c:v>582.41546615645075</c:v>
                </c:pt>
                <c:pt idx="167">
                  <c:v>582.41546615645075</c:v>
                </c:pt>
                <c:pt idx="168">
                  <c:v>582.41546615645075</c:v>
                </c:pt>
                <c:pt idx="169">
                  <c:v>582.41546615645075</c:v>
                </c:pt>
                <c:pt idx="170">
                  <c:v>582.41546615645075</c:v>
                </c:pt>
                <c:pt idx="171">
                  <c:v>582.41546615645075</c:v>
                </c:pt>
                <c:pt idx="172">
                  <c:v>582.41546615645075</c:v>
                </c:pt>
                <c:pt idx="173">
                  <c:v>582.41546615645075</c:v>
                </c:pt>
                <c:pt idx="174">
                  <c:v>582.41546615645075</c:v>
                </c:pt>
                <c:pt idx="175">
                  <c:v>582.41546615645075</c:v>
                </c:pt>
                <c:pt idx="176">
                  <c:v>582.41546615645075</c:v>
                </c:pt>
                <c:pt idx="177">
                  <c:v>582.41546615645075</c:v>
                </c:pt>
                <c:pt idx="178">
                  <c:v>582.41546615645075</c:v>
                </c:pt>
                <c:pt idx="179">
                  <c:v>582.41546615645075</c:v>
                </c:pt>
                <c:pt idx="180">
                  <c:v>582.41546615645075</c:v>
                </c:pt>
                <c:pt idx="181">
                  <c:v>582.41546615645075</c:v>
                </c:pt>
                <c:pt idx="182">
                  <c:v>582.41546615645075</c:v>
                </c:pt>
                <c:pt idx="183">
                  <c:v>582.41546615645075</c:v>
                </c:pt>
                <c:pt idx="184">
                  <c:v>582.41546615645075</c:v>
                </c:pt>
                <c:pt idx="185">
                  <c:v>582.41546615645075</c:v>
                </c:pt>
                <c:pt idx="186">
                  <c:v>582.41546615645075</c:v>
                </c:pt>
                <c:pt idx="187">
                  <c:v>582.41546615645075</c:v>
                </c:pt>
                <c:pt idx="188">
                  <c:v>582.41546615645075</c:v>
                </c:pt>
                <c:pt idx="189">
                  <c:v>582.41546615645075</c:v>
                </c:pt>
                <c:pt idx="190">
                  <c:v>582.41546615645075</c:v>
                </c:pt>
                <c:pt idx="191">
                  <c:v>582.41546615645075</c:v>
                </c:pt>
                <c:pt idx="192">
                  <c:v>582.41546615645075</c:v>
                </c:pt>
                <c:pt idx="193">
                  <c:v>582.41546615645075</c:v>
                </c:pt>
                <c:pt idx="194">
                  <c:v>582.41546615645075</c:v>
                </c:pt>
                <c:pt idx="195">
                  <c:v>582.41546615645075</c:v>
                </c:pt>
                <c:pt idx="196">
                  <c:v>582.41546615645075</c:v>
                </c:pt>
                <c:pt idx="197">
                  <c:v>582.41546615645075</c:v>
                </c:pt>
                <c:pt idx="198">
                  <c:v>582.41546615645075</c:v>
                </c:pt>
                <c:pt idx="199">
                  <c:v>582.41546615645075</c:v>
                </c:pt>
                <c:pt idx="200">
                  <c:v>582.41546615645075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6626384"/>
        <c:axId val="-354982048"/>
      </c:scatterChart>
      <c:valAx>
        <c:axId val="-106626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2048"/>
        <c:crosses val="autoZero"/>
        <c:crossBetween val="midCat"/>
      </c:valAx>
      <c:valAx>
        <c:axId val="-35498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26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2.3838405188329927</c:v>
                </c:pt>
                <c:pt idx="2">
                  <c:v>3.2814354120312434</c:v>
                </c:pt>
                <c:pt idx="3">
                  <c:v>4.5184416668343035</c:v>
                </c:pt>
                <c:pt idx="4">
                  <c:v>6.2237134506951959</c:v>
                </c:pt>
                <c:pt idx="5">
                  <c:v>8.5752041428476442</c:v>
                </c:pt>
                <c:pt idx="6">
                  <c:v>11.818739178387807</c:v>
                </c:pt>
                <c:pt idx="7">
                  <c:v>16.293989034362514</c:v>
                </c:pt>
                <c:pt idx="8">
                  <c:v>22.470411760451736</c:v>
                </c:pt>
                <c:pt idx="9">
                  <c:v>30.997002400327091</c:v>
                </c:pt>
                <c:pt idx="10">
                  <c:v>42.771167371304301</c:v>
                </c:pt>
                <c:pt idx="11">
                  <c:v>55.093353157740296</c:v>
                </c:pt>
                <c:pt idx="12">
                  <c:v>67.342775086397822</c:v>
                </c:pt>
                <c:pt idx="13">
                  <c:v>79.534624123149641</c:v>
                </c:pt>
                <c:pt idx="14">
                  <c:v>91.679006439536593</c:v>
                </c:pt>
                <c:pt idx="15">
                  <c:v>103.78311366213529</c:v>
                </c:pt>
                <c:pt idx="16">
                  <c:v>88.267739561134462</c:v>
                </c:pt>
                <c:pt idx="17">
                  <c:v>102.0831910615842</c:v>
                </c:pt>
                <c:pt idx="18">
                  <c:v>115.85231457718385</c:v>
                </c:pt>
                <c:pt idx="19">
                  <c:v>129.58140203362072</c:v>
                </c:pt>
                <c:pt idx="20">
                  <c:v>143.27529843266893</c:v>
                </c:pt>
                <c:pt idx="21">
                  <c:v>156.75088346387858</c:v>
                </c:pt>
                <c:pt idx="22">
                  <c:v>170.1989658332011</c:v>
                </c:pt>
                <c:pt idx="23">
                  <c:v>183.62202621508791</c:v>
                </c:pt>
                <c:pt idx="24">
                  <c:v>197.02215247522824</c:v>
                </c:pt>
                <c:pt idx="25">
                  <c:v>210.40112494961298</c:v>
                </c:pt>
                <c:pt idx="26">
                  <c:v>173.93000803099332</c:v>
                </c:pt>
                <c:pt idx="27">
                  <c:v>186.78794247300308</c:v>
                </c:pt>
                <c:pt idx="28">
                  <c:v>199.62522507053666</c:v>
                </c:pt>
                <c:pt idx="29">
                  <c:v>212.44337170835345</c:v>
                </c:pt>
                <c:pt idx="30">
                  <c:v>225.24370022974736</c:v>
                </c:pt>
                <c:pt idx="31">
                  <c:v>237.28672059909331</c:v>
                </c:pt>
                <c:pt idx="32">
                  <c:v>249.31581208109557</c:v>
                </c:pt>
                <c:pt idx="33">
                  <c:v>261.33174174990091</c:v>
                </c:pt>
                <c:pt idx="34">
                  <c:v>273.33520033559711</c:v>
                </c:pt>
                <c:pt idx="35">
                  <c:v>285.32681291349411</c:v>
                </c:pt>
                <c:pt idx="36">
                  <c:v>242.6552193545505</c:v>
                </c:pt>
                <c:pt idx="37">
                  <c:v>253.56907009189914</c:v>
                </c:pt>
                <c:pt idx="38">
                  <c:v>264.47228568418126</c:v>
                </c:pt>
                <c:pt idx="39">
                  <c:v>275.36536664429354</c:v>
                </c:pt>
                <c:pt idx="40">
                  <c:v>286.24877062592168</c:v>
                </c:pt>
                <c:pt idx="41">
                  <c:v>296.57021208011378</c:v>
                </c:pt>
                <c:pt idx="42">
                  <c:v>306.88364556713356</c:v>
                </c:pt>
                <c:pt idx="43">
                  <c:v>317.18937830536407</c:v>
                </c:pt>
                <c:pt idx="44">
                  <c:v>327.48769590830915</c:v>
                </c:pt>
                <c:pt idx="45">
                  <c:v>337.77886455023253</c:v>
                </c:pt>
                <c:pt idx="46">
                  <c:v>294.9119574096888</c:v>
                </c:pt>
                <c:pt idx="47">
                  <c:v>304.49015286905723</c:v>
                </c:pt>
                <c:pt idx="48">
                  <c:v>314.06164885604761</c:v>
                </c:pt>
                <c:pt idx="49">
                  <c:v>323.62667847115432</c:v>
                </c:pt>
                <c:pt idx="50">
                  <c:v>333.18545990213522</c:v>
                </c:pt>
                <c:pt idx="51">
                  <c:v>342.18723913127047</c:v>
                </c:pt>
                <c:pt idx="52">
                  <c:v>351.1838133017921</c:v>
                </c:pt>
                <c:pt idx="53">
                  <c:v>360.17533464453732</c:v>
                </c:pt>
                <c:pt idx="54">
                  <c:v>369.1619471646768</c:v>
                </c:pt>
                <c:pt idx="55">
                  <c:v>378.14378727996046</c:v>
                </c:pt>
                <c:pt idx="56">
                  <c:v>339.79952573014128</c:v>
                </c:pt>
                <c:pt idx="57">
                  <c:v>348.24671923697093</c:v>
                </c:pt>
                <c:pt idx="58">
                  <c:v>356.68941678151765</c:v>
                </c:pt>
                <c:pt idx="59">
                  <c:v>365.12773986416681</c:v>
                </c:pt>
                <c:pt idx="60">
                  <c:v>373.56180390729855</c:v>
                </c:pt>
                <c:pt idx="61">
                  <c:v>381.25884465884684</c:v>
                </c:pt>
                <c:pt idx="62">
                  <c:v>388.95250618065228</c:v>
                </c:pt>
                <c:pt idx="63">
                  <c:v>396.6428647905862</c:v>
                </c:pt>
                <c:pt idx="64">
                  <c:v>404.32999360363391</c:v>
                </c:pt>
                <c:pt idx="65">
                  <c:v>412.01396272598663</c:v>
                </c:pt>
                <c:pt idx="66">
                  <c:v>374.47829807012619</c:v>
                </c:pt>
                <c:pt idx="67">
                  <c:v>381.80850305381085</c:v>
                </c:pt>
                <c:pt idx="68">
                  <c:v>389.13564804516926</c:v>
                </c:pt>
                <c:pt idx="69">
                  <c:v>396.45979883257809</c:v>
                </c:pt>
                <c:pt idx="70">
                  <c:v>403.78101857356381</c:v>
                </c:pt>
                <c:pt idx="71">
                  <c:v>410.73351773963401</c:v>
                </c:pt>
                <c:pt idx="72">
                  <c:v>417.68347648311186</c:v>
                </c:pt>
                <c:pt idx="73">
                  <c:v>424.63094306781801</c:v>
                </c:pt>
                <c:pt idx="74">
                  <c:v>431.57596404832128</c:v>
                </c:pt>
                <c:pt idx="75">
                  <c:v>438.51858435761028</c:v>
                </c:pt>
                <c:pt idx="76">
                  <c:v>403.7810185735637</c:v>
                </c:pt>
                <c:pt idx="77">
                  <c:v>410.18472923262584</c:v>
                </c:pt>
                <c:pt idx="78">
                  <c:v>416.58628147770673</c:v>
                </c:pt>
                <c:pt idx="79">
                  <c:v>422.98571318193154</c:v>
                </c:pt>
                <c:pt idx="80">
                  <c:v>429.38306097806168</c:v>
                </c:pt>
                <c:pt idx="81">
                  <c:v>435.77836031740293</c:v>
                </c:pt>
                <c:pt idx="82">
                  <c:v>442.17164552507137</c:v>
                </c:pt>
                <c:pt idx="83">
                  <c:v>448.56294985189771</c:v>
                </c:pt>
                <c:pt idx="84">
                  <c:v>454.95230552321544</c:v>
                </c:pt>
                <c:pt idx="85">
                  <c:v>461.33974378476478</c:v>
                </c:pt>
                <c:pt idx="86">
                  <c:v>427.92099191345005</c:v>
                </c:pt>
                <c:pt idx="87">
                  <c:v>433.76862772797989</c:v>
                </c:pt>
                <c:pt idx="88">
                  <c:v>439.61457098626988</c:v>
                </c:pt>
                <c:pt idx="89">
                  <c:v>445.4588473889209</c:v>
                </c:pt>
                <c:pt idx="90">
                  <c:v>451.30148190662845</c:v>
                </c:pt>
                <c:pt idx="91">
                  <c:v>456.95999128132956</c:v>
                </c:pt>
                <c:pt idx="92">
                  <c:v>462.61700403114037</c:v>
                </c:pt>
                <c:pt idx="93">
                  <c:v>468.2725410526304</c:v>
                </c:pt>
                <c:pt idx="94">
                  <c:v>473.92662269607291</c:v>
                </c:pt>
                <c:pt idx="95">
                  <c:v>479.57926878622084</c:v>
                </c:pt>
                <c:pt idx="96">
                  <c:v>449.29325995855169</c:v>
                </c:pt>
                <c:pt idx="97">
                  <c:v>454.58725142973572</c:v>
                </c:pt>
                <c:pt idx="98">
                  <c:v>459.87992534905925</c:v>
                </c:pt>
                <c:pt idx="99">
                  <c:v>465.171299031422</c:v>
                </c:pt>
                <c:pt idx="100">
                  <c:v>470.46138936536425</c:v>
                </c:pt>
                <c:pt idx="101">
                  <c:v>475.4766838055312</c:v>
                </c:pt>
                <c:pt idx="102">
                  <c:v>480.49085276489518</c:v>
                </c:pt>
                <c:pt idx="103">
                  <c:v>485.50390965442176</c:v>
                </c:pt>
                <c:pt idx="104">
                  <c:v>490.51586758532886</c:v>
                </c:pt>
                <c:pt idx="105">
                  <c:v>495.52673937884811</c:v>
                </c:pt>
                <c:pt idx="106">
                  <c:v>500.53653757557214</c:v>
                </c:pt>
                <c:pt idx="107">
                  <c:v>505.54527444440697</c:v>
                </c:pt>
                <c:pt idx="108">
                  <c:v>510.55296199115151</c:v>
                </c:pt>
                <c:pt idx="109">
                  <c:v>515.55961196672297</c:v>
                </c:pt>
                <c:pt idx="110">
                  <c:v>520.56523587504546</c:v>
                </c:pt>
                <c:pt idx="111">
                  <c:v>6.6944552106818241E-12</c:v>
                </c:pt>
                <c:pt idx="112">
                  <c:v>6.6944552106818241E-12</c:v>
                </c:pt>
                <c:pt idx="113">
                  <c:v>6.6944552106818241E-12</c:v>
                </c:pt>
                <c:pt idx="114">
                  <c:v>6.6944552106818241E-12</c:v>
                </c:pt>
                <c:pt idx="115">
                  <c:v>6.6944552106818241E-12</c:v>
                </c:pt>
                <c:pt idx="116">
                  <c:v>6.6944552106818241E-12</c:v>
                </c:pt>
                <c:pt idx="117">
                  <c:v>6.6944552106818241E-12</c:v>
                </c:pt>
                <c:pt idx="118">
                  <c:v>6.6944552106818241E-12</c:v>
                </c:pt>
                <c:pt idx="119">
                  <c:v>6.6944552106818241E-12</c:v>
                </c:pt>
                <c:pt idx="120">
                  <c:v>6.6944552106818241E-12</c:v>
                </c:pt>
                <c:pt idx="121">
                  <c:v>6.6944552106818241E-12</c:v>
                </c:pt>
                <c:pt idx="122">
                  <c:v>6.6944552106818241E-12</c:v>
                </c:pt>
                <c:pt idx="123">
                  <c:v>6.6944552106818241E-12</c:v>
                </c:pt>
                <c:pt idx="124">
                  <c:v>6.6944552106818241E-12</c:v>
                </c:pt>
                <c:pt idx="125">
                  <c:v>6.6944552106818241E-12</c:v>
                </c:pt>
                <c:pt idx="126">
                  <c:v>6.6944552106818241E-12</c:v>
                </c:pt>
                <c:pt idx="127">
                  <c:v>6.6944552106818241E-12</c:v>
                </c:pt>
                <c:pt idx="128">
                  <c:v>6.6944552106818241E-12</c:v>
                </c:pt>
                <c:pt idx="129">
                  <c:v>6.6944552106818241E-12</c:v>
                </c:pt>
                <c:pt idx="130">
                  <c:v>6.6944552106818241E-12</c:v>
                </c:pt>
                <c:pt idx="131">
                  <c:v>6.6944552106818241E-12</c:v>
                </c:pt>
                <c:pt idx="132">
                  <c:v>6.6944552106818241E-12</c:v>
                </c:pt>
                <c:pt idx="133">
                  <c:v>6.6944552106818241E-12</c:v>
                </c:pt>
                <c:pt idx="134">
                  <c:v>6.6944552106818241E-12</c:v>
                </c:pt>
                <c:pt idx="135">
                  <c:v>6.6944552106818241E-12</c:v>
                </c:pt>
                <c:pt idx="136">
                  <c:v>6.6944552106818241E-12</c:v>
                </c:pt>
                <c:pt idx="137">
                  <c:v>6.6944552106818241E-12</c:v>
                </c:pt>
                <c:pt idx="138">
                  <c:v>6.6944552106818241E-12</c:v>
                </c:pt>
                <c:pt idx="139">
                  <c:v>6.6944552106818241E-12</c:v>
                </c:pt>
                <c:pt idx="140">
                  <c:v>6.6944552106818241E-12</c:v>
                </c:pt>
                <c:pt idx="141">
                  <c:v>6.6944552106818241E-12</c:v>
                </c:pt>
                <c:pt idx="142">
                  <c:v>6.6944552106818241E-12</c:v>
                </c:pt>
                <c:pt idx="143">
                  <c:v>6.6944552106818241E-12</c:v>
                </c:pt>
                <c:pt idx="144">
                  <c:v>6.6944552106818241E-12</c:v>
                </c:pt>
                <c:pt idx="145">
                  <c:v>6.6944552106818241E-12</c:v>
                </c:pt>
                <c:pt idx="146">
                  <c:v>6.6944552106818241E-12</c:v>
                </c:pt>
                <c:pt idx="147">
                  <c:v>6.6944552106818241E-12</c:v>
                </c:pt>
                <c:pt idx="148">
                  <c:v>6.6944552106818241E-12</c:v>
                </c:pt>
                <c:pt idx="149">
                  <c:v>6.6944552106818241E-12</c:v>
                </c:pt>
                <c:pt idx="150">
                  <c:v>6.6944552106818241E-12</c:v>
                </c:pt>
                <c:pt idx="151">
                  <c:v>6.6944552106818241E-12</c:v>
                </c:pt>
                <c:pt idx="152">
                  <c:v>6.6944552106818241E-12</c:v>
                </c:pt>
                <c:pt idx="153">
                  <c:v>6.6944552106818241E-12</c:v>
                </c:pt>
                <c:pt idx="154">
                  <c:v>6.6944552106818241E-12</c:v>
                </c:pt>
                <c:pt idx="155">
                  <c:v>6.6944552106818241E-12</c:v>
                </c:pt>
                <c:pt idx="156">
                  <c:v>6.6944552106818241E-12</c:v>
                </c:pt>
                <c:pt idx="157">
                  <c:v>6.6944552106818241E-12</c:v>
                </c:pt>
                <c:pt idx="158">
                  <c:v>6.6944552106818241E-12</c:v>
                </c:pt>
                <c:pt idx="159">
                  <c:v>6.6944552106818241E-12</c:v>
                </c:pt>
                <c:pt idx="160">
                  <c:v>6.6944552106818241E-12</c:v>
                </c:pt>
                <c:pt idx="161">
                  <c:v>6.6944552106818241E-12</c:v>
                </c:pt>
                <c:pt idx="162">
                  <c:v>6.6944552106818241E-12</c:v>
                </c:pt>
                <c:pt idx="163">
                  <c:v>6.6944552106818241E-12</c:v>
                </c:pt>
                <c:pt idx="164">
                  <c:v>6.6944552106818241E-12</c:v>
                </c:pt>
                <c:pt idx="165">
                  <c:v>6.6944552106818241E-12</c:v>
                </c:pt>
                <c:pt idx="166">
                  <c:v>6.6944552106818241E-12</c:v>
                </c:pt>
                <c:pt idx="167">
                  <c:v>6.6944552106818241E-12</c:v>
                </c:pt>
                <c:pt idx="168">
                  <c:v>6.6944552106818241E-12</c:v>
                </c:pt>
                <c:pt idx="169">
                  <c:v>6.6944552106818241E-12</c:v>
                </c:pt>
                <c:pt idx="170">
                  <c:v>6.6944552106818241E-12</c:v>
                </c:pt>
                <c:pt idx="171">
                  <c:v>6.6944552106818241E-12</c:v>
                </c:pt>
                <c:pt idx="172">
                  <c:v>6.6944552106818241E-12</c:v>
                </c:pt>
                <c:pt idx="173">
                  <c:v>6.6944552106818241E-12</c:v>
                </c:pt>
                <c:pt idx="174">
                  <c:v>6.6944552106818241E-12</c:v>
                </c:pt>
                <c:pt idx="175">
                  <c:v>6.6944552106818241E-12</c:v>
                </c:pt>
                <c:pt idx="176">
                  <c:v>6.6944552106818241E-12</c:v>
                </c:pt>
                <c:pt idx="177">
                  <c:v>6.6944552106818241E-12</c:v>
                </c:pt>
                <c:pt idx="178">
                  <c:v>6.6944552106818241E-12</c:v>
                </c:pt>
                <c:pt idx="179">
                  <c:v>6.6944552106818241E-12</c:v>
                </c:pt>
                <c:pt idx="180">
                  <c:v>6.6944552106818241E-12</c:v>
                </c:pt>
                <c:pt idx="181">
                  <c:v>6.6944552106818241E-12</c:v>
                </c:pt>
                <c:pt idx="182">
                  <c:v>6.6944552106818241E-12</c:v>
                </c:pt>
                <c:pt idx="183">
                  <c:v>6.6944552106818241E-12</c:v>
                </c:pt>
                <c:pt idx="184">
                  <c:v>6.6944552106818241E-12</c:v>
                </c:pt>
                <c:pt idx="185">
                  <c:v>6.6944552106818241E-12</c:v>
                </c:pt>
                <c:pt idx="186">
                  <c:v>6.6944552106818241E-12</c:v>
                </c:pt>
                <c:pt idx="187">
                  <c:v>6.6944552106818241E-12</c:v>
                </c:pt>
                <c:pt idx="188">
                  <c:v>6.6944552106818241E-12</c:v>
                </c:pt>
                <c:pt idx="189">
                  <c:v>6.6944552106818241E-12</c:v>
                </c:pt>
                <c:pt idx="190">
                  <c:v>6.6944552106818241E-12</c:v>
                </c:pt>
                <c:pt idx="191">
                  <c:v>6.6944552106818241E-12</c:v>
                </c:pt>
                <c:pt idx="192">
                  <c:v>6.6944552106818241E-12</c:v>
                </c:pt>
                <c:pt idx="193">
                  <c:v>6.6944552106818241E-12</c:v>
                </c:pt>
                <c:pt idx="194">
                  <c:v>6.6944552106818241E-12</c:v>
                </c:pt>
                <c:pt idx="195">
                  <c:v>6.6944552106818241E-12</c:v>
                </c:pt>
                <c:pt idx="196">
                  <c:v>6.6944552106818241E-12</c:v>
                </c:pt>
                <c:pt idx="197">
                  <c:v>6.6944552106818241E-12</c:v>
                </c:pt>
                <c:pt idx="198">
                  <c:v>6.6944552106818241E-12</c:v>
                </c:pt>
                <c:pt idx="199">
                  <c:v>6.6944552106818241E-12</c:v>
                </c:pt>
                <c:pt idx="200">
                  <c:v>6.6944552106818241E-12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5760560"/>
        <c:axId val="-345761104"/>
      </c:scatterChart>
      <c:valAx>
        <c:axId val="-345760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5761104"/>
        <c:crosses val="autoZero"/>
        <c:crossBetween val="midCat"/>
      </c:valAx>
      <c:valAx>
        <c:axId val="-34576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5760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293.44034996889724</c:v>
                </c:pt>
                <c:pt idx="32">
                  <c:v>316.88647637416977</c:v>
                </c:pt>
                <c:pt idx="33">
                  <c:v>340.2941842426967</c:v>
                </c:pt>
                <c:pt idx="34">
                  <c:v>363.66648605477627</c:v>
                </c:pt>
                <c:pt idx="35">
                  <c:v>387.00597559413177</c:v>
                </c:pt>
                <c:pt idx="36">
                  <c:v>289.96337472940422</c:v>
                </c:pt>
                <c:pt idx="37">
                  <c:v>314.28330815365308</c:v>
                </c:pt>
                <c:pt idx="38">
                  <c:v>338.56152844098671</c:v>
                </c:pt>
                <c:pt idx="39">
                  <c:v>362.80144525672239</c:v>
                </c:pt>
                <c:pt idx="40">
                  <c:v>387.00597559413171</c:v>
                </c:pt>
                <c:pt idx="41">
                  <c:v>411.60899407848501</c:v>
                </c:pt>
                <c:pt idx="42">
                  <c:v>436.18028292908167</c:v>
                </c:pt>
                <c:pt idx="43">
                  <c:v>460.72187919832771</c:v>
                </c:pt>
                <c:pt idx="44">
                  <c:v>485.23558538841758</c:v>
                </c:pt>
                <c:pt idx="45">
                  <c:v>509.72300718239194</c:v>
                </c:pt>
                <c:pt idx="46">
                  <c:v>412.90299192267616</c:v>
                </c:pt>
                <c:pt idx="47">
                  <c:v>436.61108755732999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529.46660755485038</c:v>
                </c:pt>
                <c:pt idx="52">
                  <c:v>551.33817074688682</c:v>
                </c:pt>
                <c:pt idx="53">
                  <c:v>573.19155224586348</c:v>
                </c:pt>
                <c:pt idx="54">
                  <c:v>595.02754210367516</c:v>
                </c:pt>
                <c:pt idx="55">
                  <c:v>616.84686771553982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616.41919362679607</c:v>
                </c:pt>
                <c:pt idx="62">
                  <c:v>635.23110191241869</c:v>
                </c:pt>
                <c:pt idx="63">
                  <c:v>654.03150003454277</c:v>
                </c:pt>
                <c:pt idx="64">
                  <c:v>672.82076514505184</c:v>
                </c:pt>
                <c:pt idx="65">
                  <c:v>691.59925163326659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675.80896375991858</c:v>
                </c:pt>
                <c:pt idx="72">
                  <c:v>692.0259128007566</c:v>
                </c:pt>
                <c:pt idx="73">
                  <c:v>708.23507701664573</c:v>
                </c:pt>
                <c:pt idx="74">
                  <c:v>724.43665952870151</c:v>
                </c:pt>
                <c:pt idx="75">
                  <c:v>740.63085363962227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705.24975391132182</c:v>
                </c:pt>
                <c:pt idx="82">
                  <c:v>712.49937837079108</c:v>
                </c:pt>
                <c:pt idx="83">
                  <c:v>719.74749593335343</c:v>
                </c:pt>
                <c:pt idx="84">
                  <c:v>726.99412391153294</c:v>
                </c:pt>
                <c:pt idx="85">
                  <c:v>734.23927924462521</c:v>
                </c:pt>
                <c:pt idx="86">
                  <c:v>741.48297851042491</c:v>
                </c:pt>
                <c:pt idx="87">
                  <c:v>748.72523793647281</c:v>
                </c:pt>
                <c:pt idx="88">
                  <c:v>755.96607341084473</c:v>
                </c:pt>
                <c:pt idx="89">
                  <c:v>763.20550049250687</c:v>
                </c:pt>
                <c:pt idx="90">
                  <c:v>770.443534421256</c:v>
                </c:pt>
                <c:pt idx="91">
                  <c:v>664.49505493418815</c:v>
                </c:pt>
                <c:pt idx="92">
                  <c:v>677.94322510709105</c:v>
                </c:pt>
                <c:pt idx="93">
                  <c:v>691.38591902688074</c:v>
                </c:pt>
                <c:pt idx="94">
                  <c:v>704.82325810985822</c:v>
                </c:pt>
                <c:pt idx="95">
                  <c:v>718.25535876813376</c:v>
                </c:pt>
                <c:pt idx="96">
                  <c:v>731.68233270754433</c:v>
                </c:pt>
                <c:pt idx="97">
                  <c:v>745.10428720258039</c:v>
                </c:pt>
                <c:pt idx="98">
                  <c:v>758.52132535048884</c:v>
                </c:pt>
                <c:pt idx="99">
                  <c:v>771.93354630647571</c:v>
                </c:pt>
                <c:pt idx="100">
                  <c:v>785.34104550172617</c:v>
                </c:pt>
                <c:pt idx="101">
                  <c:v>679.22371566061349</c:v>
                </c:pt>
                <c:pt idx="102">
                  <c:v>690.31923574953714</c:v>
                </c:pt>
                <c:pt idx="103">
                  <c:v>701.41110134898747</c:v>
                </c:pt>
                <c:pt idx="104">
                  <c:v>712.49937837079085</c:v>
                </c:pt>
                <c:pt idx="105">
                  <c:v>723.58413050890931</c:v>
                </c:pt>
                <c:pt idx="106">
                  <c:v>734.66541934761574</c:v>
                </c:pt>
                <c:pt idx="107">
                  <c:v>745.7433044628068</c:v>
                </c:pt>
                <c:pt idx="108">
                  <c:v>756.81784351698707</c:v>
                </c:pt>
                <c:pt idx="109">
                  <c:v>767.8890923484081</c:v>
                </c:pt>
                <c:pt idx="110">
                  <c:v>778.95710505480235</c:v>
                </c:pt>
                <c:pt idx="111">
                  <c:v>679.86394234557997</c:v>
                </c:pt>
                <c:pt idx="112">
                  <c:v>689.46586480458393</c:v>
                </c:pt>
                <c:pt idx="113">
                  <c:v>699.06504661949873</c:v>
                </c:pt>
                <c:pt idx="114">
                  <c:v>708.66153071735232</c:v>
                </c:pt>
                <c:pt idx="115">
                  <c:v>718.25535876813376</c:v>
                </c:pt>
                <c:pt idx="116">
                  <c:v>727.84657123825571</c:v>
                </c:pt>
                <c:pt idx="117">
                  <c:v>737.43520744105729</c:v>
                </c:pt>
                <c:pt idx="118">
                  <c:v>747.02130558454257</c:v>
                </c:pt>
                <c:pt idx="119">
                  <c:v>756.60490281654609</c:v>
                </c:pt>
                <c:pt idx="120">
                  <c:v>766.18603526748575</c:v>
                </c:pt>
                <c:pt idx="121">
                  <c:v>674.95522047957559</c:v>
                </c:pt>
                <c:pt idx="122">
                  <c:v>683.91842448212253</c:v>
                </c:pt>
                <c:pt idx="123">
                  <c:v>692.87921896789578</c:v>
                </c:pt>
                <c:pt idx="124">
                  <c:v>701.83763948445915</c:v>
                </c:pt>
                <c:pt idx="125">
                  <c:v>710.79372059813034</c:v>
                </c:pt>
                <c:pt idx="126">
                  <c:v>719.74749593335275</c:v>
                </c:pt>
                <c:pt idx="127">
                  <c:v>728.69899821000797</c:v>
                </c:pt>
                <c:pt idx="128">
                  <c:v>737.64825927879872</c:v>
                </c:pt>
                <c:pt idx="129">
                  <c:v>746.59531015482708</c:v>
                </c:pt>
                <c:pt idx="130">
                  <c:v>755.54018104948</c:v>
                </c:pt>
                <c:pt idx="131">
                  <c:v>669.83229376683641</c:v>
                </c:pt>
                <c:pt idx="132">
                  <c:v>677.9432251070906</c:v>
                </c:pt>
                <c:pt idx="133">
                  <c:v>686.05216418180862</c:v>
                </c:pt>
                <c:pt idx="134">
                  <c:v>694.15913785580904</c:v>
                </c:pt>
                <c:pt idx="135">
                  <c:v>702.2641723153406</c:v>
                </c:pt>
                <c:pt idx="136">
                  <c:v>710.36729309302609</c:v>
                </c:pt>
                <c:pt idx="137">
                  <c:v>718.46852509160283</c:v>
                </c:pt>
                <c:pt idx="138">
                  <c:v>726.56789260654432</c:v>
                </c:pt>
                <c:pt idx="139">
                  <c:v>734.66541934761563</c:v>
                </c:pt>
                <c:pt idx="140">
                  <c:v>742.7611284594318</c:v>
                </c:pt>
                <c:pt idx="141">
                  <c:v>662.78695256584899</c:v>
                </c:pt>
                <c:pt idx="142">
                  <c:v>670.25923500177043</c:v>
                </c:pt>
                <c:pt idx="143">
                  <c:v>677.72980518897054</c:v>
                </c:pt>
                <c:pt idx="144">
                  <c:v>685.19868466154958</c:v>
                </c:pt>
                <c:pt idx="145">
                  <c:v>692.66589444590602</c:v>
                </c:pt>
                <c:pt idx="146">
                  <c:v>700.13145507817046</c:v>
                </c:pt>
                <c:pt idx="147">
                  <c:v>707.59538662085299</c:v>
                </c:pt>
                <c:pt idx="148">
                  <c:v>715.05770867875606</c:v>
                </c:pt>
                <c:pt idx="149">
                  <c:v>722.51844041418599</c:v>
                </c:pt>
                <c:pt idx="150">
                  <c:v>729.97760056150503</c:v>
                </c:pt>
                <c:pt idx="151">
                  <c:v>651.04128176433642</c:v>
                </c:pt>
                <c:pt idx="152">
                  <c:v>651.04128176433642</c:v>
                </c:pt>
                <c:pt idx="153">
                  <c:v>651.04128176433642</c:v>
                </c:pt>
                <c:pt idx="154">
                  <c:v>651.04128176433642</c:v>
                </c:pt>
                <c:pt idx="155">
                  <c:v>651.04128176433642</c:v>
                </c:pt>
                <c:pt idx="156">
                  <c:v>651.04128176433642</c:v>
                </c:pt>
                <c:pt idx="157">
                  <c:v>651.04128176433642</c:v>
                </c:pt>
                <c:pt idx="158">
                  <c:v>651.04128176433642</c:v>
                </c:pt>
                <c:pt idx="159">
                  <c:v>651.04128176433642</c:v>
                </c:pt>
                <c:pt idx="160">
                  <c:v>651.04128176433642</c:v>
                </c:pt>
                <c:pt idx="161">
                  <c:v>651.04128176433642</c:v>
                </c:pt>
                <c:pt idx="162">
                  <c:v>651.04128176433642</c:v>
                </c:pt>
                <c:pt idx="163">
                  <c:v>651.04128176433642</c:v>
                </c:pt>
                <c:pt idx="164">
                  <c:v>651.04128176433642</c:v>
                </c:pt>
                <c:pt idx="165">
                  <c:v>651.04128176433642</c:v>
                </c:pt>
                <c:pt idx="166">
                  <c:v>651.04128176433642</c:v>
                </c:pt>
                <c:pt idx="167">
                  <c:v>651.04128176433642</c:v>
                </c:pt>
                <c:pt idx="168">
                  <c:v>651.04128176433642</c:v>
                </c:pt>
                <c:pt idx="169">
                  <c:v>651.04128176433642</c:v>
                </c:pt>
                <c:pt idx="170">
                  <c:v>651.04128176433642</c:v>
                </c:pt>
                <c:pt idx="171">
                  <c:v>651.04128176433642</c:v>
                </c:pt>
                <c:pt idx="172">
                  <c:v>651.04128176433642</c:v>
                </c:pt>
                <c:pt idx="173">
                  <c:v>651.04128176433642</c:v>
                </c:pt>
                <c:pt idx="174">
                  <c:v>651.04128176433642</c:v>
                </c:pt>
                <c:pt idx="175">
                  <c:v>651.04128176433642</c:v>
                </c:pt>
                <c:pt idx="176">
                  <c:v>651.04128176433642</c:v>
                </c:pt>
                <c:pt idx="177">
                  <c:v>651.04128176433642</c:v>
                </c:pt>
                <c:pt idx="178">
                  <c:v>651.04128176433642</c:v>
                </c:pt>
                <c:pt idx="179">
                  <c:v>651.04128176433642</c:v>
                </c:pt>
                <c:pt idx="180">
                  <c:v>651.04128176433642</c:v>
                </c:pt>
                <c:pt idx="181">
                  <c:v>651.04128176433642</c:v>
                </c:pt>
                <c:pt idx="182">
                  <c:v>651.04128176433642</c:v>
                </c:pt>
                <c:pt idx="183">
                  <c:v>651.04128176433642</c:v>
                </c:pt>
                <c:pt idx="184">
                  <c:v>651.04128176433642</c:v>
                </c:pt>
                <c:pt idx="185">
                  <c:v>651.04128176433642</c:v>
                </c:pt>
                <c:pt idx="186">
                  <c:v>651.04128176433642</c:v>
                </c:pt>
                <c:pt idx="187">
                  <c:v>651.04128176433642</c:v>
                </c:pt>
                <c:pt idx="188">
                  <c:v>651.04128176433642</c:v>
                </c:pt>
                <c:pt idx="189">
                  <c:v>651.04128176433642</c:v>
                </c:pt>
                <c:pt idx="190">
                  <c:v>651.04128176433642</c:v>
                </c:pt>
                <c:pt idx="191">
                  <c:v>651.04128176433642</c:v>
                </c:pt>
                <c:pt idx="192">
                  <c:v>651.04128176433642</c:v>
                </c:pt>
                <c:pt idx="193">
                  <c:v>651.04128176433642</c:v>
                </c:pt>
                <c:pt idx="194">
                  <c:v>651.04128176433642</c:v>
                </c:pt>
                <c:pt idx="195">
                  <c:v>651.04128176433642</c:v>
                </c:pt>
                <c:pt idx="196">
                  <c:v>651.04128176433642</c:v>
                </c:pt>
                <c:pt idx="197">
                  <c:v>651.04128176433642</c:v>
                </c:pt>
                <c:pt idx="198">
                  <c:v>651.04128176433642</c:v>
                </c:pt>
                <c:pt idx="199">
                  <c:v>651.04128176433642</c:v>
                </c:pt>
                <c:pt idx="200">
                  <c:v>651.04128176433642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4980960"/>
        <c:axId val="-354984768"/>
      </c:scatterChart>
      <c:valAx>
        <c:axId val="-354980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4768"/>
        <c:crosses val="autoZero"/>
        <c:crossBetween val="midCat"/>
      </c:valAx>
      <c:valAx>
        <c:axId val="-35498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0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140.27513047395146</c:v>
                </c:pt>
                <c:pt idx="17">
                  <c:v>164.16133458057877</c:v>
                </c:pt>
                <c:pt idx="18">
                  <c:v>187.96529046020362</c:v>
                </c:pt>
                <c:pt idx="19">
                  <c:v>211.698889435729</c:v>
                </c:pt>
                <c:pt idx="20">
                  <c:v>235.3711313482562</c:v>
                </c:pt>
                <c:pt idx="21">
                  <c:v>145.47552012532867</c:v>
                </c:pt>
                <c:pt idx="22">
                  <c:v>171.06890310603498</c:v>
                </c:pt>
                <c:pt idx="23">
                  <c:v>196.57202562416433</c:v>
                </c:pt>
                <c:pt idx="24">
                  <c:v>221.99825658782564</c:v>
                </c:pt>
                <c:pt idx="25">
                  <c:v>247.35764363735257</c:v>
                </c:pt>
                <c:pt idx="26">
                  <c:v>271.63337657752703</c:v>
                </c:pt>
                <c:pt idx="27">
                  <c:v>295.86031593712704</c:v>
                </c:pt>
                <c:pt idx="28">
                  <c:v>320.04301686645277</c:v>
                </c:pt>
                <c:pt idx="29">
                  <c:v>344.18528987135363</c:v>
                </c:pt>
                <c:pt idx="30">
                  <c:v>368.29036734139117</c:v>
                </c:pt>
                <c:pt idx="31">
                  <c:v>270.95024442791083</c:v>
                </c:pt>
                <c:pt idx="32">
                  <c:v>292.79183050888702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377.44791553782278</c:v>
                </c:pt>
                <c:pt idx="37">
                  <c:v>396.76479421746438</c:v>
                </c:pt>
                <c:pt idx="38">
                  <c:v>416.06130692450483</c:v>
                </c:pt>
                <c:pt idx="39">
                  <c:v>435.33853059869926</c:v>
                </c:pt>
                <c:pt idx="40">
                  <c:v>454.59743907080428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433.64829237195022</c:v>
                </c:pt>
                <c:pt idx="47">
                  <c:v>448.17978162908202</c:v>
                </c:pt>
                <c:pt idx="48">
                  <c:v>462.70119023345586</c:v>
                </c:pt>
                <c:pt idx="49">
                  <c:v>477.212879043182</c:v>
                </c:pt>
                <c:pt idx="50">
                  <c:v>491.71518518509515</c:v>
                </c:pt>
                <c:pt idx="51">
                  <c:v>431.61981966331092</c:v>
                </c:pt>
                <c:pt idx="52">
                  <c:v>444.12551245998566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481.59827184865549</c:v>
                </c:pt>
                <c:pt idx="56">
                  <c:v>492.05233905304067</c:v>
                </c:pt>
                <c:pt idx="57">
                  <c:v>502.50169784424844</c:v>
                </c:pt>
                <c:pt idx="58">
                  <c:v>512.94645994076382</c:v>
                </c:pt>
                <c:pt idx="59">
                  <c:v>523.38673214011703</c:v>
                </c:pt>
                <c:pt idx="60">
                  <c:v>533.82261663157112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518.33554162748931</c:v>
                </c:pt>
                <c:pt idx="65">
                  <c:v>527.09028501417185</c:v>
                </c:pt>
                <c:pt idx="66">
                  <c:v>534.49575116718881</c:v>
                </c:pt>
                <c:pt idx="67">
                  <c:v>541.89905996909988</c:v>
                </c:pt>
                <c:pt idx="68">
                  <c:v>549.30024505818949</c:v>
                </c:pt>
                <c:pt idx="69">
                  <c:v>556.69933909209135</c:v>
                </c:pt>
                <c:pt idx="70">
                  <c:v>564.09637378931632</c:v>
                </c:pt>
                <c:pt idx="71">
                  <c:v>527.7635992605982</c:v>
                </c:pt>
                <c:pt idx="72">
                  <c:v>535.16886787415808</c:v>
                </c:pt>
                <c:pt idx="73">
                  <c:v>542.57198223629882</c:v>
                </c:pt>
                <c:pt idx="74">
                  <c:v>549.97297589437528</c:v>
                </c:pt>
                <c:pt idx="75">
                  <c:v>557.37188141896661</c:v>
                </c:pt>
                <c:pt idx="76">
                  <c:v>563.4240003694224</c:v>
                </c:pt>
                <c:pt idx="77">
                  <c:v>569.47475955098753</c:v>
                </c:pt>
                <c:pt idx="78">
                  <c:v>575.52417545438061</c:v>
                </c:pt>
                <c:pt idx="79">
                  <c:v>581.57226419525409</c:v>
                </c:pt>
                <c:pt idx="80">
                  <c:v>587.61904152662294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4979872"/>
        <c:axId val="-354980416"/>
      </c:scatterChart>
      <c:valAx>
        <c:axId val="-354979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0416"/>
        <c:crosses val="autoZero"/>
        <c:crossBetween val="midCat"/>
      </c:valAx>
      <c:valAx>
        <c:axId val="-35498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79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140.27513047395146</c:v>
                </c:pt>
                <c:pt idx="17">
                  <c:v>164.16133458057877</c:v>
                </c:pt>
                <c:pt idx="18">
                  <c:v>187.96529046020362</c:v>
                </c:pt>
                <c:pt idx="19">
                  <c:v>211.698889435729</c:v>
                </c:pt>
                <c:pt idx="20">
                  <c:v>235.3711313482562</c:v>
                </c:pt>
                <c:pt idx="21">
                  <c:v>145.47552012532867</c:v>
                </c:pt>
                <c:pt idx="22">
                  <c:v>171.06890310603498</c:v>
                </c:pt>
                <c:pt idx="23">
                  <c:v>196.57202562416433</c:v>
                </c:pt>
                <c:pt idx="24">
                  <c:v>221.99825658782564</c:v>
                </c:pt>
                <c:pt idx="25">
                  <c:v>247.35764363735257</c:v>
                </c:pt>
                <c:pt idx="26">
                  <c:v>271.63337657752703</c:v>
                </c:pt>
                <c:pt idx="27">
                  <c:v>295.86031593712704</c:v>
                </c:pt>
                <c:pt idx="28">
                  <c:v>320.04301686645277</c:v>
                </c:pt>
                <c:pt idx="29">
                  <c:v>344.18528987135363</c:v>
                </c:pt>
                <c:pt idx="30">
                  <c:v>368.29036734139117</c:v>
                </c:pt>
                <c:pt idx="31">
                  <c:v>270.95024442791083</c:v>
                </c:pt>
                <c:pt idx="32">
                  <c:v>292.79183050888702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377.44791553782278</c:v>
                </c:pt>
                <c:pt idx="37">
                  <c:v>396.76479421746438</c:v>
                </c:pt>
                <c:pt idx="38">
                  <c:v>416.06130692450483</c:v>
                </c:pt>
                <c:pt idx="39">
                  <c:v>435.33853059869926</c:v>
                </c:pt>
                <c:pt idx="40">
                  <c:v>454.59743907080428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433.64829237195022</c:v>
                </c:pt>
                <c:pt idx="47">
                  <c:v>448.17978162908202</c:v>
                </c:pt>
                <c:pt idx="48">
                  <c:v>462.70119023345586</c:v>
                </c:pt>
                <c:pt idx="49">
                  <c:v>477.212879043182</c:v>
                </c:pt>
                <c:pt idx="50">
                  <c:v>491.71518518509515</c:v>
                </c:pt>
                <c:pt idx="51">
                  <c:v>431.61981966331092</c:v>
                </c:pt>
                <c:pt idx="52">
                  <c:v>444.12551245998566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481.59827184865549</c:v>
                </c:pt>
                <c:pt idx="56">
                  <c:v>492.05233905304067</c:v>
                </c:pt>
                <c:pt idx="57">
                  <c:v>502.50169784424844</c:v>
                </c:pt>
                <c:pt idx="58">
                  <c:v>512.94645994076382</c:v>
                </c:pt>
                <c:pt idx="59">
                  <c:v>523.38673214011703</c:v>
                </c:pt>
                <c:pt idx="60">
                  <c:v>533.82261663157112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518.33554162748931</c:v>
                </c:pt>
                <c:pt idx="65">
                  <c:v>527.09028501417185</c:v>
                </c:pt>
                <c:pt idx="66">
                  <c:v>534.49575116718881</c:v>
                </c:pt>
                <c:pt idx="67">
                  <c:v>541.89905996909988</c:v>
                </c:pt>
                <c:pt idx="68">
                  <c:v>549.30024505818949</c:v>
                </c:pt>
                <c:pt idx="69">
                  <c:v>556.69933909209135</c:v>
                </c:pt>
                <c:pt idx="70">
                  <c:v>564.09637378931632</c:v>
                </c:pt>
                <c:pt idx="71">
                  <c:v>527.7635992605982</c:v>
                </c:pt>
                <c:pt idx="72">
                  <c:v>535.16886787415808</c:v>
                </c:pt>
                <c:pt idx="73">
                  <c:v>542.57198223629882</c:v>
                </c:pt>
                <c:pt idx="74">
                  <c:v>549.97297589437528</c:v>
                </c:pt>
                <c:pt idx="75">
                  <c:v>557.37188141896661</c:v>
                </c:pt>
                <c:pt idx="76">
                  <c:v>563.4240003694224</c:v>
                </c:pt>
                <c:pt idx="77">
                  <c:v>569.47475955098753</c:v>
                </c:pt>
                <c:pt idx="78">
                  <c:v>575.52417545438061</c:v>
                </c:pt>
                <c:pt idx="79">
                  <c:v>581.57226419525409</c:v>
                </c:pt>
                <c:pt idx="80">
                  <c:v>587.61904152662294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4979328"/>
        <c:axId val="-354986400"/>
      </c:scatterChart>
      <c:valAx>
        <c:axId val="-354979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6400"/>
        <c:crosses val="autoZero"/>
        <c:crossBetween val="midCat"/>
      </c:valAx>
      <c:valAx>
        <c:axId val="-35498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79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95.973754347721652</c:v>
                </c:pt>
                <c:pt idx="17">
                  <c:v>118.20964174983392</c:v>
                </c:pt>
                <c:pt idx="18">
                  <c:v>140.34313889366055</c:v>
                </c:pt>
                <c:pt idx="19">
                  <c:v>162.39271715740026</c:v>
                </c:pt>
                <c:pt idx="20">
                  <c:v>184.37139305479846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174.52697249791541</c:v>
                </c:pt>
                <c:pt idx="24">
                  <c:v>198.3597638396279</c:v>
                </c:pt>
                <c:pt idx="25">
                  <c:v>222.12608711761609</c:v>
                </c:pt>
                <c:pt idx="26">
                  <c:v>244.70632771903044</c:v>
                </c:pt>
                <c:pt idx="27">
                  <c:v>267.23921926263682</c:v>
                </c:pt>
                <c:pt idx="28">
                  <c:v>289.72931420493524</c:v>
                </c:pt>
                <c:pt idx="29">
                  <c:v>312.18040027213061</c:v>
                </c:pt>
                <c:pt idx="30">
                  <c:v>334.59567585759868</c:v>
                </c:pt>
                <c:pt idx="31">
                  <c:v>249.59230205465971</c:v>
                </c:pt>
                <c:pt idx="32">
                  <c:v>269.49008678800766</c:v>
                </c:pt>
                <c:pt idx="33">
                  <c:v>289.35480857103511</c:v>
                </c:pt>
                <c:pt idx="34">
                  <c:v>309.18905580466077</c:v>
                </c:pt>
                <c:pt idx="35">
                  <c:v>328.99505767197434</c:v>
                </c:pt>
                <c:pt idx="36">
                  <c:v>346.9098201406153</c:v>
                </c:pt>
                <c:pt idx="37">
                  <c:v>364.80427894845371</c:v>
                </c:pt>
                <c:pt idx="38">
                  <c:v>382.67956984614779</c:v>
                </c:pt>
                <c:pt idx="39">
                  <c:v>400.53671385047045</c:v>
                </c:pt>
                <c:pt idx="40">
                  <c:v>418.37663353903218</c:v>
                </c:pt>
                <c:pt idx="41">
                  <c:v>329.36849727470769</c:v>
                </c:pt>
                <c:pt idx="42">
                  <c:v>344.67160985755459</c:v>
                </c:pt>
                <c:pt idx="43">
                  <c:v>359.95980096859535</c:v>
                </c:pt>
                <c:pt idx="44">
                  <c:v>375.23379351840293</c:v>
                </c:pt>
                <c:pt idx="45">
                  <c:v>390.49424676672447</c:v>
                </c:pt>
                <c:pt idx="46">
                  <c:v>403.5112063253228</c:v>
                </c:pt>
                <c:pt idx="47">
                  <c:v>416.51908689232113</c:v>
                </c:pt>
                <c:pt idx="48">
                  <c:v>429.51821195249181</c:v>
                </c:pt>
                <c:pt idx="49">
                  <c:v>442.50888381337387</c:v>
                </c:pt>
                <c:pt idx="50">
                  <c:v>455.4913855857551</c:v>
                </c:pt>
                <c:pt idx="51">
                  <c:v>394.9582481771028</c:v>
                </c:pt>
                <c:pt idx="52">
                  <c:v>406.85694369927199</c:v>
                </c:pt>
                <c:pt idx="53">
                  <c:v>418.7481215104533</c:v>
                </c:pt>
                <c:pt idx="54">
                  <c:v>430.63202519963039</c:v>
                </c:pt>
                <c:pt idx="55">
                  <c:v>442.50888381337398</c:v>
                </c:pt>
                <c:pt idx="56">
                  <c:v>451.78291724664041</c:v>
                </c:pt>
                <c:pt idx="57">
                  <c:v>461.05288028198453</c:v>
                </c:pt>
                <c:pt idx="58">
                  <c:v>470.3188663227279</c:v>
                </c:pt>
                <c:pt idx="59">
                  <c:v>479.58096479059606</c:v>
                </c:pt>
                <c:pt idx="60">
                  <c:v>488.83926137072285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466.98356378402354</c:v>
                </c:pt>
                <c:pt idx="64">
                  <c:v>475.13563719240022</c:v>
                </c:pt>
                <c:pt idx="65">
                  <c:v>483.28473497109485</c:v>
                </c:pt>
                <c:pt idx="66">
                  <c:v>490.32024154627743</c:v>
                </c:pt>
                <c:pt idx="67">
                  <c:v>497.35360709544074</c:v>
                </c:pt>
                <c:pt idx="68">
                  <c:v>504.38486618031317</c:v>
                </c:pt>
                <c:pt idx="69">
                  <c:v>511.41405232000324</c:v>
                </c:pt>
                <c:pt idx="70">
                  <c:v>518.44119803666365</c:v>
                </c:pt>
                <c:pt idx="71">
                  <c:v>485.87701503548442</c:v>
                </c:pt>
                <c:pt idx="72">
                  <c:v>492.17133336598084</c:v>
                </c:pt>
                <c:pt idx="73">
                  <c:v>498.4639450680906</c:v>
                </c:pt>
                <c:pt idx="74">
                  <c:v>504.7548747369737</c:v>
                </c:pt>
                <c:pt idx="75">
                  <c:v>511.04414630438481</c:v>
                </c:pt>
                <c:pt idx="76">
                  <c:v>516.59214520035391</c:v>
                </c:pt>
                <c:pt idx="77">
                  <c:v>522.13888693652359</c:v>
                </c:pt>
                <c:pt idx="78">
                  <c:v>527.68438675921141</c:v>
                </c:pt>
                <c:pt idx="79">
                  <c:v>533.2286595679717</c:v>
                </c:pt>
                <c:pt idx="80">
                  <c:v>538.77171992708611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4985856"/>
        <c:axId val="-354981504"/>
      </c:scatterChart>
      <c:valAx>
        <c:axId val="-354985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1504"/>
        <c:crosses val="autoZero"/>
        <c:crossBetween val="midCat"/>
      </c:valAx>
      <c:valAx>
        <c:axId val="-35498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5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129.54680830169983</c:v>
                </c:pt>
                <c:pt idx="17">
                  <c:v>151.60152381964372</c:v>
                </c:pt>
                <c:pt idx="18">
                  <c:v>173.57971788519089</c:v>
                </c:pt>
                <c:pt idx="19">
                  <c:v>195.49245385292795</c:v>
                </c:pt>
                <c:pt idx="20">
                  <c:v>217.34810492356107</c:v>
                </c:pt>
                <c:pt idx="21">
                  <c:v>134.34850957742927</c:v>
                </c:pt>
                <c:pt idx="22">
                  <c:v>157.97933796889393</c:v>
                </c:pt>
                <c:pt idx="23">
                  <c:v>181.52619054784418</c:v>
                </c:pt>
                <c:pt idx="24">
                  <c:v>205.00150537285901</c:v>
                </c:pt>
                <c:pt idx="25">
                  <c:v>228.41463048777476</c:v>
                </c:pt>
                <c:pt idx="26">
                  <c:v>250.82687328804494</c:v>
                </c:pt>
                <c:pt idx="27">
                  <c:v>273.19371990423588</c:v>
                </c:pt>
                <c:pt idx="28">
                  <c:v>295.51940832091657</c:v>
                </c:pt>
                <c:pt idx="29">
                  <c:v>317.80748372626402</c:v>
                </c:pt>
                <c:pt idx="30">
                  <c:v>340.06095344521378</c:v>
                </c:pt>
                <c:pt idx="31">
                  <c:v>250.19618568369205</c:v>
                </c:pt>
                <c:pt idx="32">
                  <c:v>270.36084436950495</c:v>
                </c:pt>
                <c:pt idx="33">
                  <c:v>290.49166725088827</c:v>
                </c:pt>
                <c:pt idx="34">
                  <c:v>310.59132815273171</c:v>
                </c:pt>
                <c:pt idx="35">
                  <c:v>330.66212656242288</c:v>
                </c:pt>
                <c:pt idx="36">
                  <c:v>348.51500770260941</c:v>
                </c:pt>
                <c:pt idx="37">
                  <c:v>366.34782727581296</c:v>
                </c:pt>
                <c:pt idx="38">
                  <c:v>384.16169891713145</c:v>
                </c:pt>
                <c:pt idx="39">
                  <c:v>401.95762458122357</c:v>
                </c:pt>
                <c:pt idx="40">
                  <c:v>419.73651029301635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400.39727281265874</c:v>
                </c:pt>
                <c:pt idx="47">
                  <c:v>413.81205599750405</c:v>
                </c:pt>
                <c:pt idx="48">
                  <c:v>427.21746042467572</c:v>
                </c:pt>
                <c:pt idx="49">
                  <c:v>440.61382182647702</c:v>
                </c:pt>
                <c:pt idx="50">
                  <c:v>454.00145385629588</c:v>
                </c:pt>
                <c:pt idx="51">
                  <c:v>398.52467686288418</c:v>
                </c:pt>
                <c:pt idx="52">
                  <c:v>410.06935400448907</c:v>
                </c:pt>
                <c:pt idx="53">
                  <c:v>421.60701499489011</c:v>
                </c:pt>
                <c:pt idx="54">
                  <c:v>433.1378789253036</c:v>
                </c:pt>
                <c:pt idx="55">
                  <c:v>444.66215226871265</c:v>
                </c:pt>
                <c:pt idx="56">
                  <c:v>454.3126926644839</c:v>
                </c:pt>
                <c:pt idx="57">
                  <c:v>463.95885248418728</c:v>
                </c:pt>
                <c:pt idx="58">
                  <c:v>473.6007356675803</c:v>
                </c:pt>
                <c:pt idx="59">
                  <c:v>483.23844157610074</c:v>
                </c:pt>
                <c:pt idx="60">
                  <c:v>492.87206528378402</c:v>
                </c:pt>
                <c:pt idx="61">
                  <c:v>454.31269266448368</c:v>
                </c:pt>
                <c:pt idx="62">
                  <c:v>462.4033121825118</c:v>
                </c:pt>
                <c:pt idx="63">
                  <c:v>470.49091188062226</c:v>
                </c:pt>
                <c:pt idx="64">
                  <c:v>478.57555101045642</c:v>
                </c:pt>
                <c:pt idx="65">
                  <c:v>486.65728665769001</c:v>
                </c:pt>
                <c:pt idx="66">
                  <c:v>493.49345138740472</c:v>
                </c:pt>
                <c:pt idx="67">
                  <c:v>500.32760897792667</c:v>
                </c:pt>
                <c:pt idx="68">
                  <c:v>507.15979072537567</c:v>
                </c:pt>
                <c:pt idx="69">
                  <c:v>513.99002701350196</c:v>
                </c:pt>
                <c:pt idx="70">
                  <c:v>520.81834735232155</c:v>
                </c:pt>
                <c:pt idx="71">
                  <c:v>487.27883995922622</c:v>
                </c:pt>
                <c:pt idx="72">
                  <c:v>494.11482090374903</c:v>
                </c:pt>
                <c:pt idx="73">
                  <c:v>500.94879759294128</c:v>
                </c:pt>
                <c:pt idx="74">
                  <c:v>507.78080123832439</c:v>
                </c:pt>
                <c:pt idx="75">
                  <c:v>514.61086214265504</c:v>
                </c:pt>
                <c:pt idx="76">
                  <c:v>520.19766936950464</c:v>
                </c:pt>
                <c:pt idx="77">
                  <c:v>525.78321150537022</c:v>
                </c:pt>
                <c:pt idx="78">
                  <c:v>531.36750389275528</c:v>
                </c:pt>
                <c:pt idx="79">
                  <c:v>536.95056152521329</c:v>
                </c:pt>
                <c:pt idx="80">
                  <c:v>542.53239905890871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4983680"/>
        <c:axId val="-354982592"/>
      </c:scatterChart>
      <c:valAx>
        <c:axId val="-354983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2592"/>
        <c:crosses val="autoZero"/>
        <c:crossBetween val="midCat"/>
      </c:valAx>
      <c:valAx>
        <c:axId val="-35498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3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4984224"/>
        <c:axId val="-354985312"/>
      </c:scatterChart>
      <c:valAx>
        <c:axId val="-354984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5312"/>
        <c:crosses val="autoZero"/>
        <c:crossBetween val="midCat"/>
      </c:valAx>
      <c:valAx>
        <c:axId val="-35498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4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673.40529134445399</c:v>
                </c:pt>
                <c:pt idx="82">
                  <c:v>680.32686777604442</c:v>
                </c:pt>
                <c:pt idx="83">
                  <c:v>687.24699893228205</c:v>
                </c:pt>
                <c:pt idx="84">
                  <c:v>694.16570141773025</c:v>
                </c:pt>
                <c:pt idx="85">
                  <c:v>701.08299147898572</c:v>
                </c:pt>
                <c:pt idx="86">
                  <c:v>707.9988850159267</c:v>
                </c:pt>
                <c:pt idx="87">
                  <c:v>714.91339759250104</c:v>
                </c:pt>
                <c:pt idx="88">
                  <c:v>721.82654444707384</c:v>
                </c:pt>
                <c:pt idx="89">
                  <c:v>728.73834050235757</c:v>
                </c:pt>
                <c:pt idx="90">
                  <c:v>735.64880037494834</c:v>
                </c:pt>
                <c:pt idx="91">
                  <c:v>634.49463088348523</c:v>
                </c:pt>
                <c:pt idx="92">
                  <c:v>647.33433222460849</c:v>
                </c:pt>
                <c:pt idx="93">
                  <c:v>660.16878125310734</c:v>
                </c:pt>
                <c:pt idx="94">
                  <c:v>672.99809442020376</c:v>
                </c:pt>
                <c:pt idx="95">
                  <c:v>685.82238337756644</c:v>
                </c:pt>
                <c:pt idx="96">
                  <c:v>698.64175526304382</c:v>
                </c:pt>
                <c:pt idx="97">
                  <c:v>711.45631296434965</c:v>
                </c:pt>
                <c:pt idx="98">
                  <c:v>724.26615536277347</c:v>
                </c:pt>
                <c:pt idx="99">
                  <c:v>737.07137755876647</c:v>
                </c:pt>
                <c:pt idx="100">
                  <c:v>749.87207108104496</c:v>
                </c:pt>
                <c:pt idx="101">
                  <c:v>648.55688512470113</c:v>
                </c:pt>
                <c:pt idx="102">
                  <c:v>659.15036331603972</c:v>
                </c:pt>
                <c:pt idx="103">
                  <c:v>669.74033646098962</c:v>
                </c:pt>
                <c:pt idx="104">
                  <c:v>680.3268677760442</c:v>
                </c:pt>
                <c:pt idx="105">
                  <c:v>690.91001835052737</c:v>
                </c:pt>
                <c:pt idx="106">
                  <c:v>701.48984725034495</c:v>
                </c:pt>
                <c:pt idx="107">
                  <c:v>712.06641161515665</c:v>
                </c:pt>
                <c:pt idx="108">
                  <c:v>722.63976674947298</c:v>
                </c:pt>
                <c:pt idx="109">
                  <c:v>733.20996620815151</c:v>
                </c:pt>
                <c:pt idx="110">
                  <c:v>743.77706187670526</c:v>
                </c:pt>
                <c:pt idx="111">
                  <c:v>649.16814374322723</c:v>
                </c:pt>
                <c:pt idx="112">
                  <c:v>658.33560563795152</c:v>
                </c:pt>
                <c:pt idx="113">
                  <c:v>667.50043896177999</c:v>
                </c:pt>
                <c:pt idx="114">
                  <c:v>676.66268488632579</c:v>
                </c:pt>
                <c:pt idx="115">
                  <c:v>685.82238337756633</c:v>
                </c:pt>
                <c:pt idx="116">
                  <c:v>694.97957324712036</c:v>
                </c:pt>
                <c:pt idx="117">
                  <c:v>704.13429220068622</c:v>
                </c:pt>
                <c:pt idx="118">
                  <c:v>713.28657688382839</c:v>
                </c:pt>
                <c:pt idx="119">
                  <c:v>722.4364629252932</c:v>
                </c:pt>
                <c:pt idx="120">
                  <c:v>731.58398497801807</c:v>
                </c:pt>
                <c:pt idx="121">
                  <c:v>644.48152336118653</c:v>
                </c:pt>
                <c:pt idx="122">
                  <c:v>653.03917318988658</c:v>
                </c:pt>
                <c:pt idx="123">
                  <c:v>661.59451203421338</c:v>
                </c:pt>
                <c:pt idx="124">
                  <c:v>670.14757398808331</c:v>
                </c:pt>
                <c:pt idx="125">
                  <c:v>678.6983922042931</c:v>
                </c:pt>
                <c:pt idx="126">
                  <c:v>687.2469989322816</c:v>
                </c:pt>
                <c:pt idx="127">
                  <c:v>695.79342555391588</c:v>
                </c:pt>
                <c:pt idx="128">
                  <c:v>704.33770261742757</c:v>
                </c:pt>
                <c:pt idx="129">
                  <c:v>712.87985986961792</c:v>
                </c:pt>
                <c:pt idx="130">
                  <c:v>721.41992628643868</c:v>
                </c:pt>
                <c:pt idx="131">
                  <c:v>639.59038670342306</c:v>
                </c:pt>
                <c:pt idx="132">
                  <c:v>647.33433222460826</c:v>
                </c:pt>
                <c:pt idx="133">
                  <c:v>655.07636694999758</c:v>
                </c:pt>
                <c:pt idx="134">
                  <c:v>662.81651664582535</c:v>
                </c:pt>
                <c:pt idx="135">
                  <c:v>670.55480642750695</c:v>
                </c:pt>
                <c:pt idx="136">
                  <c:v>678.29126078355796</c:v>
                </c:pt>
                <c:pt idx="137">
                  <c:v>686.02590359836893</c:v>
                </c:pt>
                <c:pt idx="138">
                  <c:v>693.75875817389749</c:v>
                </c:pt>
                <c:pt idx="139">
                  <c:v>701.48984725034495</c:v>
                </c:pt>
                <c:pt idx="140">
                  <c:v>709.21919302587378</c:v>
                </c:pt>
                <c:pt idx="141">
                  <c:v>632.86381068293758</c:v>
                </c:pt>
                <c:pt idx="142">
                  <c:v>639.99801084602711</c:v>
                </c:pt>
                <c:pt idx="143">
                  <c:v>647.13056877940437</c:v>
                </c:pt>
                <c:pt idx="144">
                  <c:v>654.26150513657456</c:v>
                </c:pt>
                <c:pt idx="145">
                  <c:v>661.39084008410452</c:v>
                </c:pt>
                <c:pt idx="146">
                  <c:v>668.51859331833941</c:v>
                </c:pt>
                <c:pt idx="147">
                  <c:v>675.6447840813737</c:v>
                </c:pt>
                <c:pt idx="148">
                  <c:v>682.76943117630992</c:v>
                </c:pt>
                <c:pt idx="149">
                  <c:v>689.89255298185026</c:v>
                </c:pt>
                <c:pt idx="150">
                  <c:v>697.01416746625239</c:v>
                </c:pt>
                <c:pt idx="151">
                  <c:v>621.64955566883862</c:v>
                </c:pt>
                <c:pt idx="152">
                  <c:v>621.64955566883862</c:v>
                </c:pt>
                <c:pt idx="153">
                  <c:v>621.64955566883862</c:v>
                </c:pt>
                <c:pt idx="154">
                  <c:v>621.64955566883862</c:v>
                </c:pt>
                <c:pt idx="155">
                  <c:v>621.64955566883862</c:v>
                </c:pt>
                <c:pt idx="156">
                  <c:v>621.64955566883862</c:v>
                </c:pt>
                <c:pt idx="157">
                  <c:v>621.64955566883862</c:v>
                </c:pt>
                <c:pt idx="158">
                  <c:v>621.64955566883862</c:v>
                </c:pt>
                <c:pt idx="159">
                  <c:v>621.64955566883862</c:v>
                </c:pt>
                <c:pt idx="160">
                  <c:v>621.64955566883862</c:v>
                </c:pt>
                <c:pt idx="161">
                  <c:v>621.64955566883862</c:v>
                </c:pt>
                <c:pt idx="162">
                  <c:v>621.64955566883862</c:v>
                </c:pt>
                <c:pt idx="163">
                  <c:v>621.64955566883862</c:v>
                </c:pt>
                <c:pt idx="164">
                  <c:v>621.64955566883862</c:v>
                </c:pt>
                <c:pt idx="165">
                  <c:v>621.64955566883862</c:v>
                </c:pt>
                <c:pt idx="166">
                  <c:v>621.64955566883862</c:v>
                </c:pt>
                <c:pt idx="167">
                  <c:v>621.64955566883862</c:v>
                </c:pt>
                <c:pt idx="168">
                  <c:v>621.64955566883862</c:v>
                </c:pt>
                <c:pt idx="169">
                  <c:v>621.64955566883862</c:v>
                </c:pt>
                <c:pt idx="170">
                  <c:v>621.64955566883862</c:v>
                </c:pt>
                <c:pt idx="171">
                  <c:v>621.64955566883862</c:v>
                </c:pt>
                <c:pt idx="172">
                  <c:v>621.64955566883862</c:v>
                </c:pt>
                <c:pt idx="173">
                  <c:v>621.64955566883862</c:v>
                </c:pt>
                <c:pt idx="174">
                  <c:v>621.64955566883862</c:v>
                </c:pt>
                <c:pt idx="175">
                  <c:v>621.64955566883862</c:v>
                </c:pt>
                <c:pt idx="176">
                  <c:v>621.64955566883862</c:v>
                </c:pt>
                <c:pt idx="177">
                  <c:v>621.64955566883862</c:v>
                </c:pt>
                <c:pt idx="178">
                  <c:v>621.64955566883862</c:v>
                </c:pt>
                <c:pt idx="179">
                  <c:v>621.64955566883862</c:v>
                </c:pt>
                <c:pt idx="180">
                  <c:v>621.64955566883862</c:v>
                </c:pt>
                <c:pt idx="181">
                  <c:v>621.64955566883862</c:v>
                </c:pt>
                <c:pt idx="182">
                  <c:v>621.64955566883862</c:v>
                </c:pt>
                <c:pt idx="183">
                  <c:v>621.64955566883862</c:v>
                </c:pt>
                <c:pt idx="184">
                  <c:v>621.64955566883862</c:v>
                </c:pt>
                <c:pt idx="185">
                  <c:v>621.64955566883862</c:v>
                </c:pt>
                <c:pt idx="186">
                  <c:v>621.64955566883862</c:v>
                </c:pt>
                <c:pt idx="187">
                  <c:v>621.64955566883862</c:v>
                </c:pt>
                <c:pt idx="188">
                  <c:v>621.64955566883862</c:v>
                </c:pt>
                <c:pt idx="189">
                  <c:v>621.64955566883862</c:v>
                </c:pt>
                <c:pt idx="190">
                  <c:v>621.64955566883862</c:v>
                </c:pt>
                <c:pt idx="191">
                  <c:v>621.64955566883862</c:v>
                </c:pt>
                <c:pt idx="192">
                  <c:v>621.64955566883862</c:v>
                </c:pt>
                <c:pt idx="193">
                  <c:v>621.64955566883862</c:v>
                </c:pt>
                <c:pt idx="194">
                  <c:v>621.64955566883862</c:v>
                </c:pt>
                <c:pt idx="195">
                  <c:v>621.64955566883862</c:v>
                </c:pt>
                <c:pt idx="196">
                  <c:v>621.64955566883862</c:v>
                </c:pt>
                <c:pt idx="197">
                  <c:v>621.64955566883862</c:v>
                </c:pt>
                <c:pt idx="198">
                  <c:v>621.64955566883862</c:v>
                </c:pt>
                <c:pt idx="199">
                  <c:v>621.64955566883862</c:v>
                </c:pt>
                <c:pt idx="200">
                  <c:v>621.64955566883862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4983136"/>
        <c:axId val="-345756752"/>
      </c:scatterChart>
      <c:valAx>
        <c:axId val="-354983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5756752"/>
        <c:crosses val="autoZero"/>
        <c:crossBetween val="midCat"/>
      </c:valAx>
      <c:valAx>
        <c:axId val="-34575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4983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5761648"/>
        <c:axId val="-345757296"/>
      </c:scatterChart>
      <c:valAx>
        <c:axId val="-345761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5757296"/>
        <c:crosses val="autoZero"/>
        <c:crossBetween val="midCat"/>
      </c:valAx>
      <c:valAx>
        <c:axId val="-34575729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5761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70" zoomScaleNormal="70" workbookViewId="0">
      <selection activeCell="B272" sqref="B27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2.09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0.25</v>
      </c>
      <c r="D9" s="36">
        <f t="shared" ref="D9:D18" si="0">C9*$C$5</f>
        <v>0.52249999999999996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0.2</v>
      </c>
      <c r="D10" s="36">
        <f t="shared" si="0"/>
        <v>0.41799999999999998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22</v>
      </c>
      <c r="C11" s="35">
        <v>0.1</v>
      </c>
      <c r="D11" s="36">
        <f t="shared" si="0"/>
        <v>0.20899999999999999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23</v>
      </c>
      <c r="C12" s="35">
        <v>0.05</v>
      </c>
      <c r="D12" s="36">
        <f t="shared" si="0"/>
        <v>0.1045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21</v>
      </c>
      <c r="C13" s="35">
        <v>0.05</v>
      </c>
      <c r="D13" s="36">
        <f t="shared" si="0"/>
        <v>0.1045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8</v>
      </c>
      <c r="C14" s="35">
        <v>0.06</v>
      </c>
      <c r="D14" s="36">
        <f t="shared" si="0"/>
        <v>0.12539999999999998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6</v>
      </c>
      <c r="C15" s="35">
        <v>0.1</v>
      </c>
      <c r="D15" s="36">
        <f t="shared" si="0"/>
        <v>0.20899999999999999</v>
      </c>
      <c r="E15" s="37">
        <v>120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1</v>
      </c>
      <c r="C16" s="35">
        <v>0.05</v>
      </c>
      <c r="D16" s="36">
        <f t="shared" si="0"/>
        <v>0.1045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29</v>
      </c>
      <c r="C17" s="35">
        <v>0.05</v>
      </c>
      <c r="D17" s="36">
        <f t="shared" si="0"/>
        <v>0.1045</v>
      </c>
      <c r="E17" s="37">
        <v>69</v>
      </c>
      <c r="F17" s="38" t="str">
        <f t="array" ref="F17">IF(E17="","",IF(INDEX(A:A,MAX(IF(ISNUMBER($A$244:$A$263),ROW($A$244:$A$263),"")))&lt;&gt;E17,"Corrigez : révolution incorrecte","OK"))</f>
        <v>OK</v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50</v>
      </c>
      <c r="C18" s="35">
        <v>0.04</v>
      </c>
      <c r="D18" s="36">
        <f t="shared" si="0"/>
        <v>8.3599999999999994E-2</v>
      </c>
      <c r="E18" s="37">
        <v>110</v>
      </c>
      <c r="F18" s="38" t="str">
        <f t="array" ref="F18">IF(E18="","",IF(INDEX(A:A,MAX(IF(ISNUMBER($A$270:$A$289),ROW($A$270:$A$289),"")))&lt;&gt;E18,"Corrigez : révolution incorrecte","OK"))</f>
        <v>OK</v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0.95000000000000029</v>
      </c>
      <c r="D19" s="41">
        <f>SUM(D9:D18)</f>
        <v>1.9855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f>67+6</f>
        <v>73</v>
      </c>
      <c r="C36" s="54"/>
      <c r="D36" s="63"/>
      <c r="E36" s="63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63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93+28</f>
        <v>121</v>
      </c>
      <c r="C38" s="63"/>
      <c r="D38" s="63"/>
      <c r="E38" s="63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63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147+28</f>
        <v>175</v>
      </c>
      <c r="C40" s="63"/>
      <c r="D40" s="63"/>
      <c r="E40" s="63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63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203+28</f>
        <v>231</v>
      </c>
      <c r="C42" s="63"/>
      <c r="D42" s="63"/>
      <c r="E42" s="63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2">
        <v>55</v>
      </c>
      <c r="B43" s="63">
        <f>226+28+28</f>
        <v>282</v>
      </c>
      <c r="C43" s="63">
        <v>4</v>
      </c>
      <c r="D43" s="63">
        <f>28+28</f>
        <v>56</v>
      </c>
      <c r="E43" s="63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2">
        <v>60</v>
      </c>
      <c r="B44" s="63">
        <f>245+28</f>
        <v>273</v>
      </c>
      <c r="C44" s="63"/>
      <c r="D44" s="63"/>
      <c r="E44" s="63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2">
        <v>65</v>
      </c>
      <c r="B45" s="63">
        <f>261+28+28</f>
        <v>317</v>
      </c>
      <c r="C45" s="63">
        <v>5</v>
      </c>
      <c r="D45" s="63">
        <f>28+28</f>
        <v>56</v>
      </c>
      <c r="E45" s="63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2">
        <v>70</v>
      </c>
      <c r="B46" s="63">
        <f>274+28</f>
        <v>302</v>
      </c>
      <c r="C46" s="63"/>
      <c r="D46" s="63"/>
      <c r="E46" s="63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2">
        <v>75</v>
      </c>
      <c r="B47" s="63">
        <f>284+28+28</f>
        <v>340</v>
      </c>
      <c r="C47" s="63">
        <v>6</v>
      </c>
      <c r="D47" s="63">
        <f>28+28</f>
        <v>56</v>
      </c>
      <c r="E47" s="63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2">
        <v>80</v>
      </c>
      <c r="B48" s="63">
        <f>292+28</f>
        <v>320</v>
      </c>
      <c r="C48" s="63"/>
      <c r="D48" s="63"/>
      <c r="E48" s="63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2">
        <v>90</v>
      </c>
      <c r="B49" s="63">
        <f>298+28+28</f>
        <v>354</v>
      </c>
      <c r="C49" s="63">
        <v>7</v>
      </c>
      <c r="D49" s="63">
        <f>28+28</f>
        <v>56</v>
      </c>
      <c r="E49" s="63"/>
      <c r="F49" s="54"/>
      <c r="G49" s="54"/>
      <c r="H49" s="54"/>
      <c r="I49" s="52">
        <f t="shared" si="1"/>
        <v>3.4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2">
        <v>100</v>
      </c>
      <c r="B50" s="63">
        <f>306+27+28</f>
        <v>361</v>
      </c>
      <c r="C50" s="53">
        <v>8</v>
      </c>
      <c r="D50" s="63">
        <f>27+28</f>
        <v>55</v>
      </c>
      <c r="E50" s="63"/>
      <c r="F50" s="54"/>
      <c r="G50" s="54"/>
      <c r="H50" s="54"/>
      <c r="I50" s="52">
        <f t="shared" si="1"/>
        <v>6.3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2">
        <v>110</v>
      </c>
      <c r="B51" s="63">
        <f>307+25+26</f>
        <v>358</v>
      </c>
      <c r="C51" s="53">
        <v>9</v>
      </c>
      <c r="D51" s="63">
        <f>25+26</f>
        <v>51</v>
      </c>
      <c r="E51" s="63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2">
        <v>120</v>
      </c>
      <c r="B52" s="63">
        <f>305+23+24</f>
        <v>352</v>
      </c>
      <c r="C52" s="53">
        <v>10</v>
      </c>
      <c r="D52" s="63">
        <f>23+24</f>
        <v>47</v>
      </c>
      <c r="E52" s="63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2">
        <v>130</v>
      </c>
      <c r="B53" s="63">
        <f>303+22+22</f>
        <v>347</v>
      </c>
      <c r="C53" s="53">
        <v>11</v>
      </c>
      <c r="D53" s="63">
        <f>22+22</f>
        <v>44</v>
      </c>
      <c r="E53" s="63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2">
        <v>140</v>
      </c>
      <c r="B54" s="63">
        <f>300+20+21</f>
        <v>341</v>
      </c>
      <c r="C54" s="53">
        <v>12</v>
      </c>
      <c r="D54" s="63">
        <f>20+21</f>
        <v>41</v>
      </c>
      <c r="E54" s="63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2">
        <v>150</v>
      </c>
      <c r="B55" s="63">
        <f>298+18+19</f>
        <v>335</v>
      </c>
      <c r="C55" s="53">
        <v>13</v>
      </c>
      <c r="D55" s="63">
        <f>18+19</f>
        <v>37</v>
      </c>
      <c r="E55" s="63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f>67+6</f>
        <v>73</v>
      </c>
      <c r="C62" s="54"/>
      <c r="D62" s="63"/>
      <c r="E62" s="63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75+6+28</f>
        <v>109</v>
      </c>
      <c r="C63" s="63">
        <v>1</v>
      </c>
      <c r="D63" s="63">
        <f>6+28</f>
        <v>34</v>
      </c>
      <c r="E63" s="63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93+28</f>
        <v>121</v>
      </c>
      <c r="C64" s="63"/>
      <c r="D64" s="63"/>
      <c r="E64" s="63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119+28+28</f>
        <v>175</v>
      </c>
      <c r="C65" s="63">
        <v>2</v>
      </c>
      <c r="D65" s="63">
        <f>28+28</f>
        <v>56</v>
      </c>
      <c r="E65" s="63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147+28</f>
        <v>175</v>
      </c>
      <c r="C66" s="63"/>
      <c r="D66" s="63"/>
      <c r="E66" s="63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176+28+28</f>
        <v>232</v>
      </c>
      <c r="C67" s="63">
        <v>3</v>
      </c>
      <c r="D67" s="63">
        <f>28+28</f>
        <v>56</v>
      </c>
      <c r="E67" s="63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203+28</f>
        <v>231</v>
      </c>
      <c r="C68" s="63"/>
      <c r="D68" s="63"/>
      <c r="E68" s="63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2">
        <v>55</v>
      </c>
      <c r="B69" s="63">
        <f>226+28+28</f>
        <v>282</v>
      </c>
      <c r="C69" s="63">
        <v>4</v>
      </c>
      <c r="D69" s="63">
        <f>28+28</f>
        <v>56</v>
      </c>
      <c r="E69" s="63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82">
        <v>60</v>
      </c>
      <c r="B70" s="63">
        <f>245+28</f>
        <v>273</v>
      </c>
      <c r="C70" s="63"/>
      <c r="D70" s="63"/>
      <c r="E70" s="63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82">
        <v>65</v>
      </c>
      <c r="B71" s="63">
        <f>261+28+28</f>
        <v>317</v>
      </c>
      <c r="C71" s="63">
        <v>5</v>
      </c>
      <c r="D71" s="63">
        <f>28+28</f>
        <v>56</v>
      </c>
      <c r="E71" s="63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82">
        <v>70</v>
      </c>
      <c r="B72" s="63">
        <f>274+28</f>
        <v>302</v>
      </c>
      <c r="C72" s="63"/>
      <c r="D72" s="63"/>
      <c r="E72" s="63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2">
        <v>75</v>
      </c>
      <c r="B73" s="63">
        <f>284+28+28</f>
        <v>340</v>
      </c>
      <c r="C73" s="63">
        <v>6</v>
      </c>
      <c r="D73" s="63">
        <f>28+28</f>
        <v>56</v>
      </c>
      <c r="E73" s="63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82">
        <v>80</v>
      </c>
      <c r="B74" s="63">
        <f>292+28</f>
        <v>320</v>
      </c>
      <c r="C74" s="63"/>
      <c r="D74" s="63"/>
      <c r="E74" s="63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82">
        <v>90</v>
      </c>
      <c r="B75" s="63">
        <f>298+28+28</f>
        <v>354</v>
      </c>
      <c r="C75" s="63">
        <v>7</v>
      </c>
      <c r="D75" s="63">
        <f>28+28</f>
        <v>56</v>
      </c>
      <c r="E75" s="63"/>
      <c r="F75" s="54"/>
      <c r="G75" s="54"/>
      <c r="H75" s="54"/>
      <c r="I75" s="52">
        <f t="shared" si="2"/>
        <v>3.4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82">
        <v>100</v>
      </c>
      <c r="B76" s="63">
        <f>306+27+28</f>
        <v>361</v>
      </c>
      <c r="C76" s="53">
        <v>8</v>
      </c>
      <c r="D76" s="63">
        <f>27+28</f>
        <v>55</v>
      </c>
      <c r="E76" s="63"/>
      <c r="F76" s="54"/>
      <c r="G76" s="54"/>
      <c r="H76" s="54"/>
      <c r="I76" s="52">
        <f t="shared" si="2"/>
        <v>6.3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82">
        <v>110</v>
      </c>
      <c r="B77" s="63">
        <f>307+25+26</f>
        <v>358</v>
      </c>
      <c r="C77" s="53">
        <v>9</v>
      </c>
      <c r="D77" s="63">
        <f>25+26</f>
        <v>51</v>
      </c>
      <c r="E77" s="63"/>
      <c r="F77" s="54"/>
      <c r="G77" s="54"/>
      <c r="H77" s="54"/>
      <c r="I77" s="52">
        <f t="shared" si="2"/>
        <v>5.2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82">
        <v>120</v>
      </c>
      <c r="B78" s="63">
        <f>305+23+24</f>
        <v>352</v>
      </c>
      <c r="C78" s="53">
        <v>10</v>
      </c>
      <c r="D78" s="63">
        <f>23+24</f>
        <v>47</v>
      </c>
      <c r="E78" s="63"/>
      <c r="F78" s="54"/>
      <c r="G78" s="54"/>
      <c r="H78" s="54"/>
      <c r="I78" s="52">
        <f t="shared" si="2"/>
        <v>4.5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82">
        <v>130</v>
      </c>
      <c r="B79" s="63">
        <f>303+22+22</f>
        <v>347</v>
      </c>
      <c r="C79" s="53">
        <v>11</v>
      </c>
      <c r="D79" s="63">
        <f>22+22</f>
        <v>44</v>
      </c>
      <c r="E79" s="63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282">
        <v>140</v>
      </c>
      <c r="B80" s="63">
        <f>300+20+21</f>
        <v>341</v>
      </c>
      <c r="C80" s="53">
        <v>12</v>
      </c>
      <c r="D80" s="63">
        <f>20+21</f>
        <v>41</v>
      </c>
      <c r="E80" s="63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282">
        <v>150</v>
      </c>
      <c r="B81" s="63">
        <f>298+18+19</f>
        <v>335</v>
      </c>
      <c r="C81" s="53">
        <v>13</v>
      </c>
      <c r="D81" s="63">
        <f>18+19</f>
        <v>37</v>
      </c>
      <c r="E81" s="63"/>
      <c r="F81" s="54"/>
      <c r="G81" s="54"/>
      <c r="H81" s="54"/>
      <c r="I81" s="52">
        <f t="shared" si="2"/>
        <v>3.5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plane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10</v>
      </c>
      <c r="B88" s="63">
        <f>11</f>
        <v>11</v>
      </c>
      <c r="C88" s="63"/>
      <c r="D88" s="63"/>
      <c r="E88" s="54"/>
      <c r="F88" s="54"/>
      <c r="G88" s="54"/>
      <c r="H88" s="93"/>
      <c r="I88" s="56">
        <f>IFERROR(B88/A88,"")</f>
        <v>1.1000000000000001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15</v>
      </c>
      <c r="B89" s="63">
        <f>65+0</f>
        <v>65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20</v>
      </c>
      <c r="B90" s="63">
        <f>102+32+0</f>
        <v>134</v>
      </c>
      <c r="C90" s="63">
        <v>1</v>
      </c>
      <c r="D90" s="63">
        <f>35+32</f>
        <v>67</v>
      </c>
      <c r="E90" s="93"/>
      <c r="F90" s="93"/>
      <c r="G90" s="93"/>
      <c r="H90" s="54">
        <v>1</v>
      </c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25</v>
      </c>
      <c r="B91" s="63">
        <f>141</f>
        <v>141</v>
      </c>
      <c r="C91" s="63"/>
      <c r="D91" s="63"/>
      <c r="E91" s="93"/>
      <c r="F91" s="93"/>
      <c r="G91" s="93"/>
      <c r="H91" s="54"/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30</v>
      </c>
      <c r="B92" s="63">
        <f>177+35</f>
        <v>212</v>
      </c>
      <c r="C92" s="63">
        <v>2</v>
      </c>
      <c r="D92" s="63">
        <f>35+35</f>
        <v>70</v>
      </c>
      <c r="E92" s="93"/>
      <c r="F92" s="93"/>
      <c r="G92" s="93"/>
      <c r="H92" s="54">
        <v>1</v>
      </c>
      <c r="I92" s="56">
        <f t="shared" si="3"/>
        <v>14.2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35</v>
      </c>
      <c r="B93" s="63">
        <f>206</f>
        <v>206</v>
      </c>
      <c r="C93" s="63"/>
      <c r="D93" s="63"/>
      <c r="E93" s="93"/>
      <c r="F93" s="93"/>
      <c r="G93" s="93"/>
      <c r="H93" s="93"/>
      <c r="I93" s="56">
        <f t="shared" si="3"/>
        <v>12.8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40</v>
      </c>
      <c r="B94" s="63">
        <f>228+35</f>
        <v>263</v>
      </c>
      <c r="C94" s="63">
        <v>3</v>
      </c>
      <c r="D94" s="63">
        <f>35+35</f>
        <v>70</v>
      </c>
      <c r="E94" s="93"/>
      <c r="F94" s="93"/>
      <c r="G94" s="93"/>
      <c r="H94" s="93"/>
      <c r="I94" s="56">
        <f t="shared" si="3"/>
        <v>11.4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45</v>
      </c>
      <c r="B95" s="63">
        <f>242</f>
        <v>242</v>
      </c>
      <c r="C95" s="63"/>
      <c r="D95" s="63"/>
      <c r="E95" s="93"/>
      <c r="F95" s="93"/>
      <c r="G95" s="93"/>
      <c r="H95" s="93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50</v>
      </c>
      <c r="B96" s="63">
        <f>261+24</f>
        <v>285</v>
      </c>
      <c r="C96" s="63">
        <v>4</v>
      </c>
      <c r="D96" s="63">
        <f>24+19</f>
        <v>43</v>
      </c>
      <c r="E96" s="93"/>
      <c r="F96" s="93"/>
      <c r="G96" s="93"/>
      <c r="H96" s="93"/>
      <c r="I96" s="56">
        <f t="shared" si="3"/>
        <v>8.6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55</v>
      </c>
      <c r="B97" s="63">
        <f>279</f>
        <v>279</v>
      </c>
      <c r="C97" s="63"/>
      <c r="D97" s="63"/>
      <c r="E97" s="93"/>
      <c r="F97" s="93"/>
      <c r="G97" s="93"/>
      <c r="H97" s="93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60</v>
      </c>
      <c r="B98" s="63">
        <f>294+16</f>
        <v>310</v>
      </c>
      <c r="C98" s="63">
        <v>5</v>
      </c>
      <c r="D98" s="63">
        <f>16+14</f>
        <v>30</v>
      </c>
      <c r="E98" s="93"/>
      <c r="F98" s="93"/>
      <c r="G98" s="93"/>
      <c r="H98" s="93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65</v>
      </c>
      <c r="B99" s="63">
        <f>306</f>
        <v>306</v>
      </c>
      <c r="C99" s="63"/>
      <c r="D99" s="63"/>
      <c r="E99" s="93"/>
      <c r="F99" s="93"/>
      <c r="G99" s="93"/>
      <c r="H99" s="93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70</v>
      </c>
      <c r="B100" s="63">
        <f>315+13</f>
        <v>328</v>
      </c>
      <c r="C100" s="63">
        <v>6</v>
      </c>
      <c r="D100" s="63">
        <f>13+13</f>
        <v>26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75</v>
      </c>
      <c r="B101" s="63">
        <f>324</f>
        <v>324</v>
      </c>
      <c r="C101" s="63"/>
      <c r="D101" s="63"/>
      <c r="E101" s="68"/>
      <c r="F101" s="68"/>
      <c r="G101" s="68"/>
      <c r="H101" s="68"/>
      <c r="I101" s="56">
        <f t="shared" si="3"/>
        <v>4.4000000000000004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80</v>
      </c>
      <c r="B102" s="63">
        <f>330+12</f>
        <v>342</v>
      </c>
      <c r="C102" s="63">
        <v>7</v>
      </c>
      <c r="D102" s="53">
        <f>342</f>
        <v>342</v>
      </c>
      <c r="E102" s="57"/>
      <c r="F102" s="57"/>
      <c r="G102" s="57"/>
      <c r="H102" s="57"/>
      <c r="I102" s="56">
        <f t="shared" si="3"/>
        <v>3.6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Erable sycomore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10</v>
      </c>
      <c r="B114" s="63">
        <f>11</f>
        <v>11</v>
      </c>
      <c r="C114" s="63"/>
      <c r="D114" s="63"/>
      <c r="E114" s="54"/>
      <c r="F114" s="54"/>
      <c r="G114" s="54"/>
      <c r="H114" s="93"/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15</v>
      </c>
      <c r="B115" s="63">
        <f>65+0</f>
        <v>65</v>
      </c>
      <c r="C115" s="63"/>
      <c r="D115" s="63"/>
      <c r="E115" s="54"/>
      <c r="F115" s="54"/>
      <c r="G115" s="54"/>
      <c r="H115" s="93"/>
      <c r="I115" s="56">
        <f t="shared" ref="I115:I133" si="4">IF(A115&lt;&gt;0,(B115-(B114-D114))/(A115-A114),"")</f>
        <v>10.8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20</v>
      </c>
      <c r="B116" s="63">
        <f>102+32+0</f>
        <v>134</v>
      </c>
      <c r="C116" s="63">
        <v>1</v>
      </c>
      <c r="D116" s="63">
        <f>35+32</f>
        <v>67</v>
      </c>
      <c r="E116" s="93"/>
      <c r="F116" s="93"/>
      <c r="G116" s="93"/>
      <c r="H116" s="54">
        <v>1</v>
      </c>
      <c r="I116" s="56">
        <f t="shared" si="4"/>
        <v>13.8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25</v>
      </c>
      <c r="B117" s="63">
        <f>141</f>
        <v>141</v>
      </c>
      <c r="C117" s="63"/>
      <c r="D117" s="63"/>
      <c r="E117" s="93"/>
      <c r="F117" s="93"/>
      <c r="G117" s="93"/>
      <c r="H117" s="54"/>
      <c r="I117" s="56">
        <f t="shared" si="4"/>
        <v>14.8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30</v>
      </c>
      <c r="B118" s="63">
        <f>177+35</f>
        <v>212</v>
      </c>
      <c r="C118" s="63">
        <v>2</v>
      </c>
      <c r="D118" s="63">
        <f>35+35</f>
        <v>70</v>
      </c>
      <c r="E118" s="93"/>
      <c r="F118" s="93"/>
      <c r="G118" s="93"/>
      <c r="H118" s="54">
        <v>1</v>
      </c>
      <c r="I118" s="56">
        <f t="shared" si="4"/>
        <v>14.2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35</v>
      </c>
      <c r="B119" s="63">
        <f>206</f>
        <v>206</v>
      </c>
      <c r="C119" s="63"/>
      <c r="D119" s="63"/>
      <c r="E119" s="93"/>
      <c r="F119" s="93"/>
      <c r="G119" s="93"/>
      <c r="H119" s="93"/>
      <c r="I119" s="56">
        <f t="shared" si="4"/>
        <v>12.8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40</v>
      </c>
      <c r="B120" s="63">
        <f>228+35</f>
        <v>263</v>
      </c>
      <c r="C120" s="63">
        <v>3</v>
      </c>
      <c r="D120" s="63">
        <f>35+35</f>
        <v>70</v>
      </c>
      <c r="E120" s="93"/>
      <c r="F120" s="93"/>
      <c r="G120" s="93"/>
      <c r="H120" s="93"/>
      <c r="I120" s="56">
        <f t="shared" si="4"/>
        <v>11.4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45</v>
      </c>
      <c r="B121" s="63">
        <f>242</f>
        <v>242</v>
      </c>
      <c r="C121" s="63"/>
      <c r="D121" s="63"/>
      <c r="E121" s="93"/>
      <c r="F121" s="93"/>
      <c r="G121" s="93"/>
      <c r="H121" s="93"/>
      <c r="I121" s="56">
        <f t="shared" si="4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50</v>
      </c>
      <c r="B122" s="63">
        <f>261+24</f>
        <v>285</v>
      </c>
      <c r="C122" s="63">
        <v>4</v>
      </c>
      <c r="D122" s="63">
        <f>24+19</f>
        <v>43</v>
      </c>
      <c r="E122" s="93"/>
      <c r="F122" s="93"/>
      <c r="G122" s="93"/>
      <c r="H122" s="93"/>
      <c r="I122" s="56">
        <f t="shared" si="4"/>
        <v>8.6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55</v>
      </c>
      <c r="B123" s="63">
        <f>279</f>
        <v>279</v>
      </c>
      <c r="C123" s="63"/>
      <c r="D123" s="63"/>
      <c r="E123" s="93"/>
      <c r="F123" s="93"/>
      <c r="G123" s="93"/>
      <c r="H123" s="93"/>
      <c r="I123" s="56">
        <f t="shared" si="4"/>
        <v>7.4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60</v>
      </c>
      <c r="B124" s="63">
        <f>294+16</f>
        <v>310</v>
      </c>
      <c r="C124" s="63">
        <v>5</v>
      </c>
      <c r="D124" s="63">
        <f>16+14</f>
        <v>30</v>
      </c>
      <c r="E124" s="93"/>
      <c r="F124" s="93"/>
      <c r="G124" s="93"/>
      <c r="H124" s="93"/>
      <c r="I124" s="56">
        <f t="shared" si="4"/>
        <v>6.2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65</v>
      </c>
      <c r="B125" s="63">
        <f>306</f>
        <v>306</v>
      </c>
      <c r="C125" s="63"/>
      <c r="D125" s="63"/>
      <c r="E125" s="93"/>
      <c r="F125" s="93"/>
      <c r="G125" s="93"/>
      <c r="H125" s="93"/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70</v>
      </c>
      <c r="B126" s="63">
        <f>315+13</f>
        <v>328</v>
      </c>
      <c r="C126" s="63">
        <v>6</v>
      </c>
      <c r="D126" s="63">
        <f>13+13</f>
        <v>26</v>
      </c>
      <c r="E126" s="68"/>
      <c r="F126" s="68"/>
      <c r="G126" s="68"/>
      <c r="H126" s="68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75</v>
      </c>
      <c r="B127" s="63">
        <f>324</f>
        <v>324</v>
      </c>
      <c r="C127" s="63"/>
      <c r="D127" s="63"/>
      <c r="E127" s="68"/>
      <c r="F127" s="68"/>
      <c r="G127" s="68"/>
      <c r="H127" s="68"/>
      <c r="I127" s="56">
        <f t="shared" si="4"/>
        <v>4.4000000000000004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80</v>
      </c>
      <c r="B128" s="63">
        <f>330+12</f>
        <v>342</v>
      </c>
      <c r="C128" s="63">
        <v>7</v>
      </c>
      <c r="D128" s="53">
        <v>342</v>
      </c>
      <c r="E128" s="57"/>
      <c r="F128" s="57"/>
      <c r="G128" s="57"/>
      <c r="H128" s="57"/>
      <c r="I128" s="56">
        <f t="shared" si="4"/>
        <v>3.6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Erable champêtre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f>37</f>
        <v>37</v>
      </c>
      <c r="C140" s="53"/>
      <c r="D140" s="63"/>
      <c r="E140" s="54"/>
      <c r="F140" s="54"/>
      <c r="G140" s="54"/>
      <c r="H140" s="54"/>
      <c r="I140" s="60">
        <f>IFERROR(B140/A140,"")</f>
        <v>2.4666666666666668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f>80+15</f>
        <v>95</v>
      </c>
      <c r="C141" s="53">
        <v>1</v>
      </c>
      <c r="D141" s="63">
        <f>28+15</f>
        <v>43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11.6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f>115</f>
        <v>115</v>
      </c>
      <c r="C142" s="53"/>
      <c r="D142" s="63"/>
      <c r="E142" s="54"/>
      <c r="F142" s="54"/>
      <c r="G142" s="54"/>
      <c r="H142" s="54"/>
      <c r="I142" s="60">
        <f t="shared" si="5"/>
        <v>12.6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3">
        <f>147+28</f>
        <v>175</v>
      </c>
      <c r="C143" s="53">
        <v>2</v>
      </c>
      <c r="D143" s="63">
        <f>28+28</f>
        <v>56</v>
      </c>
      <c r="E143" s="54"/>
      <c r="F143" s="54"/>
      <c r="G143" s="54"/>
      <c r="H143" s="54">
        <v>1</v>
      </c>
      <c r="I143" s="60">
        <f t="shared" si="5"/>
        <v>12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3">
        <f>172</f>
        <v>172</v>
      </c>
      <c r="C144" s="53"/>
      <c r="D144" s="63"/>
      <c r="E144" s="54"/>
      <c r="F144" s="54"/>
      <c r="G144" s="54"/>
      <c r="H144" s="54"/>
      <c r="I144" s="60">
        <f t="shared" si="5"/>
        <v>10.6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3">
        <f>192+28</f>
        <v>220</v>
      </c>
      <c r="C145" s="53">
        <v>3</v>
      </c>
      <c r="D145" s="63">
        <f>28+28</f>
        <v>56</v>
      </c>
      <c r="E145" s="54"/>
      <c r="F145" s="54"/>
      <c r="G145" s="54"/>
      <c r="H145" s="54"/>
      <c r="I145" s="60">
        <f t="shared" si="5"/>
        <v>9.6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45</v>
      </c>
      <c r="B146" s="63">
        <f>205</f>
        <v>205</v>
      </c>
      <c r="C146" s="53"/>
      <c r="D146" s="63"/>
      <c r="E146" s="54"/>
      <c r="F146" s="54"/>
      <c r="G146" s="54"/>
      <c r="H146" s="54"/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50</v>
      </c>
      <c r="B147" s="63">
        <f>218+22</f>
        <v>240</v>
      </c>
      <c r="C147" s="53">
        <v>4</v>
      </c>
      <c r="D147" s="63">
        <f>17+22</f>
        <v>39</v>
      </c>
      <c r="E147" s="54"/>
      <c r="F147" s="54"/>
      <c r="G147" s="54"/>
      <c r="H147" s="54"/>
      <c r="I147" s="60">
        <f>IF(A147&lt;&gt;0,(B147-(B146-D146))/(A147-A146),"")</f>
        <v>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55</v>
      </c>
      <c r="B148" s="63">
        <f>233</f>
        <v>233</v>
      </c>
      <c r="C148" s="53"/>
      <c r="D148" s="63"/>
      <c r="E148" s="54"/>
      <c r="F148" s="54"/>
      <c r="G148" s="54"/>
      <c r="H148" s="54"/>
      <c r="I148" s="60">
        <f t="shared" si="5"/>
        <v>6.4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60</v>
      </c>
      <c r="B149" s="63">
        <f>245+13</f>
        <v>258</v>
      </c>
      <c r="C149" s="53">
        <v>5</v>
      </c>
      <c r="D149" s="63">
        <f>12+13</f>
        <v>25</v>
      </c>
      <c r="E149" s="54"/>
      <c r="F149" s="54"/>
      <c r="G149" s="54"/>
      <c r="H149" s="54"/>
      <c r="I149" s="60">
        <f t="shared" si="5"/>
        <v>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65</v>
      </c>
      <c r="B150" s="63">
        <f>255</f>
        <v>255</v>
      </c>
      <c r="C150" s="53"/>
      <c r="D150" s="63"/>
      <c r="E150" s="54"/>
      <c r="F150" s="54"/>
      <c r="G150" s="54"/>
      <c r="H150" s="54"/>
      <c r="I150" s="60">
        <f t="shared" si="5"/>
        <v>4.4000000000000004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70</v>
      </c>
      <c r="B151" s="63">
        <f>263+11</f>
        <v>274</v>
      </c>
      <c r="C151" s="53">
        <v>6</v>
      </c>
      <c r="D151" s="63">
        <f>10+11</f>
        <v>21</v>
      </c>
      <c r="E151" s="54"/>
      <c r="F151" s="54"/>
      <c r="G151" s="54"/>
      <c r="H151" s="54"/>
      <c r="I151" s="60">
        <f t="shared" si="5"/>
        <v>3.8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75</v>
      </c>
      <c r="B152" s="63">
        <f>270</f>
        <v>270</v>
      </c>
      <c r="C152" s="53"/>
      <c r="D152" s="63"/>
      <c r="E152" s="57"/>
      <c r="F152" s="57"/>
      <c r="G152" s="57"/>
      <c r="H152" s="57"/>
      <c r="I152" s="60">
        <f t="shared" si="5"/>
        <v>3.4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80</v>
      </c>
      <c r="B153" s="63">
        <f>276+9</f>
        <v>285</v>
      </c>
      <c r="C153" s="53">
        <v>7</v>
      </c>
      <c r="D153" s="63">
        <f>B153</f>
        <v>285</v>
      </c>
      <c r="E153" s="57"/>
      <c r="F153" s="57"/>
      <c r="G153" s="57"/>
      <c r="H153" s="57"/>
      <c r="I153" s="60">
        <f t="shared" si="5"/>
        <v>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Châtaignier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10</v>
      </c>
      <c r="B166" s="63">
        <f>11</f>
        <v>11</v>
      </c>
      <c r="C166" s="63"/>
      <c r="D166" s="63"/>
      <c r="E166" s="54"/>
      <c r="F166" s="54"/>
      <c r="G166" s="54"/>
      <c r="H166" s="93"/>
      <c r="I166" s="52">
        <f>IFERROR(B166/A166,"")</f>
        <v>1.1000000000000001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15</v>
      </c>
      <c r="B167" s="63">
        <f>65+0</f>
        <v>65</v>
      </c>
      <c r="C167" s="63"/>
      <c r="D167" s="63"/>
      <c r="E167" s="54"/>
      <c r="F167" s="54"/>
      <c r="G167" s="54"/>
      <c r="H167" s="93"/>
      <c r="I167" s="52">
        <f t="shared" ref="I167:I185" si="6">IF(A167&lt;&gt;0,(B167-(B166-D166))/(A167-A166),"")</f>
        <v>10.8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20</v>
      </c>
      <c r="B168" s="63">
        <f>102+32+0</f>
        <v>134</v>
      </c>
      <c r="C168" s="63">
        <v>1</v>
      </c>
      <c r="D168" s="63">
        <f>35+32</f>
        <v>67</v>
      </c>
      <c r="E168" s="93"/>
      <c r="F168" s="93"/>
      <c r="G168" s="93"/>
      <c r="H168" s="54">
        <v>1</v>
      </c>
      <c r="I168" s="52">
        <f t="shared" si="6"/>
        <v>13.8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25</v>
      </c>
      <c r="B169" s="63">
        <f>141</f>
        <v>141</v>
      </c>
      <c r="C169" s="63"/>
      <c r="D169" s="63"/>
      <c r="E169" s="93"/>
      <c r="F169" s="93"/>
      <c r="G169" s="93"/>
      <c r="H169" s="54"/>
      <c r="I169" s="52">
        <f t="shared" si="6"/>
        <v>14.8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30</v>
      </c>
      <c r="B170" s="63">
        <f>177+35</f>
        <v>212</v>
      </c>
      <c r="C170" s="63">
        <v>2</v>
      </c>
      <c r="D170" s="63">
        <f>35+35</f>
        <v>70</v>
      </c>
      <c r="E170" s="93"/>
      <c r="F170" s="93"/>
      <c r="G170" s="93"/>
      <c r="H170" s="54">
        <v>1</v>
      </c>
      <c r="I170" s="52">
        <f t="shared" si="6"/>
        <v>14.2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35</v>
      </c>
      <c r="B171" s="63">
        <f>206</f>
        <v>206</v>
      </c>
      <c r="C171" s="63"/>
      <c r="D171" s="63"/>
      <c r="E171" s="93"/>
      <c r="F171" s="93"/>
      <c r="G171" s="93"/>
      <c r="H171" s="93"/>
      <c r="I171" s="52">
        <f t="shared" si="6"/>
        <v>12.8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63">
        <v>40</v>
      </c>
      <c r="B172" s="63">
        <f>228+35</f>
        <v>263</v>
      </c>
      <c r="C172" s="63">
        <v>3</v>
      </c>
      <c r="D172" s="63">
        <f>35+35</f>
        <v>70</v>
      </c>
      <c r="E172" s="93"/>
      <c r="F172" s="93"/>
      <c r="G172" s="93"/>
      <c r="H172" s="93"/>
      <c r="I172" s="52">
        <f t="shared" si="6"/>
        <v>11.4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63">
        <v>45</v>
      </c>
      <c r="B173" s="63">
        <f>242</f>
        <v>242</v>
      </c>
      <c r="C173" s="63"/>
      <c r="D173" s="63"/>
      <c r="E173" s="93"/>
      <c r="F173" s="93"/>
      <c r="G173" s="93"/>
      <c r="H173" s="93"/>
      <c r="I173" s="52">
        <f t="shared" si="6"/>
        <v>9.8000000000000007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63">
        <v>50</v>
      </c>
      <c r="B174" s="63">
        <f>261+24</f>
        <v>285</v>
      </c>
      <c r="C174" s="63">
        <v>4</v>
      </c>
      <c r="D174" s="63">
        <f>24+19</f>
        <v>43</v>
      </c>
      <c r="E174" s="93"/>
      <c r="F174" s="93"/>
      <c r="G174" s="93"/>
      <c r="H174" s="93"/>
      <c r="I174" s="52">
        <f t="shared" si="6"/>
        <v>8.6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63">
        <v>55</v>
      </c>
      <c r="B175" s="63">
        <f>279</f>
        <v>279</v>
      </c>
      <c r="C175" s="63"/>
      <c r="D175" s="63"/>
      <c r="E175" s="93"/>
      <c r="F175" s="93"/>
      <c r="G175" s="93"/>
      <c r="H175" s="93"/>
      <c r="I175" s="52">
        <f t="shared" si="6"/>
        <v>7.4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63">
        <v>60</v>
      </c>
      <c r="B176" s="63">
        <f>294+16</f>
        <v>310</v>
      </c>
      <c r="C176" s="63">
        <v>5</v>
      </c>
      <c r="D176" s="63">
        <f>16+14</f>
        <v>30</v>
      </c>
      <c r="E176" s="93"/>
      <c r="F176" s="93"/>
      <c r="G176" s="93"/>
      <c r="H176" s="93"/>
      <c r="I176" s="52">
        <f t="shared" si="6"/>
        <v>6.2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63">
        <v>65</v>
      </c>
      <c r="B177" s="63">
        <f>306</f>
        <v>306</v>
      </c>
      <c r="C177" s="63"/>
      <c r="D177" s="63"/>
      <c r="E177" s="93"/>
      <c r="F177" s="93"/>
      <c r="G177" s="93"/>
      <c r="H177" s="93"/>
      <c r="I177" s="52">
        <f t="shared" si="6"/>
        <v>5.2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63">
        <v>70</v>
      </c>
      <c r="B178" s="63">
        <f>315+13</f>
        <v>328</v>
      </c>
      <c r="C178" s="63">
        <v>6</v>
      </c>
      <c r="D178" s="63">
        <f>13+13</f>
        <v>26</v>
      </c>
      <c r="E178" s="68"/>
      <c r="F178" s="68"/>
      <c r="G178" s="68"/>
      <c r="H178" s="68"/>
      <c r="I178" s="52">
        <f t="shared" si="6"/>
        <v>4.4000000000000004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63">
        <v>75</v>
      </c>
      <c r="B179" s="63">
        <f>324</f>
        <v>324</v>
      </c>
      <c r="C179" s="63"/>
      <c r="D179" s="63"/>
      <c r="E179" s="68"/>
      <c r="F179" s="68"/>
      <c r="G179" s="68"/>
      <c r="H179" s="68"/>
      <c r="I179" s="52">
        <f t="shared" si="6"/>
        <v>4.4000000000000004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80</v>
      </c>
      <c r="B180" s="63">
        <f>330+12</f>
        <v>342</v>
      </c>
      <c r="C180" s="63">
        <v>7</v>
      </c>
      <c r="D180" s="53">
        <v>342</v>
      </c>
      <c r="E180" s="57"/>
      <c r="F180" s="57"/>
      <c r="G180" s="57"/>
      <c r="H180" s="57"/>
      <c r="I180" s="52">
        <f t="shared" si="6"/>
        <v>3.6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Charme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3">
        <f>74/1.56</f>
        <v>47.435897435897431</v>
      </c>
      <c r="C192" s="63"/>
      <c r="D192" s="63"/>
      <c r="E192" s="54"/>
      <c r="F192" s="54"/>
      <c r="G192" s="54"/>
      <c r="H192" s="66"/>
      <c r="I192" s="52">
        <f>IFERROR(B192/A192,"")</f>
        <v>3.1623931623931623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3">
        <f>(118+14)/1.56</f>
        <v>84.615384615384613</v>
      </c>
      <c r="C193" s="63"/>
      <c r="D193" s="63"/>
      <c r="E193" s="66"/>
      <c r="F193" s="66"/>
      <c r="G193" s="66"/>
      <c r="H193" s="66"/>
      <c r="I193" s="52">
        <f t="shared" ref="I193:I211" si="7">IF(A193&lt;&gt;0,(B193-(B192-D192))/(A193-A192),"")</f>
        <v>7.4358974358974361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3">
        <f>(158+14+19)/1.56</f>
        <v>122.43589743589743</v>
      </c>
      <c r="C194" s="63">
        <v>1</v>
      </c>
      <c r="D194" s="63">
        <f>(14+19+23)/1.56</f>
        <v>35.897435897435898</v>
      </c>
      <c r="E194" s="66"/>
      <c r="F194" s="66"/>
      <c r="G194" s="66"/>
      <c r="H194" s="66">
        <v>1</v>
      </c>
      <c r="I194" s="52">
        <f t="shared" si="7"/>
        <v>7.5641025641025639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3">
        <f>193/1.56</f>
        <v>123.71794871794872</v>
      </c>
      <c r="C195" s="63"/>
      <c r="D195" s="63"/>
      <c r="E195" s="66"/>
      <c r="F195" s="66"/>
      <c r="G195" s="66"/>
      <c r="H195" s="66"/>
      <c r="I195" s="52">
        <f t="shared" si="7"/>
        <v>7.4358974358974361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3">
        <f>(224+25)/1.56</f>
        <v>159.61538461538461</v>
      </c>
      <c r="C196" s="63">
        <v>2</v>
      </c>
      <c r="D196" s="63">
        <f>(25+27)/1.56</f>
        <v>33.333333333333336</v>
      </c>
      <c r="E196" s="66"/>
      <c r="F196" s="66"/>
      <c r="G196" s="66"/>
      <c r="H196" s="66"/>
      <c r="I196" s="52">
        <f t="shared" si="7"/>
        <v>7.1794871794871797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3">
        <f>250/1.56</f>
        <v>160.25641025641025</v>
      </c>
      <c r="C197" s="63"/>
      <c r="D197" s="63"/>
      <c r="E197" s="66"/>
      <c r="F197" s="66"/>
      <c r="G197" s="66"/>
      <c r="H197" s="66"/>
      <c r="I197" s="52">
        <f t="shared" si="7"/>
        <v>6.7948717948717956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63">
        <f>(272+27)/1.56</f>
        <v>191.66666666666666</v>
      </c>
      <c r="C198" s="63">
        <v>3</v>
      </c>
      <c r="D198" s="63">
        <f>(27+27)/1.56</f>
        <v>34.615384615384613</v>
      </c>
      <c r="E198" s="66"/>
      <c r="F198" s="66"/>
      <c r="G198" s="66"/>
      <c r="H198" s="66"/>
      <c r="I198" s="52">
        <f t="shared" si="7"/>
        <v>6.2820512820512819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50</v>
      </c>
      <c r="B199" s="53">
        <v>187.17948717948718</v>
      </c>
      <c r="C199" s="53"/>
      <c r="D199" s="53"/>
      <c r="E199" s="66"/>
      <c r="F199" s="66"/>
      <c r="G199" s="66"/>
      <c r="H199" s="66"/>
      <c r="I199" s="52">
        <f t="shared" si="7"/>
        <v>6.0256410256410273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55</v>
      </c>
      <c r="B200" s="53">
        <v>215.38461538461539</v>
      </c>
      <c r="C200" s="53">
        <v>4</v>
      </c>
      <c r="D200" s="53">
        <v>34.615384615384613</v>
      </c>
      <c r="E200" s="66"/>
      <c r="F200" s="66"/>
      <c r="G200" s="66"/>
      <c r="H200" s="66"/>
      <c r="I200" s="52">
        <f t="shared" si="7"/>
        <v>5.6410256410256405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60</v>
      </c>
      <c r="B201" s="53">
        <v>207.69230769230768</v>
      </c>
      <c r="C201" s="53"/>
      <c r="D201" s="53"/>
      <c r="E201" s="66"/>
      <c r="F201" s="66"/>
      <c r="G201" s="66"/>
      <c r="H201" s="66"/>
      <c r="I201" s="52">
        <f t="shared" si="7"/>
        <v>5.3846153846153815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65</v>
      </c>
      <c r="B202" s="53">
        <v>232.69230769230768</v>
      </c>
      <c r="C202" s="53">
        <v>5</v>
      </c>
      <c r="D202" s="53">
        <v>32.692307692307693</v>
      </c>
      <c r="E202" s="66"/>
      <c r="F202" s="66"/>
      <c r="G202" s="66"/>
      <c r="H202" s="66"/>
      <c r="I202" s="52">
        <f t="shared" si="7"/>
        <v>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70</v>
      </c>
      <c r="B203" s="53">
        <v>223.7179487179487</v>
      </c>
      <c r="C203" s="53"/>
      <c r="D203" s="53"/>
      <c r="E203" s="66"/>
      <c r="F203" s="66"/>
      <c r="G203" s="66"/>
      <c r="H203" s="66"/>
      <c r="I203" s="52">
        <f t="shared" si="7"/>
        <v>4.7435897435897401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75</v>
      </c>
      <c r="B204" s="53">
        <v>246.15384615384613</v>
      </c>
      <c r="C204" s="53">
        <v>6</v>
      </c>
      <c r="D204" s="53">
        <v>30.769230769230766</v>
      </c>
      <c r="E204" s="67"/>
      <c r="F204" s="67"/>
      <c r="G204" s="67"/>
      <c r="H204" s="67"/>
      <c r="I204" s="52">
        <f t="shared" si="7"/>
        <v>4.4871794871794863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80</v>
      </c>
      <c r="B205" s="53">
        <v>237.17948717948718</v>
      </c>
      <c r="C205" s="53"/>
      <c r="D205" s="53"/>
      <c r="E205" s="57"/>
      <c r="F205" s="57"/>
      <c r="G205" s="57"/>
      <c r="H205" s="57"/>
      <c r="I205" s="52">
        <f t="shared" si="7"/>
        <v>4.3589743589743648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85</v>
      </c>
      <c r="B206" s="53">
        <v>258.33333333333331</v>
      </c>
      <c r="C206" s="53">
        <v>7</v>
      </c>
      <c r="D206" s="53">
        <v>28.846153846153847</v>
      </c>
      <c r="E206" s="57"/>
      <c r="F206" s="57"/>
      <c r="G206" s="57"/>
      <c r="H206" s="57"/>
      <c r="I206" s="52">
        <f t="shared" si="7"/>
        <v>4.2307692307692264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90</v>
      </c>
      <c r="B207" s="53">
        <v>248.7179487179487</v>
      </c>
      <c r="C207" s="53"/>
      <c r="D207" s="53"/>
      <c r="E207" s="57"/>
      <c r="F207" s="57"/>
      <c r="G207" s="57"/>
      <c r="H207" s="57"/>
      <c r="I207" s="52">
        <f t="shared" si="7"/>
        <v>3.8461538461538454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95</v>
      </c>
      <c r="B208" s="53">
        <v>267.94871794871796</v>
      </c>
      <c r="C208" s="53">
        <v>8</v>
      </c>
      <c r="D208" s="53">
        <v>27.564102564102562</v>
      </c>
      <c r="E208" s="57"/>
      <c r="F208" s="57"/>
      <c r="G208" s="57"/>
      <c r="H208" s="57"/>
      <c r="I208" s="52">
        <f t="shared" si="7"/>
        <v>3.8461538461538511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100</v>
      </c>
      <c r="B209" s="53">
        <v>258.33333333333331</v>
      </c>
      <c r="C209" s="53"/>
      <c r="D209" s="53"/>
      <c r="E209" s="57"/>
      <c r="F209" s="57"/>
      <c r="G209" s="57"/>
      <c r="H209" s="57"/>
      <c r="I209" s="52">
        <f t="shared" si="7"/>
        <v>3.5897435897435854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110</v>
      </c>
      <c r="B210" s="53">
        <v>292.30769230769232</v>
      </c>
      <c r="C210" s="53">
        <v>9</v>
      </c>
      <c r="D210" s="53">
        <v>37.820512820512818</v>
      </c>
      <c r="E210" s="57"/>
      <c r="F210" s="57"/>
      <c r="G210" s="57"/>
      <c r="H210" s="57"/>
      <c r="I210" s="52">
        <f t="shared" si="7"/>
        <v>3.3974358974359005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120</v>
      </c>
      <c r="B211" s="53">
        <v>285.89743589743591</v>
      </c>
      <c r="C211" s="53">
        <v>10</v>
      </c>
      <c r="D211" s="53">
        <v>285.89743589743591</v>
      </c>
      <c r="E211" s="57"/>
      <c r="F211" s="57"/>
      <c r="G211" s="57"/>
      <c r="H211" s="57"/>
      <c r="I211" s="52">
        <f t="shared" si="7"/>
        <v>3.141025641025641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Alisier torminal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20</v>
      </c>
      <c r="B218" s="63">
        <f>67+6</f>
        <v>73</v>
      </c>
      <c r="C218" s="54"/>
      <c r="D218" s="63"/>
      <c r="E218" s="63"/>
      <c r="F218" s="54"/>
      <c r="G218" s="54"/>
      <c r="H218" s="54"/>
      <c r="I218" s="56">
        <f>IFERROR(B218/A218,"")</f>
        <v>3.65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25</v>
      </c>
      <c r="B219" s="63">
        <f>75+6+28</f>
        <v>109</v>
      </c>
      <c r="C219" s="63">
        <v>1</v>
      </c>
      <c r="D219" s="63">
        <f>6+28</f>
        <v>34</v>
      </c>
      <c r="E219" s="63"/>
      <c r="F219" s="54"/>
      <c r="G219" s="54"/>
      <c r="H219" s="54">
        <v>1</v>
      </c>
      <c r="I219" s="56">
        <f t="shared" ref="I219:I237" si="8">IF(A219&lt;&gt;0,(B219-(B218-D218))/(A219-A218),"")</f>
        <v>7.2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30</v>
      </c>
      <c r="B220" s="63">
        <f>93+28</f>
        <v>121</v>
      </c>
      <c r="C220" s="63"/>
      <c r="D220" s="63"/>
      <c r="E220" s="63"/>
      <c r="F220" s="54"/>
      <c r="G220" s="54"/>
      <c r="H220" s="54"/>
      <c r="I220" s="56">
        <f t="shared" si="8"/>
        <v>9.1999999999999993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35</v>
      </c>
      <c r="B221" s="63">
        <f>119+28+28</f>
        <v>175</v>
      </c>
      <c r="C221" s="63">
        <v>2</v>
      </c>
      <c r="D221" s="63">
        <f>28+28</f>
        <v>56</v>
      </c>
      <c r="E221" s="63"/>
      <c r="F221" s="54"/>
      <c r="G221" s="54"/>
      <c r="H221" s="54"/>
      <c r="I221" s="56">
        <f t="shared" si="8"/>
        <v>10.8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40</v>
      </c>
      <c r="B222" s="63">
        <f>147+28</f>
        <v>175</v>
      </c>
      <c r="C222" s="63"/>
      <c r="D222" s="63"/>
      <c r="E222" s="63"/>
      <c r="F222" s="54"/>
      <c r="G222" s="54"/>
      <c r="H222" s="54"/>
      <c r="I222" s="56">
        <f t="shared" si="8"/>
        <v>11.2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45</v>
      </c>
      <c r="B223" s="63">
        <f>176+28+28</f>
        <v>232</v>
      </c>
      <c r="C223" s="63">
        <v>3</v>
      </c>
      <c r="D223" s="63">
        <f>28+28</f>
        <v>56</v>
      </c>
      <c r="E223" s="63"/>
      <c r="F223" s="54"/>
      <c r="G223" s="54"/>
      <c r="H223" s="54"/>
      <c r="I223" s="56">
        <f t="shared" si="8"/>
        <v>11.4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50</v>
      </c>
      <c r="B224" s="63">
        <f>203+28</f>
        <v>231</v>
      </c>
      <c r="C224" s="63"/>
      <c r="D224" s="63"/>
      <c r="E224" s="63"/>
      <c r="F224" s="54"/>
      <c r="G224" s="54"/>
      <c r="H224" s="54"/>
      <c r="I224" s="56">
        <f t="shared" si="8"/>
        <v>11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282">
        <v>55</v>
      </c>
      <c r="B225" s="63">
        <f>226+28+28</f>
        <v>282</v>
      </c>
      <c r="C225" s="63">
        <v>4</v>
      </c>
      <c r="D225" s="63">
        <f>28+28</f>
        <v>56</v>
      </c>
      <c r="E225" s="63"/>
      <c r="F225" s="54"/>
      <c r="G225" s="54"/>
      <c r="H225" s="54"/>
      <c r="I225" s="56">
        <f t="shared" si="8"/>
        <v>10.199999999999999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282">
        <v>60</v>
      </c>
      <c r="B226" s="63">
        <f>245+28</f>
        <v>273</v>
      </c>
      <c r="C226" s="63"/>
      <c r="D226" s="63"/>
      <c r="E226" s="63"/>
      <c r="F226" s="54"/>
      <c r="G226" s="54"/>
      <c r="H226" s="54"/>
      <c r="I226" s="56">
        <f t="shared" si="8"/>
        <v>9.4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282">
        <v>65</v>
      </c>
      <c r="B227" s="63">
        <f>261+28+28</f>
        <v>317</v>
      </c>
      <c r="C227" s="63">
        <v>5</v>
      </c>
      <c r="D227" s="63">
        <f>28+28</f>
        <v>56</v>
      </c>
      <c r="E227" s="63"/>
      <c r="F227" s="54"/>
      <c r="G227" s="54"/>
      <c r="H227" s="54"/>
      <c r="I227" s="56">
        <f t="shared" si="8"/>
        <v>8.8000000000000007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282">
        <v>70</v>
      </c>
      <c r="B228" s="63">
        <f>274+28</f>
        <v>302</v>
      </c>
      <c r="C228" s="63"/>
      <c r="D228" s="63"/>
      <c r="E228" s="63"/>
      <c r="F228" s="54"/>
      <c r="G228" s="54"/>
      <c r="H228" s="54"/>
      <c r="I228" s="56">
        <f t="shared" si="8"/>
        <v>8.1999999999999993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282">
        <v>75</v>
      </c>
      <c r="B229" s="63">
        <f>284+28+28</f>
        <v>340</v>
      </c>
      <c r="C229" s="63">
        <v>6</v>
      </c>
      <c r="D229" s="63">
        <f>28+28</f>
        <v>56</v>
      </c>
      <c r="E229" s="63"/>
      <c r="F229" s="54"/>
      <c r="G229" s="54"/>
      <c r="H229" s="54"/>
      <c r="I229" s="56">
        <f t="shared" si="8"/>
        <v>7.6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282">
        <v>80</v>
      </c>
      <c r="B230" s="63">
        <f>292+28</f>
        <v>320</v>
      </c>
      <c r="C230" s="63"/>
      <c r="D230" s="63"/>
      <c r="E230" s="63"/>
      <c r="F230" s="54"/>
      <c r="G230" s="54"/>
      <c r="H230" s="54"/>
      <c r="I230" s="56">
        <f t="shared" si="8"/>
        <v>7.2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282">
        <v>90</v>
      </c>
      <c r="B231" s="63">
        <f>298+28+28</f>
        <v>354</v>
      </c>
      <c r="C231" s="63">
        <v>7</v>
      </c>
      <c r="D231" s="63">
        <f>28+28</f>
        <v>56</v>
      </c>
      <c r="E231" s="63"/>
      <c r="F231" s="54"/>
      <c r="G231" s="54"/>
      <c r="H231" s="54"/>
      <c r="I231" s="56">
        <f t="shared" si="8"/>
        <v>3.4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282">
        <v>100</v>
      </c>
      <c r="B232" s="63">
        <f>306+27+28</f>
        <v>361</v>
      </c>
      <c r="C232" s="53">
        <v>8</v>
      </c>
      <c r="D232" s="63">
        <f>27+28</f>
        <v>55</v>
      </c>
      <c r="E232" s="63"/>
      <c r="F232" s="54"/>
      <c r="G232" s="54"/>
      <c r="H232" s="54"/>
      <c r="I232" s="56">
        <f t="shared" si="8"/>
        <v>6.3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282">
        <v>110</v>
      </c>
      <c r="B233" s="63">
        <f>307+25+26</f>
        <v>358</v>
      </c>
      <c r="C233" s="53">
        <v>9</v>
      </c>
      <c r="D233" s="63">
        <f>25+26</f>
        <v>51</v>
      </c>
      <c r="E233" s="63"/>
      <c r="F233" s="54"/>
      <c r="G233" s="54"/>
      <c r="H233" s="54"/>
      <c r="I233" s="56">
        <f t="shared" si="8"/>
        <v>5.2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282">
        <v>120</v>
      </c>
      <c r="B234" s="63">
        <f>305+23+24</f>
        <v>352</v>
      </c>
      <c r="C234" s="53">
        <v>10</v>
      </c>
      <c r="D234" s="63">
        <f>23+24</f>
        <v>47</v>
      </c>
      <c r="E234" s="63"/>
      <c r="F234" s="54"/>
      <c r="G234" s="54"/>
      <c r="H234" s="54"/>
      <c r="I234" s="56">
        <f t="shared" si="8"/>
        <v>4.5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282">
        <v>130</v>
      </c>
      <c r="B235" s="63">
        <f>303+22+22</f>
        <v>347</v>
      </c>
      <c r="C235" s="53">
        <v>11</v>
      </c>
      <c r="D235" s="63">
        <f>22+22</f>
        <v>44</v>
      </c>
      <c r="E235" s="63"/>
      <c r="F235" s="54"/>
      <c r="G235" s="54"/>
      <c r="H235" s="54"/>
      <c r="I235" s="56">
        <f t="shared" si="8"/>
        <v>4.2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282">
        <v>140</v>
      </c>
      <c r="B236" s="63">
        <f>300+20+21</f>
        <v>341</v>
      </c>
      <c r="C236" s="53">
        <v>12</v>
      </c>
      <c r="D236" s="63">
        <f>20+21</f>
        <v>41</v>
      </c>
      <c r="E236" s="63"/>
      <c r="F236" s="54"/>
      <c r="G236" s="54"/>
      <c r="H236" s="54"/>
      <c r="I236" s="56">
        <f t="shared" si="8"/>
        <v>3.8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282">
        <v>150</v>
      </c>
      <c r="B237" s="63">
        <f>298+18+19</f>
        <v>335</v>
      </c>
      <c r="C237" s="53">
        <v>13</v>
      </c>
      <c r="D237" s="63">
        <f>18+19</f>
        <v>37</v>
      </c>
      <c r="E237" s="63"/>
      <c r="F237" s="54"/>
      <c r="G237" s="54"/>
      <c r="H237" s="54"/>
      <c r="I237" s="56">
        <f t="shared" si="8"/>
        <v>3.5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Merisier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15</v>
      </c>
      <c r="B244" s="63">
        <v>40</v>
      </c>
      <c r="C244" s="63"/>
      <c r="D244" s="63"/>
      <c r="E244" s="54"/>
      <c r="F244" s="54"/>
      <c r="G244" s="54"/>
      <c r="H244" s="54"/>
      <c r="I244" s="56">
        <f>IFERROR(B244/A244,"")</f>
        <v>2.6666666666666665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20</v>
      </c>
      <c r="B245" s="63">
        <f>85+3</f>
        <v>88</v>
      </c>
      <c r="C245" s="63"/>
      <c r="D245" s="63"/>
      <c r="E245" s="54"/>
      <c r="F245" s="54"/>
      <c r="G245" s="54"/>
      <c r="H245" s="54"/>
      <c r="I245" s="56">
        <f>IF(A245&lt;&gt;0,(B245-(B244-D244))/(A245-A244),"")</f>
        <v>9.6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25</v>
      </c>
      <c r="B246" s="63">
        <f>113+3+25</f>
        <v>141</v>
      </c>
      <c r="C246" s="63">
        <v>1</v>
      </c>
      <c r="D246" s="63">
        <f>3+25+27</f>
        <v>55</v>
      </c>
      <c r="E246" s="54"/>
      <c r="F246" s="54"/>
      <c r="G246" s="54"/>
      <c r="H246" s="54">
        <v>1</v>
      </c>
      <c r="I246" s="56">
        <f>IF(A246&lt;&gt;0,(B246-(B245-D245))/(A246-A245),"")</f>
        <v>10.6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31</v>
      </c>
      <c r="B247" s="63">
        <v>155</v>
      </c>
      <c r="C247" s="63">
        <v>2</v>
      </c>
      <c r="D247" s="63">
        <v>36</v>
      </c>
      <c r="E247" s="54"/>
      <c r="F247" s="54"/>
      <c r="G247" s="54"/>
      <c r="H247" s="54"/>
      <c r="I247" s="56">
        <f t="shared" ref="I247:I263" si="9">IF(A247&lt;&gt;0,(B247-(B246-D246))/(A247-A246),"")</f>
        <v>11.5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37</v>
      </c>
      <c r="B248" s="63">
        <v>188</v>
      </c>
      <c r="C248" s="63">
        <v>3</v>
      </c>
      <c r="D248" s="63">
        <v>36</v>
      </c>
      <c r="E248" s="54"/>
      <c r="F248" s="54"/>
      <c r="G248" s="54"/>
      <c r="H248" s="54"/>
      <c r="I248" s="56">
        <f t="shared" si="9"/>
        <v>11.5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44</v>
      </c>
      <c r="B249" s="63">
        <v>230</v>
      </c>
      <c r="C249" s="63">
        <v>4</v>
      </c>
      <c r="D249" s="63">
        <v>43</v>
      </c>
      <c r="E249" s="54"/>
      <c r="F249" s="54"/>
      <c r="G249" s="54"/>
      <c r="H249" s="54"/>
      <c r="I249" s="56">
        <f t="shared" si="9"/>
        <v>11.142857142857142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52</v>
      </c>
      <c r="B250" s="63">
        <v>270</v>
      </c>
      <c r="C250" s="63">
        <v>5</v>
      </c>
      <c r="D250" s="63">
        <v>48</v>
      </c>
      <c r="E250" s="54"/>
      <c r="F250" s="54"/>
      <c r="G250" s="54"/>
      <c r="H250" s="54"/>
      <c r="I250" s="56">
        <f t="shared" si="9"/>
        <v>10.375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>
        <v>60</v>
      </c>
      <c r="B251" s="53">
        <v>297</v>
      </c>
      <c r="C251" s="53">
        <v>6</v>
      </c>
      <c r="D251" s="53">
        <v>47</v>
      </c>
      <c r="E251" s="54"/>
      <c r="F251" s="54"/>
      <c r="G251" s="54"/>
      <c r="H251" s="54"/>
      <c r="I251" s="56">
        <f t="shared" si="9"/>
        <v>9.375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>
        <v>69</v>
      </c>
      <c r="B252" s="53">
        <v>328</v>
      </c>
      <c r="C252" s="53">
        <v>7</v>
      </c>
      <c r="D252" s="53">
        <v>328</v>
      </c>
      <c r="E252" s="54"/>
      <c r="F252" s="54"/>
      <c r="G252" s="54"/>
      <c r="H252" s="54"/>
      <c r="I252" s="56">
        <f t="shared" si="9"/>
        <v>8.6666666666666661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Tilleul</v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10</v>
      </c>
      <c r="B270" s="63">
        <f>43/1.56</f>
        <v>27.564102564102562</v>
      </c>
      <c r="C270" s="53"/>
      <c r="D270" s="63"/>
      <c r="E270" s="54"/>
      <c r="F270" s="54"/>
      <c r="G270" s="54"/>
      <c r="H270" s="54"/>
      <c r="I270" s="56">
        <f>IFERROR(B270/A270,"")</f>
        <v>2.7564102564102564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15</v>
      </c>
      <c r="B271" s="63">
        <f>(96+11)/1.56</f>
        <v>68.589743589743591</v>
      </c>
      <c r="C271" s="53">
        <v>1</v>
      </c>
      <c r="D271" s="63">
        <f>(11+20)/1.56</f>
        <v>19.871794871794872</v>
      </c>
      <c r="E271" s="54"/>
      <c r="F271" s="54"/>
      <c r="G271" s="54"/>
      <c r="H271" s="54">
        <v>1</v>
      </c>
      <c r="I271" s="56">
        <f>IF(A271&lt;&gt;0,(B271-(B270-D270))/(A271-A270),"")</f>
        <v>8.2051282051282062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20</v>
      </c>
      <c r="B272" s="63">
        <f>149/1.56</f>
        <v>95.512820512820511</v>
      </c>
      <c r="C272" s="53"/>
      <c r="D272" s="63"/>
      <c r="E272" s="54"/>
      <c r="F272" s="54"/>
      <c r="G272" s="54"/>
      <c r="H272" s="54"/>
      <c r="I272" s="56">
        <f t="shared" ref="I272:I289" si="10">IF(A272&lt;&gt;0,(B272-(B271-D271))/(A272-A271),"")</f>
        <v>9.3589743589743595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25</v>
      </c>
      <c r="B273" s="63">
        <f>(196+25)/1.56</f>
        <v>141.66666666666666</v>
      </c>
      <c r="C273" s="53">
        <v>2</v>
      </c>
      <c r="D273" s="63">
        <f>(25+28)/1.56</f>
        <v>33.974358974358971</v>
      </c>
      <c r="E273" s="54"/>
      <c r="F273" s="54"/>
      <c r="G273" s="54"/>
      <c r="H273" s="54">
        <v>1</v>
      </c>
      <c r="I273" s="56">
        <f t="shared" si="10"/>
        <v>9.2307692307692299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30</v>
      </c>
      <c r="B274" s="63">
        <f>237/1.56</f>
        <v>151.92307692307691</v>
      </c>
      <c r="C274" s="53"/>
      <c r="D274" s="63"/>
      <c r="E274" s="54"/>
      <c r="F274" s="54"/>
      <c r="G274" s="54"/>
      <c r="H274" s="54"/>
      <c r="I274" s="56">
        <f t="shared" si="10"/>
        <v>8.8461538461538449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35</v>
      </c>
      <c r="B275" s="63">
        <f>(273+29)/1.56</f>
        <v>193.58974358974359</v>
      </c>
      <c r="C275" s="53">
        <v>3</v>
      </c>
      <c r="D275" s="63">
        <f>(29+29)/1.56</f>
        <v>37.179487179487175</v>
      </c>
      <c r="E275" s="54"/>
      <c r="F275" s="54"/>
      <c r="G275" s="54"/>
      <c r="H275" s="54"/>
      <c r="I275" s="56">
        <f t="shared" si="10"/>
        <v>8.3333333333333375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40</v>
      </c>
      <c r="B276" s="63">
        <f>303/1.56</f>
        <v>194.23076923076923</v>
      </c>
      <c r="C276" s="53"/>
      <c r="D276" s="63"/>
      <c r="E276" s="54"/>
      <c r="F276" s="54"/>
      <c r="G276" s="54"/>
      <c r="H276" s="54"/>
      <c r="I276" s="56">
        <f t="shared" si="10"/>
        <v>7.5641025641025639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3">
        <v>45</v>
      </c>
      <c r="B277" s="63">
        <f>(330+29)/1.56</f>
        <v>230.12820512820511</v>
      </c>
      <c r="C277" s="53">
        <v>4</v>
      </c>
      <c r="D277" s="63">
        <f>(29+28)/1.56</f>
        <v>36.53846153846154</v>
      </c>
      <c r="E277" s="54"/>
      <c r="F277" s="54"/>
      <c r="G277" s="54"/>
      <c r="H277" s="54"/>
      <c r="I277" s="56">
        <f t="shared" si="10"/>
        <v>7.1794871794871771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3">
        <v>50</v>
      </c>
      <c r="B278" s="63">
        <f>354/1.56</f>
        <v>226.92307692307691</v>
      </c>
      <c r="C278" s="53"/>
      <c r="D278" s="63"/>
      <c r="E278" s="54"/>
      <c r="F278" s="54"/>
      <c r="G278" s="54"/>
      <c r="H278" s="54"/>
      <c r="I278" s="56">
        <f t="shared" si="10"/>
        <v>6.6666666666666687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3">
        <v>55</v>
      </c>
      <c r="B279" s="63">
        <f>(376+27)/1.56</f>
        <v>258.33333333333331</v>
      </c>
      <c r="C279" s="53">
        <v>5</v>
      </c>
      <c r="D279" s="63">
        <f>(27+24)/1.56</f>
        <v>32.692307692307693</v>
      </c>
      <c r="E279" s="54"/>
      <c r="F279" s="54"/>
      <c r="G279" s="54"/>
      <c r="H279" s="54"/>
      <c r="I279" s="56">
        <f t="shared" si="10"/>
        <v>6.2820512820512819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3">
        <v>60</v>
      </c>
      <c r="B280" s="63">
        <f>398/1.56</f>
        <v>255.12820512820511</v>
      </c>
      <c r="C280" s="53"/>
      <c r="D280" s="63"/>
      <c r="E280" s="54"/>
      <c r="F280" s="54"/>
      <c r="G280" s="54"/>
      <c r="H280" s="54"/>
      <c r="I280" s="56">
        <f t="shared" si="10"/>
        <v>5.8974358974358951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3">
        <v>65</v>
      </c>
      <c r="B281" s="63">
        <f>(415+25)/1.56</f>
        <v>282.05128205128204</v>
      </c>
      <c r="C281" s="53">
        <v>6</v>
      </c>
      <c r="D281" s="63">
        <f>(25+24)/1.56</f>
        <v>31.410256410256409</v>
      </c>
      <c r="E281" s="54"/>
      <c r="F281" s="54"/>
      <c r="G281" s="54"/>
      <c r="H281" s="54"/>
      <c r="I281" s="56">
        <f t="shared" si="10"/>
        <v>5.3846153846153868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3">
        <v>70</v>
      </c>
      <c r="B282" s="63">
        <f>431/1.56</f>
        <v>276.28205128205127</v>
      </c>
      <c r="C282" s="53"/>
      <c r="D282" s="63"/>
      <c r="E282" s="57"/>
      <c r="F282" s="57"/>
      <c r="G282" s="57"/>
      <c r="H282" s="57"/>
      <c r="I282" s="56">
        <f t="shared" si="10"/>
        <v>5.1282051282051269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3">
        <v>75</v>
      </c>
      <c r="B283" s="63">
        <f>(446+23)/1.56</f>
        <v>300.64102564102564</v>
      </c>
      <c r="C283" s="53">
        <v>7</v>
      </c>
      <c r="D283" s="63">
        <f>(23+22)/1.56</f>
        <v>28.846153846153847</v>
      </c>
      <c r="E283" s="57"/>
      <c r="F283" s="57"/>
      <c r="G283" s="57"/>
      <c r="H283" s="57"/>
      <c r="I283" s="56">
        <f t="shared" si="10"/>
        <v>4.8717948717948731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8">
        <v>80</v>
      </c>
      <c r="B284" s="59">
        <v>294.23076923076923</v>
      </c>
      <c r="C284" s="53"/>
      <c r="D284" s="53"/>
      <c r="E284" s="57"/>
      <c r="F284" s="57"/>
      <c r="G284" s="57"/>
      <c r="H284" s="57"/>
      <c r="I284" s="56">
        <f t="shared" si="10"/>
        <v>4.4871794871794917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8">
        <v>85</v>
      </c>
      <c r="B285" s="59">
        <v>316.66666666666663</v>
      </c>
      <c r="C285" s="53">
        <v>8</v>
      </c>
      <c r="D285" s="53">
        <v>27.564102564102562</v>
      </c>
      <c r="E285" s="57"/>
      <c r="F285" s="57"/>
      <c r="G285" s="57"/>
      <c r="H285" s="57"/>
      <c r="I285" s="56">
        <f t="shared" si="10"/>
        <v>4.4871794871794801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8">
        <v>90</v>
      </c>
      <c r="B286" s="59">
        <v>309.61538461538458</v>
      </c>
      <c r="C286" s="53"/>
      <c r="D286" s="53"/>
      <c r="E286" s="57"/>
      <c r="F286" s="57"/>
      <c r="G286" s="57"/>
      <c r="H286" s="57"/>
      <c r="I286" s="56">
        <f t="shared" si="10"/>
        <v>4.1025641025640995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8">
        <v>95</v>
      </c>
      <c r="B287" s="59">
        <v>329.4871794871795</v>
      </c>
      <c r="C287" s="53">
        <v>9</v>
      </c>
      <c r="D287" s="53">
        <v>25</v>
      </c>
      <c r="E287" s="57"/>
      <c r="F287" s="57"/>
      <c r="G287" s="57"/>
      <c r="H287" s="57"/>
      <c r="I287" s="56">
        <f t="shared" si="10"/>
        <v>3.9743589743589838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8">
        <v>100</v>
      </c>
      <c r="B288" s="59">
        <v>323.07692307692304</v>
      </c>
      <c r="C288" s="53"/>
      <c r="D288" s="53"/>
      <c r="E288" s="57"/>
      <c r="F288" s="57"/>
      <c r="G288" s="57"/>
      <c r="H288" s="57"/>
      <c r="I288" s="56">
        <f t="shared" si="10"/>
        <v>3.717948717948707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8">
        <v>110</v>
      </c>
      <c r="B289" s="59">
        <v>358.33333333333331</v>
      </c>
      <c r="C289" s="53">
        <v>10</v>
      </c>
      <c r="D289" s="61">
        <v>358.33333333333331</v>
      </c>
      <c r="E289" s="57"/>
      <c r="F289" s="57"/>
      <c r="G289" s="57"/>
      <c r="H289" s="57"/>
      <c r="I289" s="56">
        <f t="shared" si="10"/>
        <v>3.5256410256410278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pubescent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Erable plane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Erable sycomore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Erable champêtre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Châtaignier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Charme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Alisier torminal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Merisier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Tilleul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508.77990078889337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564.84596170333884</v>
      </c>
      <c r="AO3" s="62">
        <f>IF('Données projet'!E10&gt;30,$AM$33-$H$33,LOOKUP('Données projet'!$E$10,$A$3:$A$203,AM3:AM203)-LOOKUP('Données projet'!$E$10,$A$3:$A$203,$H$3:$H$203))</f>
        <v>306.61893266146666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370.79299728190904</v>
      </c>
      <c r="BJ3" s="62">
        <f>IF('Données projet'!E11&gt;30,$BH$33-$H$33,LOOKUP('Données projet'!$E$11,$A$3:$A$203,BH3:BH203)-LOOKUP('Données projet'!$E$11,$A$3:$A$203,$H$3:$H$203))</f>
        <v>404.95703400805775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370.79299728190904</v>
      </c>
      <c r="CE3" s="62">
        <f>IF('Données projet'!E12&gt;30,$CC$33-$H$33,LOOKUP('Données projet'!$E$12,$A$3:$A$203,CC3:CC203)-LOOKUP('Données projet'!$E$12,$A$3:$A$203,$H$3:$H$203))</f>
        <v>404.95703400805775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339.58437495284466</v>
      </c>
      <c r="CZ3" s="62">
        <f>IF('Données projet'!E13&gt;30,$CX$33-$H$33,LOOKUP('Données projet'!$E$13,$A$3:$A$203,CX3:CX203)-LOOKUP('Données projet'!$E$13,$A$3:$A$203,$H$3:$H$203))</f>
        <v>371.26234252426531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344.63665697794022</v>
      </c>
      <c r="DU3" s="62">
        <f>IF('Données projet'!E14&gt;30,$DS$33-$H$33,LOOKUP('Données projet'!$E$14,$A$3:$A$203,DS3:DS203)-LOOKUP('Données projet'!$E$14,$A$3:$A$203,$H$3:$H$203))</f>
        <v>376.72762011188041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406.24139966722936</v>
      </c>
      <c r="EP3" s="62">
        <f>IF('Données projet'!E15&gt;30,$EN$33-$H$33,LOOKUP('Données projet'!$E$15,$A$3:$A$203,EN3:EN203)-LOOKUP('Données projet'!$E$15,$A$3:$A$203,$H$3:$H$203))</f>
        <v>295.95724296920577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540.83352418045502</v>
      </c>
      <c r="FK3" s="62">
        <f>IF('Données projet'!E16&gt;30,$FI$33-$H$33,LOOKUP('Données projet'!$E$16,$A$3:$A$203,FI3:FI203)-LOOKUP('Données projet'!$E$16,$A$3:$A$203,$H$3:$H$203))</f>
        <v>294.45557293177131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292.57482726862594</v>
      </c>
      <c r="GF3" s="62">
        <f>IF('Données projet'!E17&gt;30,$GD$33-$H$33,LOOKUP('Données projet'!$E$17,$A$3:$A$203,GD3:GD203)-LOOKUP('Données projet'!$E$17,$A$3:$A$203,$H$3:$H$203))</f>
        <v>283.48738729114024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343.33067866534634</v>
      </c>
      <c r="HA3" s="62">
        <f>IF('Données projet'!E18&gt;30,$GY$33-$H$33,LOOKUP('Données projet'!$E$18,$A$3:$A$203,GY3:GY203)-LOOKUP('Données projet'!$E$18,$A$3:$A$203,$H$3:$H$203))</f>
        <v>261.91036689641402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508.77990078889337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1.2566203774920315</v>
      </c>
      <c r="AK4" s="14">
        <f>EXP(-1.0587+0.8836*LN(AJ4)+0.284)</f>
        <v>0.56390871417545174</v>
      </c>
      <c r="AL4" s="22">
        <f t="shared" ref="AL4:AL67" si="4">(AJ4+AK4)*0.475*44/12</f>
        <v>3.1707548346542</v>
      </c>
      <c r="AM4" s="62">
        <f t="shared" ref="AM4:AM67" si="5">AL4+(AD4+AE4)*44/12</f>
        <v>261.05964372354305</v>
      </c>
      <c r="AN4" s="62">
        <f ca="1">AVERAGE(OFFSET($AM$3,0,0,'Données projet'!$E$10+1,1))-AVERAGE(OFFSET($H$3,0,0,'Données projet'!$E$10+1,1))</f>
        <v>564.84596170333884</v>
      </c>
      <c r="AO4" s="62">
        <f>$AO$3</f>
        <v>306.61893266146666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1.1000000000000001</v>
      </c>
      <c r="BD4" s="13">
        <f>IF('Données projet'!$A$88&gt;35,BD3+BC4-BL3,IF(A4&lt;'Données projet'!$A$88,$BA$205^A4,IF(A4='Données projet'!$A$88,'Données projet'!$B$88,BD3+BC4-BL3)))</f>
        <v>1.2709816152101407</v>
      </c>
      <c r="BE4" s="14">
        <f>BD4*VLOOKUP('Données projet'!$B$11,Paramètres!$A$1:$I$89,3,0)*VLOOKUP('Données projet'!$B$11,Paramètres!$A$1:$I$89,5,0)</f>
        <v>1.0111929730611879</v>
      </c>
      <c r="BF4" s="14">
        <f>EXP(-1.0587+0.8836*LN(BE4)+0.284)</f>
        <v>0.46539683474213156</v>
      </c>
      <c r="BG4" s="22">
        <f t="shared" ref="BG4:BG67" si="7">(BE4+BF4)*0.475*44/12</f>
        <v>2.5717272485907814</v>
      </c>
      <c r="BH4" s="62">
        <f t="shared" ref="BH4:BH67" si="8">BG4+(AY4+AZ4)*44/12</f>
        <v>260.46061613747963</v>
      </c>
      <c r="BI4" s="62">
        <f ca="1">AVERAGE(OFFSET($BH$3,0,0,'Données projet'!$E$11+1,1))-AVERAGE(OFFSET($H$3,0,0,'Données projet'!$E$11+1,1))</f>
        <v>370.79299728190904</v>
      </c>
      <c r="BJ4" s="62">
        <f>$BJ$3</f>
        <v>404.95703400805775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1.0111929730611879</v>
      </c>
      <c r="CA4" s="14">
        <f>EXP(-1.0587+0.8836*LN(BZ4)+0.284)</f>
        <v>0.46539683474213156</v>
      </c>
      <c r="CB4" s="22">
        <f t="shared" ref="CB4:CB67" si="10">(BZ4+CA4)*0.475*44/12</f>
        <v>2.5717272485907814</v>
      </c>
      <c r="CC4" s="62">
        <f t="shared" ref="CC4:CC67" si="11">CB4+(BT4+BU4)*44/12</f>
        <v>260.46061613747963</v>
      </c>
      <c r="CD4" s="62">
        <f ca="1">AVERAGE(OFFSET($CC$3,0,0,'Données projet'!$E$12+1,1))-AVERAGE(OFFSET($H$3,0,0,'Données projet'!$E$12+1,1))</f>
        <v>370.79299728190904</v>
      </c>
      <c r="CE4" s="62">
        <f>$CE$3</f>
        <v>404.95703400805775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2.4666666666666668</v>
      </c>
      <c r="CT4" s="13">
        <f>IF('Données projet'!$A$140&gt;35,CT3+CS4-DB3,IF(A4&lt;'Données projet'!$A$140,$CQ$205^A4,IF(A4='Données projet'!$A$140,'Données projet'!$B$140,CT3+CS4-DB3)))</f>
        <v>1.2721747796233518</v>
      </c>
      <c r="CU4" s="18">
        <f>CT4*VLOOKUP('Données projet'!$B$13,Paramètres!$A$1:$I$89,3,0)*VLOOKUP('Données projet'!$B$13,Paramètres!$A$1:$I$89,5,0)</f>
        <v>1.1113718874789602</v>
      </c>
      <c r="CV4" s="14">
        <f>EXP(-1.0587+0.8836*LN(CU4)+0.284)</f>
        <v>0.5059102014681881</v>
      </c>
      <c r="CW4" s="22">
        <f t="shared" ref="CW4:CW67" si="13">(CU4+CV4)*0.475*44/12</f>
        <v>2.8167663049162832</v>
      </c>
      <c r="CX4" s="62">
        <f t="shared" ref="CX4:CX67" si="14">CW4+(CO4+CP4)*44/12</f>
        <v>260.70565519380511</v>
      </c>
      <c r="CY4" s="62">
        <f ca="1">AVERAGE(OFFSET($CX$3,0,0,'Données projet'!$E$13+1,1))-AVERAGE(OFFSET($H$3,0,0,'Données projet'!$E$13+1,1))</f>
        <v>339.58437495284466</v>
      </c>
      <c r="CZ4" s="62">
        <f>$CZ$3</f>
        <v>371.26234252426531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1.1000000000000001</v>
      </c>
      <c r="DO4" s="13">
        <f>IF('Données projet'!$A$166&gt;35,DO3+DN4-DW3,IF(A4&lt;'Données projet'!$A$166,$DL$205^A4,IF(A4='Données projet'!$A$166,'Données projet'!$B$166,DO3+DN4-DW3)))</f>
        <v>1.2709816152101407</v>
      </c>
      <c r="DP4" s="18">
        <f>DO4*VLOOKUP('Données projet'!$B$14,Paramètres!$A$1:$I$89,3,0)*VLOOKUP('Données projet'!$B$14,Paramètres!$A$1:$I$89,5,0)</f>
        <v>0.93188372027207511</v>
      </c>
      <c r="DQ4" s="14">
        <f>EXP(-1.0587+0.8836*LN(DP4)+0.284)</f>
        <v>0.43299221190803017</v>
      </c>
      <c r="DR4" s="22">
        <f t="shared" ref="DR4:DR67" si="16">(DP4+DQ4)*0.475*44/12</f>
        <v>2.3771589152136832</v>
      </c>
      <c r="DS4" s="62">
        <f t="shared" ref="DS4:DS67" si="17">DR4+(DJ4+DK4)*44/12</f>
        <v>260.26604780410253</v>
      </c>
      <c r="DT4" s="62">
        <f ca="1">AVERAGE(OFFSET($DS$3,0,0,'Données projet'!$E$14+1,1))-AVERAGE(OFFSET($H$3,0,0,'Données projet'!$E$14+1,1))</f>
        <v>344.63665697794022</v>
      </c>
      <c r="DU4" s="62">
        <f>$DU$3</f>
        <v>376.72762011188041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3.1623931623931623</v>
      </c>
      <c r="EJ4" s="13">
        <f>IF('Données projet'!$A$192&gt;35,EJ3+EI4-ER3,IF(A4&lt;'Données projet'!$A$192,$EG$205^A4,IF(A4='Données projet'!$A$192,'Données projet'!$B$192,EJ3+EI4-ER3)))</f>
        <v>1.2934226882877784</v>
      </c>
      <c r="EK4" s="18">
        <f>EJ4*VLOOKUP('Données projet'!$B$15,Paramètres!$A$1:$I$89,3,0)*VLOOKUP('Données projet'!$B$15,Paramètres!$A$1:$I$89,5,0)</f>
        <v>1.2308210301746498</v>
      </c>
      <c r="EL4" s="14">
        <f>EXP(-1.0587+0.8836*LN(EK4)+0.284)</f>
        <v>0.55366654932289705</v>
      </c>
      <c r="EM4" s="22">
        <f t="shared" ref="EM4:EM67" si="19">(EK4+EL4)*0.475*44/12</f>
        <v>3.1079825342915606</v>
      </c>
      <c r="EN4" s="62">
        <f t="shared" ref="EN4:EN67" si="20">EM4+(EE4+EF4)*44/12</f>
        <v>260.99687142318044</v>
      </c>
      <c r="EO4" s="62">
        <f ca="1">AVERAGE(OFFSET($EN$3,0,0,'Données projet'!$E$15+1,1))-AVERAGE(OFFSET($H$3,0,0,'Données projet'!$E$15+1,1))</f>
        <v>406.24139966722936</v>
      </c>
      <c r="EP4" s="62">
        <f>$EP$3</f>
        <v>295.95724296920577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3.65</v>
      </c>
      <c r="FE4" s="13">
        <f>IF('Données projet'!$A$218&gt;35,FE3+FD4-FM3,IF(A4&lt;'Données projet'!$A$218,$FB$205^A4,IF(A4='Données projet'!$A$218,'Données projet'!$B$218,FE3+FD4-FM3)))</f>
        <v>1.2392705892426346</v>
      </c>
      <c r="FF4" s="18">
        <f>FE4*VLOOKUP('Données projet'!$B$16,Paramètres!$A$1:$I$89,3,0)*VLOOKUP('Données projet'!$B$16,Paramètres!$A$1:$I$89,5,0)</f>
        <v>1.1986225139154763</v>
      </c>
      <c r="FG4" s="14">
        <f>EXP(-1.0587+0.8836*LN(FF4)+0.284)</f>
        <v>0.54084878793982472</v>
      </c>
      <c r="FH4" s="22">
        <f t="shared" ref="FH4:FH67" si="22">(FF4+FG4)*0.475*44/12</f>
        <v>3.0295791840646493</v>
      </c>
      <c r="FI4" s="62">
        <f t="shared" ref="FI4:FI67" si="23">FH4+(EZ4+FA4)*44/12</f>
        <v>260.91846807295349</v>
      </c>
      <c r="FJ4" s="62">
        <f ca="1">AVERAGE(OFFSET($FI$3,0,0,'Données projet'!$E$16+1,1))-AVERAGE(OFFSET($H$3,0,0,'Données projet'!$E$16+1,1))</f>
        <v>540.83352418045502</v>
      </c>
      <c r="FK4" s="62">
        <f>$FK$3</f>
        <v>294.45557293177131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2.6666666666666665</v>
      </c>
      <c r="FZ4" s="13">
        <f>IF('Données projet'!$A$244&gt;35,FZ3+FY4-GH3,IF(A4&lt;'Données projet'!$A$244,$FW$205^A4,IF(A4='Données projet'!$A$244,'Données projet'!$B$244,FZ3+FY4-GH3)))</f>
        <v>1.2788040393997409</v>
      </c>
      <c r="GA4" s="18">
        <f>FZ4*VLOOKUP('Données projet'!$B$17,Paramètres!$A$1:$I$89,3,0)*VLOOKUP('Données projet'!$B$17,Paramètres!$A$1:$I$89,5,0)</f>
        <v>0.99746715073179792</v>
      </c>
      <c r="GB4" s="14">
        <f>EXP(-1.0587+0.8836*LN(GA4)+0.284)</f>
        <v>0.45981048445793882</v>
      </c>
      <c r="GC4" s="22">
        <f t="shared" ref="GC4:GC67" si="25">(GA4+GB4)*0.475*44/12</f>
        <v>2.5380918812887914</v>
      </c>
      <c r="GD4" s="62">
        <f t="shared" ref="GD4:GD67" si="26">GC4+(FU4+FV4)*44/12</f>
        <v>260.42698077017764</v>
      </c>
      <c r="GE4" s="62">
        <f ca="1">AVERAGE(OFFSET($GD$3,0,0,'Données projet'!$E$17+1,1))-AVERAGE(OFFSET($H$3,0,0,'Données projet'!$E$17+1,1))</f>
        <v>292.57482726862594</v>
      </c>
      <c r="GF4" s="62">
        <f>$GF$3</f>
        <v>283.48738729114024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2.7564102564102564</v>
      </c>
      <c r="GU4" s="13">
        <f>IF('Données projet'!$A$270&gt;35,GU3+GT4-HC3,IF(A4&lt;'Données projet'!$A$270,$GR$205^A4,IF(A4='Données projet'!$A$270,'Données projet'!$B$270,GU3+GT4-HC3)))</f>
        <v>1.3932671119677325</v>
      </c>
      <c r="GV4" s="18">
        <f>GU4*VLOOKUP('Données projet'!$B$18,Paramètres!$A$1:$I$89,3,0)*VLOOKUP('Données projet'!$B$18,Paramètres!$A$1:$I$89,5,0)</f>
        <v>0.93460357870795485</v>
      </c>
      <c r="GW4" s="14">
        <f>EXP(-1.0587+0.8836*LN(GV4)+0.284)</f>
        <v>0.43410868090907445</v>
      </c>
      <c r="GX4" s="22">
        <f t="shared" ref="GX4:GX67" si="28">(GV4+GW4)*0.475*44/12</f>
        <v>2.3838405188329927</v>
      </c>
      <c r="GY4" s="62">
        <f t="shared" ref="GY4:GY67" si="29">GX4+(GP4+GQ4)*44/12</f>
        <v>260.27272940772184</v>
      </c>
      <c r="GZ4" s="62">
        <f ca="1">AVERAGE(OFFSET($GY$3,0,0,'Données projet'!$E$18+1,1))-AVERAGE(OFFSET($H$3,0,0,'Données projet'!$E$18+1,1))</f>
        <v>343.33067866534634</v>
      </c>
      <c r="HA4" s="62">
        <f>$HA$3</f>
        <v>261.91036689641402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508.77990078889337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1.5572926756688519</v>
      </c>
      <c r="AK5" s="14">
        <f t="shared" ref="AK5:AK68" si="35">EXP(-1.0587+0.8836*LN(AJ5)+0.284)</f>
        <v>0.68160129960402205</v>
      </c>
      <c r="AL5" s="22">
        <f t="shared" si="4"/>
        <v>3.8994070069335893</v>
      </c>
      <c r="AM5" s="62">
        <f t="shared" si="5"/>
        <v>263.01051811804473</v>
      </c>
      <c r="AN5" s="62">
        <f ca="1">AVERAGE(OFFSET($AM$3,0,0,'Données projet'!$E$10+1,1))-AVERAGE(OFFSET($H$3,0,0,'Données projet'!$E$10+1,1))</f>
        <v>564.84596170333884</v>
      </c>
      <c r="AO5" s="62">
        <f t="shared" ref="AO5:AO68" si="36">$AO$3</f>
        <v>306.61893266146666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1.1000000000000001</v>
      </c>
      <c r="BD5" s="13">
        <f>IF('Données projet'!$A$88&gt;35,BD4+BC5-BL4,IF(A5&lt;'Données projet'!$A$88,$BA$205^A5,IF(A5='Données projet'!$A$88,'Données projet'!$B$88,BD4+BC5-BL4)))</f>
        <v>1.6153942662021783</v>
      </c>
      <c r="BE5" s="14">
        <f>BD5*VLOOKUP('Données projet'!$B$11,Paramètres!$A$1:$I$89,3,0)*VLOOKUP('Données projet'!$B$11,Paramètres!$A$1:$I$89,5,0)</f>
        <v>1.2852076781904531</v>
      </c>
      <c r="BF5" s="14">
        <f t="shared" ref="BF5:BF68" si="37">EXP(-1.0587+0.8836*LN(BE5)+0.284)</f>
        <v>0.57522914588482876</v>
      </c>
      <c r="BG5" s="22">
        <f t="shared" si="7"/>
        <v>3.2402608019311159</v>
      </c>
      <c r="BH5" s="62">
        <f t="shared" si="8"/>
        <v>262.35137191304227</v>
      </c>
      <c r="BI5" s="62">
        <f ca="1">AVERAGE(OFFSET($BH$3,0,0,'Données projet'!$E$11+1,1))-AVERAGE(OFFSET($H$3,0,0,'Données projet'!$E$11+1,1))</f>
        <v>370.79299728190904</v>
      </c>
      <c r="BJ5" s="62">
        <f t="shared" ref="BJ5:BJ68" si="38">$BJ$3</f>
        <v>404.95703400805775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1.2852076781904531</v>
      </c>
      <c r="CA5" s="14">
        <f t="shared" ref="CA5:CA68" si="39">EXP(-1.0587+0.8836*LN(BZ5)+0.284)</f>
        <v>0.57522914588482876</v>
      </c>
      <c r="CB5" s="22">
        <f t="shared" si="10"/>
        <v>3.2402608019311159</v>
      </c>
      <c r="CC5" s="62">
        <f t="shared" si="11"/>
        <v>262.35137191304227</v>
      </c>
      <c r="CD5" s="62">
        <f ca="1">AVERAGE(OFFSET($CC$3,0,0,'Données projet'!$E$12+1,1))-AVERAGE(OFFSET($H$3,0,0,'Données projet'!$E$12+1,1))</f>
        <v>370.79299728190904</v>
      </c>
      <c r="CE5" s="62">
        <f t="shared" ref="CE5:CE68" si="40">$CE$3</f>
        <v>404.95703400805775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2.4666666666666668</v>
      </c>
      <c r="CT5" s="13">
        <f>IF('Données projet'!$A$140&gt;35,CT4+CS5-DB4,IF(A5&lt;'Données projet'!$A$140,$CQ$205^A5,IF(A5='Données projet'!$A$140,'Données projet'!$B$140,CT4+CS5-DB4)))</f>
        <v>1.6184286699097237</v>
      </c>
      <c r="CU5" s="18">
        <f>CT5*VLOOKUP('Données projet'!$B$13,Paramètres!$A$1:$I$89,3,0)*VLOOKUP('Données projet'!$B$13,Paramètres!$A$1:$I$89,5,0)</f>
        <v>1.4138592860331347</v>
      </c>
      <c r="CV5" s="14">
        <f t="shared" ref="CV5:CV68" si="41">EXP(-1.0587+0.8836*LN(CU5)+0.284)</f>
        <v>0.62582221171965613</v>
      </c>
      <c r="CW5" s="22">
        <f t="shared" si="13"/>
        <v>3.5524452752527771</v>
      </c>
      <c r="CX5" s="62">
        <f t="shared" si="14"/>
        <v>262.66355638636389</v>
      </c>
      <c r="CY5" s="62">
        <f ca="1">AVERAGE(OFFSET($CX$3,0,0,'Données projet'!$E$13+1,1))-AVERAGE(OFFSET($H$3,0,0,'Données projet'!$E$13+1,1))</f>
        <v>339.58437495284466</v>
      </c>
      <c r="CZ5" s="62">
        <f t="shared" ref="CZ5:CZ68" si="42">$CZ$3</f>
        <v>371.26234252426531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1.1000000000000001</v>
      </c>
      <c r="DO5" s="13">
        <f>IF('Données projet'!$A$166&gt;35,DO4+DN5-DW4,IF(A5&lt;'Données projet'!$A$166,$DL$205^A5,IF(A5='Données projet'!$A$166,'Données projet'!$B$166,DO4+DN5-DW4)))</f>
        <v>1.6153942662021783</v>
      </c>
      <c r="DP5" s="18">
        <f>DO5*VLOOKUP('Données projet'!$B$14,Paramètres!$A$1:$I$89,3,0)*VLOOKUP('Données projet'!$B$14,Paramètres!$A$1:$I$89,5,0)</f>
        <v>1.1844070759794372</v>
      </c>
      <c r="DQ5" s="14">
        <f t="shared" ref="DQ5:DQ68" si="43">EXP(-1.0587+0.8836*LN(DP5)+0.284)</f>
        <v>0.53517712549257934</v>
      </c>
      <c r="DR5" s="22">
        <f t="shared" si="16"/>
        <v>2.9949424842304286</v>
      </c>
      <c r="DS5" s="62">
        <f t="shared" si="17"/>
        <v>262.10605359534156</v>
      </c>
      <c r="DT5" s="62">
        <f ca="1">AVERAGE(OFFSET($DS$3,0,0,'Données projet'!$E$14+1,1))-AVERAGE(OFFSET($H$3,0,0,'Données projet'!$E$14+1,1))</f>
        <v>344.63665697794022</v>
      </c>
      <c r="DU5" s="62">
        <f t="shared" ref="DU5:DU68" si="44">$DU$3</f>
        <v>376.72762011188041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3.1623931623931623</v>
      </c>
      <c r="EJ5" s="13">
        <f>IF('Données projet'!$A$192&gt;35,EJ4+EI5-ER4,IF(A5&lt;'Données projet'!$A$192,$EG$205^A5,IF(A5='Données projet'!$A$192,'Données projet'!$B$192,EJ4+EI5-ER4)))</f>
        <v>1.6729422505775835</v>
      </c>
      <c r="EK5" s="18">
        <f>EJ5*VLOOKUP('Données projet'!$B$15,Paramètres!$A$1:$I$89,3,0)*VLOOKUP('Données projet'!$B$15,Paramètres!$A$1:$I$89,5,0)</f>
        <v>1.5919718456496286</v>
      </c>
      <c r="EL5" s="14">
        <f t="shared" ref="EL5:EL68" si="45">EXP(-1.0587+0.8836*LN(EK5)+0.284)</f>
        <v>0.69499578258152339</v>
      </c>
      <c r="EM5" s="22">
        <f t="shared" si="19"/>
        <v>3.9831352858359232</v>
      </c>
      <c r="EN5" s="62">
        <f t="shared" si="20"/>
        <v>263.09424639694709</v>
      </c>
      <c r="EO5" s="62">
        <f ca="1">AVERAGE(OFFSET($EN$3,0,0,'Données projet'!$E$15+1,1))-AVERAGE(OFFSET($H$3,0,0,'Données projet'!$E$15+1,1))</f>
        <v>406.24139966722936</v>
      </c>
      <c r="EP5" s="62">
        <f t="shared" ref="EP5:EP68" si="46">$EP$3</f>
        <v>295.95724296920577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3.65</v>
      </c>
      <c r="FE5" s="13">
        <f>IF('Données projet'!$A$218&gt;35,FE4+FD5-FM4,IF(A5&lt;'Données projet'!$A$218,$FB$205^A5,IF(A5='Données projet'!$A$218,'Données projet'!$B$218,FE4+FD5-FM4)))</f>
        <v>1.5357915933617867</v>
      </c>
      <c r="FF5" s="18">
        <f>FE5*VLOOKUP('Données projet'!$B$16,Paramètres!$A$1:$I$89,3,0)*VLOOKUP('Données projet'!$B$16,Paramètres!$A$1:$I$89,5,0)</f>
        <v>1.4854176290995202</v>
      </c>
      <c r="FG5" s="14">
        <f t="shared" ref="FG5:FG68" si="47">EXP(-1.0587+0.8836*LN(FF5)+0.284)</f>
        <v>0.65372856897250708</v>
      </c>
      <c r="FH5" s="22">
        <f t="shared" si="22"/>
        <v>3.725679628308781</v>
      </c>
      <c r="FI5" s="62">
        <f t="shared" si="23"/>
        <v>262.83679073941994</v>
      </c>
      <c r="FJ5" s="62">
        <f ca="1">AVERAGE(OFFSET($FI$3,0,0,'Données projet'!$E$16+1,1))-AVERAGE(OFFSET($H$3,0,0,'Données projet'!$E$16+1,1))</f>
        <v>540.83352418045502</v>
      </c>
      <c r="FK5" s="62">
        <f t="shared" ref="FK5:FK68" si="48">$FK$3</f>
        <v>294.45557293177131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2.6666666666666665</v>
      </c>
      <c r="FZ5" s="13">
        <f>IF('Données projet'!$A$244&gt;35,FZ4+FY5-GH4,IF(A5&lt;'Données projet'!$A$244,$FW$205^A5,IF(A5='Données projet'!$A$244,'Données projet'!$B$244,FZ4+FY5-GH4)))</f>
        <v>1.6353397711850939</v>
      </c>
      <c r="GA5" s="18">
        <f>FZ5*VLOOKUP('Données projet'!$B$17,Paramètres!$A$1:$I$89,3,0)*VLOOKUP('Données projet'!$B$17,Paramètres!$A$1:$I$89,5,0)</f>
        <v>1.2755650215243732</v>
      </c>
      <c r="GB5" s="14">
        <f t="shared" ref="GB5:GB68" si="49">EXP(-1.0587+0.8836*LN(GA5)+0.284)</f>
        <v>0.57141400910743001</v>
      </c>
      <c r="GC5" s="22">
        <f t="shared" si="25"/>
        <v>3.2168218116837237</v>
      </c>
      <c r="GD5" s="62">
        <f t="shared" si="26"/>
        <v>262.32793292279484</v>
      </c>
      <c r="GE5" s="62">
        <f ca="1">AVERAGE(OFFSET($GD$3,0,0,'Données projet'!$E$17+1,1))-AVERAGE(OFFSET($H$3,0,0,'Données projet'!$E$17+1,1))</f>
        <v>292.57482726862594</v>
      </c>
      <c r="GF5" s="62">
        <f t="shared" ref="GF5:GF68" si="50">$GF$3</f>
        <v>283.48738729114024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2.7564102564102564</v>
      </c>
      <c r="GU5" s="13">
        <f>IF('Données projet'!$A$270&gt;35,GU4+GT5-HC4,IF(A5&lt;'Données projet'!$A$270,$GR$205^A5,IF(A5='Données projet'!$A$270,'Données projet'!$B$270,GU4+GT5-HC4)))</f>
        <v>1.941193245290906</v>
      </c>
      <c r="GV5" s="18">
        <f>GU5*VLOOKUP('Données projet'!$B$18,Paramètres!$A$1:$I$89,3,0)*VLOOKUP('Données projet'!$B$18,Paramètres!$A$1:$I$89,5,0)</f>
        <v>1.3021524289411397</v>
      </c>
      <c r="GW5" s="14">
        <f t="shared" ref="GW5:GW68" si="51">EXP(-1.0587+0.8836*LN(GV5)+0.284)</f>
        <v>0.58192531959354554</v>
      </c>
      <c r="GX5" s="22">
        <f t="shared" si="28"/>
        <v>3.2814354120312434</v>
      </c>
      <c r="GY5" s="62">
        <f t="shared" si="29"/>
        <v>262.39254652314241</v>
      </c>
      <c r="GZ5" s="62">
        <f ca="1">AVERAGE(OFFSET($GY$3,0,0,'Données projet'!$E$18+1,1))-AVERAGE(OFFSET($H$3,0,0,'Données projet'!$E$18+1,1))</f>
        <v>343.33067866534634</v>
      </c>
      <c r="HA5" s="62">
        <f t="shared" ref="HA5:HA68" si="52">$HA$3</f>
        <v>261.91036689641402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508.77990078889337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1.9299070117993768</v>
      </c>
      <c r="AK6" s="14">
        <f t="shared" si="35"/>
        <v>0.82385733708903885</v>
      </c>
      <c r="AL6" s="22">
        <f t="shared" si="4"/>
        <v>4.7961395743139903</v>
      </c>
      <c r="AM6" s="62">
        <f t="shared" si="5"/>
        <v>265.12947290764731</v>
      </c>
      <c r="AN6" s="62">
        <f ca="1">AVERAGE(OFFSET($AM$3,0,0,'Données projet'!$E$10+1,1))-AVERAGE(OFFSET($H$3,0,0,'Données projet'!$E$10+1,1))</f>
        <v>564.84596170333884</v>
      </c>
      <c r="AO6" s="62">
        <f t="shared" si="36"/>
        <v>306.61893266146666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1.1000000000000001</v>
      </c>
      <c r="BD6" s="13">
        <f>IF('Données projet'!$A$88&gt;35,BD5+BC6-BL5,IF(A6&lt;'Données projet'!$A$88,$BA$205^A6,IF(A6='Données projet'!$A$88,'Données projet'!$B$88,BD5+BC6-BL5)))</f>
        <v>2.0531364136588448</v>
      </c>
      <c r="BE6" s="14">
        <f>BD6*VLOOKUP('Données projet'!$B$11,Paramètres!$A$1:$I$89,3,0)*VLOOKUP('Données projet'!$B$11,Paramètres!$A$1:$I$89,5,0)</f>
        <v>1.6334753307069771</v>
      </c>
      <c r="BF6" s="14">
        <f t="shared" si="37"/>
        <v>0.71098156578295024</v>
      </c>
      <c r="BG6" s="22">
        <f t="shared" si="7"/>
        <v>4.0832624280532892</v>
      </c>
      <c r="BH6" s="62">
        <f t="shared" si="8"/>
        <v>264.41659576138659</v>
      </c>
      <c r="BI6" s="62">
        <f ca="1">AVERAGE(OFFSET($BH$3,0,0,'Données projet'!$E$11+1,1))-AVERAGE(OFFSET($H$3,0,0,'Données projet'!$E$11+1,1))</f>
        <v>370.79299728190904</v>
      </c>
      <c r="BJ6" s="62">
        <f t="shared" si="38"/>
        <v>404.95703400805775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1.6334753307069771</v>
      </c>
      <c r="CA6" s="14">
        <f t="shared" si="39"/>
        <v>0.71098156578295024</v>
      </c>
      <c r="CB6" s="22">
        <f t="shared" si="10"/>
        <v>4.0832624280532892</v>
      </c>
      <c r="CC6" s="62">
        <f t="shared" si="11"/>
        <v>264.41659576138659</v>
      </c>
      <c r="CD6" s="62">
        <f ca="1">AVERAGE(OFFSET($CC$3,0,0,'Données projet'!$E$12+1,1))-AVERAGE(OFFSET($H$3,0,0,'Données projet'!$E$12+1,1))</f>
        <v>370.79299728190904</v>
      </c>
      <c r="CE6" s="62">
        <f t="shared" si="40"/>
        <v>404.95703400805775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2.4666666666666668</v>
      </c>
      <c r="CT6" s="13">
        <f>IF('Données projet'!$A$140&gt;35,CT5+CS6-DB5,IF(A6&lt;'Données projet'!$A$140,$CQ$205^A6,IF(A6='Données projet'!$A$140,'Données projet'!$B$140,CT5+CS6-DB5)))</f>
        <v>2.0589241364785171</v>
      </c>
      <c r="CU6" s="18">
        <f>CT6*VLOOKUP('Données projet'!$B$13,Paramètres!$A$1:$I$89,3,0)*VLOOKUP('Données projet'!$B$13,Paramètres!$A$1:$I$89,5,0)</f>
        <v>1.7986761256276329</v>
      </c>
      <c r="CV6" s="14">
        <f t="shared" si="41"/>
        <v>0.77415604497611523</v>
      </c>
      <c r="CW6" s="22">
        <f t="shared" si="13"/>
        <v>4.4810160304681945</v>
      </c>
      <c r="CX6" s="62">
        <f t="shared" si="14"/>
        <v>264.81434936380151</v>
      </c>
      <c r="CY6" s="62">
        <f ca="1">AVERAGE(OFFSET($CX$3,0,0,'Données projet'!$E$13+1,1))-AVERAGE(OFFSET($H$3,0,0,'Données projet'!$E$13+1,1))</f>
        <v>339.58437495284466</v>
      </c>
      <c r="CZ6" s="62">
        <f t="shared" si="42"/>
        <v>371.26234252426531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1.1000000000000001</v>
      </c>
      <c r="DO6" s="13">
        <f>IF('Données projet'!$A$166&gt;35,DO5+DN6-DW5,IF(A6&lt;'Données projet'!$A$166,$DL$205^A6,IF(A6='Données projet'!$A$166,'Données projet'!$B$166,DO5+DN6-DW5)))</f>
        <v>2.0531364136588448</v>
      </c>
      <c r="DP6" s="18">
        <f>DO6*VLOOKUP('Données projet'!$B$14,Paramètres!$A$1:$I$89,3,0)*VLOOKUP('Données projet'!$B$14,Paramètres!$A$1:$I$89,5,0)</f>
        <v>1.5053596184946649</v>
      </c>
      <c r="DQ6" s="14">
        <f t="shared" si="43"/>
        <v>0.66147738405820555</v>
      </c>
      <c r="DR6" s="22">
        <f t="shared" si="16"/>
        <v>3.7739077794462492</v>
      </c>
      <c r="DS6" s="62">
        <f t="shared" si="17"/>
        <v>264.10724111277955</v>
      </c>
      <c r="DT6" s="62">
        <f ca="1">AVERAGE(OFFSET($DS$3,0,0,'Données projet'!$E$14+1,1))-AVERAGE(OFFSET($H$3,0,0,'Données projet'!$E$14+1,1))</f>
        <v>344.63665697794022</v>
      </c>
      <c r="DU6" s="62">
        <f t="shared" si="44"/>
        <v>376.72762011188041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3.1623931623931623</v>
      </c>
      <c r="EJ6" s="13">
        <f>IF('Données projet'!$A$192&gt;35,EJ5+EI6-ER5,IF(A6&lt;'Données projet'!$A$192,$EG$205^A6,IF(A6='Données projet'!$A$192,'Données projet'!$B$192,EJ5+EI6-ER5)))</f>
        <v>2.1638214630922641</v>
      </c>
      <c r="EK6" s="18">
        <f>EJ6*VLOOKUP('Données projet'!$B$15,Paramètres!$A$1:$I$89,3,0)*VLOOKUP('Données projet'!$B$15,Paramètres!$A$1:$I$89,5,0)</f>
        <v>2.0590925042785986</v>
      </c>
      <c r="EL6" s="14">
        <f t="shared" si="45"/>
        <v>0.87240079502149648</v>
      </c>
      <c r="EM6" s="22">
        <f t="shared" si="19"/>
        <v>5.1056841629476652</v>
      </c>
      <c r="EN6" s="62">
        <f t="shared" si="20"/>
        <v>265.439017496281</v>
      </c>
      <c r="EO6" s="62">
        <f ca="1">AVERAGE(OFFSET($EN$3,0,0,'Données projet'!$E$15+1,1))-AVERAGE(OFFSET($H$3,0,0,'Données projet'!$E$15+1,1))</f>
        <v>406.24139966722936</v>
      </c>
      <c r="EP6" s="62">
        <f t="shared" si="46"/>
        <v>295.95724296920577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3.65</v>
      </c>
      <c r="FE6" s="13">
        <f>IF('Données projet'!$A$218&gt;35,FE5+FD6-FM5,IF(A6&lt;'Données projet'!$A$218,$FB$205^A6,IF(A6='Données projet'!$A$218,'Données projet'!$B$218,FE5+FD6-FM5)))</f>
        <v>1.9032613528593461</v>
      </c>
      <c r="FF6" s="18">
        <f>FE6*VLOOKUP('Données projet'!$B$16,Paramètres!$A$1:$I$89,3,0)*VLOOKUP('Données projet'!$B$16,Paramètres!$A$1:$I$89,5,0)</f>
        <v>1.8408343804855598</v>
      </c>
      <c r="FG6" s="14">
        <f t="shared" si="47"/>
        <v>0.79016732850363813</v>
      </c>
      <c r="FH6" s="22">
        <f t="shared" si="22"/>
        <v>4.5823279764895188</v>
      </c>
      <c r="FI6" s="62">
        <f t="shared" si="23"/>
        <v>264.91566130982284</v>
      </c>
      <c r="FJ6" s="62">
        <f ca="1">AVERAGE(OFFSET($FI$3,0,0,'Données projet'!$E$16+1,1))-AVERAGE(OFFSET($H$3,0,0,'Données projet'!$E$16+1,1))</f>
        <v>540.83352418045502</v>
      </c>
      <c r="FK6" s="62">
        <f t="shared" si="48"/>
        <v>294.45557293177131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2.6666666666666665</v>
      </c>
      <c r="FZ6" s="13">
        <f>IF('Données projet'!$A$244&gt;35,FZ5+FY6-GH5,IF(A6&lt;'Données projet'!$A$244,$FW$205^A6,IF(A6='Données projet'!$A$244,'Données projet'!$B$244,FZ5+FY6-GH5)))</f>
        <v>2.0912791051825459</v>
      </c>
      <c r="GA6" s="18">
        <f>FZ6*VLOOKUP('Données projet'!$B$17,Paramètres!$A$1:$I$89,3,0)*VLOOKUP('Données projet'!$B$17,Paramètres!$A$1:$I$89,5,0)</f>
        <v>1.6311977020423858</v>
      </c>
      <c r="GB6" s="14">
        <f t="shared" si="49"/>
        <v>0.71010553443370616</v>
      </c>
      <c r="GC6" s="22">
        <f t="shared" si="25"/>
        <v>4.0777698035291934</v>
      </c>
      <c r="GD6" s="62">
        <f t="shared" si="26"/>
        <v>264.41110313686249</v>
      </c>
      <c r="GE6" s="62">
        <f ca="1">AVERAGE(OFFSET($GD$3,0,0,'Données projet'!$E$17+1,1))-AVERAGE(OFFSET($H$3,0,0,'Données projet'!$E$17+1,1))</f>
        <v>292.57482726862594</v>
      </c>
      <c r="GF6" s="62">
        <f t="shared" si="50"/>
        <v>283.48738729114024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2.7564102564102564</v>
      </c>
      <c r="GU6" s="13">
        <f>IF('Données projet'!$A$270&gt;35,GU5+GT6-HC5,IF(A6&lt;'Données projet'!$A$270,$GR$205^A6,IF(A6='Données projet'!$A$270,'Données projet'!$B$270,GU5+GT6-HC5)))</f>
        <v>2.7046007066377307</v>
      </c>
      <c r="GV6" s="18">
        <f>GU6*VLOOKUP('Données projet'!$B$18,Paramètres!$A$1:$I$89,3,0)*VLOOKUP('Données projet'!$B$18,Paramètres!$A$1:$I$89,5,0)</f>
        <v>1.8142461540125896</v>
      </c>
      <c r="GW6" s="14">
        <f t="shared" si="51"/>
        <v>0.7800744202463411</v>
      </c>
      <c r="GX6" s="22">
        <f t="shared" si="28"/>
        <v>4.5184416668343035</v>
      </c>
      <c r="GY6" s="62">
        <f t="shared" si="29"/>
        <v>264.85177500016761</v>
      </c>
      <c r="GZ6" s="62">
        <f ca="1">AVERAGE(OFFSET($GY$3,0,0,'Données projet'!$E$18+1,1))-AVERAGE(OFFSET($H$3,0,0,'Données projet'!$E$18+1,1))</f>
        <v>343.33067866534634</v>
      </c>
      <c r="HA6" s="62">
        <f t="shared" si="52"/>
        <v>261.91036689641402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508.77990078889337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2.3916769996961063</v>
      </c>
      <c r="AK7" s="14">
        <f t="shared" si="35"/>
        <v>0.9958034297612971</v>
      </c>
      <c r="AL7" s="22">
        <f t="shared" si="4"/>
        <v>5.8998617479716442</v>
      </c>
      <c r="AM7" s="62">
        <f t="shared" si="5"/>
        <v>267.45541730352721</v>
      </c>
      <c r="AN7" s="62">
        <f ca="1">AVERAGE(OFFSET($AM$3,0,0,'Données projet'!$E$10+1,1))-AVERAGE(OFFSET($H$3,0,0,'Données projet'!$E$10+1,1))</f>
        <v>564.84596170333884</v>
      </c>
      <c r="AO7" s="62">
        <f t="shared" si="36"/>
        <v>306.61893266146666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1.1000000000000001</v>
      </c>
      <c r="BD7" s="13">
        <f>IF('Données projet'!$A$88&gt;35,BD6+BC7-BL6,IF(A7&lt;'Données projet'!$A$88,$BA$205^A7,IF(A7='Données projet'!$A$88,'Données projet'!$B$88,BD6+BC7-BL6)))</f>
        <v>2.6094986352788743</v>
      </c>
      <c r="BE7" s="14">
        <f>BD7*VLOOKUP('Données projet'!$B$11,Paramètres!$A$1:$I$89,3,0)*VLOOKUP('Données projet'!$B$11,Paramètres!$A$1:$I$89,5,0)</f>
        <v>2.0761171142278725</v>
      </c>
      <c r="BF7" s="14">
        <f t="shared" si="37"/>
        <v>0.87877116536856548</v>
      </c>
      <c r="BG7" s="22">
        <f t="shared" si="7"/>
        <v>5.14643042029713</v>
      </c>
      <c r="BH7" s="62">
        <f t="shared" si="8"/>
        <v>266.70198597585266</v>
      </c>
      <c r="BI7" s="62">
        <f ca="1">AVERAGE(OFFSET($BH$3,0,0,'Données projet'!$E$11+1,1))-AVERAGE(OFFSET($H$3,0,0,'Données projet'!$E$11+1,1))</f>
        <v>370.79299728190904</v>
      </c>
      <c r="BJ7" s="62">
        <f t="shared" si="38"/>
        <v>404.95703400805775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2.0761171142278725</v>
      </c>
      <c r="CA7" s="14">
        <f t="shared" si="39"/>
        <v>0.87877116536856548</v>
      </c>
      <c r="CB7" s="22">
        <f t="shared" si="10"/>
        <v>5.14643042029713</v>
      </c>
      <c r="CC7" s="62">
        <f t="shared" si="11"/>
        <v>266.70198597585266</v>
      </c>
      <c r="CD7" s="62">
        <f ca="1">AVERAGE(OFFSET($CC$3,0,0,'Données projet'!$E$12+1,1))-AVERAGE(OFFSET($H$3,0,0,'Données projet'!$E$12+1,1))</f>
        <v>370.79299728190904</v>
      </c>
      <c r="CE7" s="62">
        <f t="shared" si="40"/>
        <v>404.95703400805775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2.4666666666666668</v>
      </c>
      <c r="CT7" s="13">
        <f>IF('Données projet'!$A$140&gt;35,CT6+CS7-DB6,IF(A7&lt;'Données projet'!$A$140,$CQ$205^A7,IF(A7='Données projet'!$A$140,'Données projet'!$B$140,CT6+CS7-DB6)))</f>
        <v>2.6193113595857573</v>
      </c>
      <c r="CU7" s="18">
        <f>CT7*VLOOKUP('Données projet'!$B$13,Paramètres!$A$1:$I$89,3,0)*VLOOKUP('Données projet'!$B$13,Paramètres!$A$1:$I$89,5,0)</f>
        <v>2.2882304037341177</v>
      </c>
      <c r="CV7" s="14">
        <f t="shared" si="41"/>
        <v>0.95764830769786036</v>
      </c>
      <c r="CW7" s="22">
        <f t="shared" si="13"/>
        <v>5.6532387557440282</v>
      </c>
      <c r="CX7" s="62">
        <f t="shared" si="14"/>
        <v>267.20879431129958</v>
      </c>
      <c r="CY7" s="62">
        <f ca="1">AVERAGE(OFFSET($CX$3,0,0,'Données projet'!$E$13+1,1))-AVERAGE(OFFSET($H$3,0,0,'Données projet'!$E$13+1,1))</f>
        <v>339.58437495284466</v>
      </c>
      <c r="CZ7" s="62">
        <f t="shared" si="42"/>
        <v>371.26234252426531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1.1000000000000001</v>
      </c>
      <c r="DO7" s="13">
        <f>IF('Données projet'!$A$166&gt;35,DO6+DN7-DW6,IF(A7&lt;'Données projet'!$A$166,$DL$205^A7,IF(A7='Données projet'!$A$166,'Données projet'!$B$166,DO6+DN7-DW6)))</f>
        <v>2.6094986352788743</v>
      </c>
      <c r="DP7" s="18">
        <f>DO7*VLOOKUP('Données projet'!$B$14,Paramètres!$A$1:$I$89,3,0)*VLOOKUP('Données projet'!$B$14,Paramètres!$A$1:$I$89,5,0)</f>
        <v>1.9132843993864705</v>
      </c>
      <c r="DQ7" s="14">
        <f t="shared" si="43"/>
        <v>0.81758413948982178</v>
      </c>
      <c r="DR7" s="22">
        <f t="shared" si="16"/>
        <v>4.7562627052095419</v>
      </c>
      <c r="DS7" s="62">
        <f t="shared" si="17"/>
        <v>266.31181826076511</v>
      </c>
      <c r="DT7" s="62">
        <f ca="1">AVERAGE(OFFSET($DS$3,0,0,'Données projet'!$E$14+1,1))-AVERAGE(OFFSET($H$3,0,0,'Données projet'!$E$14+1,1))</f>
        <v>344.63665697794022</v>
      </c>
      <c r="DU7" s="62">
        <f t="shared" si="44"/>
        <v>376.72762011188041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3.1623931623931623</v>
      </c>
      <c r="EJ7" s="13">
        <f>IF('Données projet'!$A$192&gt;35,EJ6+EI7-ER6,IF(A7&lt;'Données projet'!$A$192,$EG$205^A7,IF(A7='Données projet'!$A$192,'Données projet'!$B$192,EJ6+EI7-ER6)))</f>
        <v>2.7987357737675902</v>
      </c>
      <c r="EK7" s="18">
        <f>EJ7*VLOOKUP('Données projet'!$B$15,Paramètres!$A$1:$I$89,3,0)*VLOOKUP('Données projet'!$B$15,Paramètres!$A$1:$I$89,5,0)</f>
        <v>2.6632769623172385</v>
      </c>
      <c r="EL7" s="14">
        <f t="shared" si="45"/>
        <v>1.0950903102276937</v>
      </c>
      <c r="EM7" s="22">
        <f t="shared" si="19"/>
        <v>6.5458229996824224</v>
      </c>
      <c r="EN7" s="62">
        <f t="shared" si="20"/>
        <v>268.10137855523794</v>
      </c>
      <c r="EO7" s="62">
        <f ca="1">AVERAGE(OFFSET($EN$3,0,0,'Données projet'!$E$15+1,1))-AVERAGE(OFFSET($H$3,0,0,'Données projet'!$E$15+1,1))</f>
        <v>406.24139966722936</v>
      </c>
      <c r="EP7" s="62">
        <f t="shared" si="46"/>
        <v>295.95724296920577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3.65</v>
      </c>
      <c r="FE7" s="13">
        <f>IF('Données projet'!$A$218&gt;35,FE6+FD7-FM6,IF(A7&lt;'Données projet'!$A$218,$FB$205^A7,IF(A7='Données projet'!$A$218,'Données projet'!$B$218,FE6+FD7-FM6)))</f>
        <v>2.3586558182407358</v>
      </c>
      <c r="FF7" s="18">
        <f>FE7*VLOOKUP('Données projet'!$B$16,Paramètres!$A$1:$I$89,3,0)*VLOOKUP('Données projet'!$B$16,Paramètres!$A$1:$I$89,5,0)</f>
        <v>2.2812919074024398</v>
      </c>
      <c r="FG7" s="14">
        <f t="shared" si="47"/>
        <v>0.95508202741684722</v>
      </c>
      <c r="FH7" s="22">
        <f t="shared" si="22"/>
        <v>5.6366846031435918</v>
      </c>
      <c r="FI7" s="62">
        <f t="shared" si="23"/>
        <v>267.19224015869912</v>
      </c>
      <c r="FJ7" s="62">
        <f ca="1">AVERAGE(OFFSET($FI$3,0,0,'Données projet'!$E$16+1,1))-AVERAGE(OFFSET($H$3,0,0,'Données projet'!$E$16+1,1))</f>
        <v>540.83352418045502</v>
      </c>
      <c r="FK7" s="62">
        <f t="shared" si="48"/>
        <v>294.45557293177131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2.6666666666666665</v>
      </c>
      <c r="FZ7" s="13">
        <f>IF('Données projet'!$A$244&gt;35,FZ6+FY7-GH6,IF(A7&lt;'Données projet'!$A$244,$FW$205^A7,IF(A7='Données projet'!$A$244,'Données projet'!$B$244,FZ6+FY7-GH6)))</f>
        <v>2.6743361672197152</v>
      </c>
      <c r="GA7" s="18">
        <f>FZ7*VLOOKUP('Données projet'!$B$17,Paramètres!$A$1:$I$89,3,0)*VLOOKUP('Données projet'!$B$17,Paramètres!$A$1:$I$89,5,0)</f>
        <v>2.0859822104313781</v>
      </c>
      <c r="GB7" s="14">
        <f t="shared" si="49"/>
        <v>0.88245976121767966</v>
      </c>
      <c r="GC7" s="22">
        <f t="shared" si="25"/>
        <v>5.1700364339554419</v>
      </c>
      <c r="GD7" s="62">
        <f t="shared" si="26"/>
        <v>266.72559198951097</v>
      </c>
      <c r="GE7" s="62">
        <f ca="1">AVERAGE(OFFSET($GD$3,0,0,'Données projet'!$E$17+1,1))-AVERAGE(OFFSET($H$3,0,0,'Données projet'!$E$17+1,1))</f>
        <v>292.57482726862594</v>
      </c>
      <c r="GF7" s="62">
        <f t="shared" si="50"/>
        <v>283.48738729114024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2.7564102564102564</v>
      </c>
      <c r="GU7" s="13">
        <f>IF('Données projet'!$A$270&gt;35,GU6+GT7-HC6,IF(A7&lt;'Données projet'!$A$270,$GR$205^A7,IF(A7='Données projet'!$A$270,'Données projet'!$B$270,GU6+GT7-HC6)))</f>
        <v>3.7682312155630395</v>
      </c>
      <c r="GV7" s="18">
        <f>GU7*VLOOKUP('Données projet'!$B$18,Paramètres!$A$1:$I$89,3,0)*VLOOKUP('Données projet'!$B$18,Paramètres!$A$1:$I$89,5,0)</f>
        <v>2.5277294993996873</v>
      </c>
      <c r="GW7" s="14">
        <f t="shared" si="51"/>
        <v>1.0456944914300901</v>
      </c>
      <c r="GX7" s="22">
        <f t="shared" si="28"/>
        <v>6.2237134506951959</v>
      </c>
      <c r="GY7" s="62">
        <f t="shared" si="29"/>
        <v>267.77926900625073</v>
      </c>
      <c r="GZ7" s="62">
        <f ca="1">AVERAGE(OFFSET($GY$3,0,0,'Données projet'!$E$18+1,1))-AVERAGE(OFFSET($H$3,0,0,'Données projet'!$E$18+1,1))</f>
        <v>343.33067866534634</v>
      </c>
      <c r="HA7" s="62">
        <f t="shared" si="52"/>
        <v>261.91036689641402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508.77990078889337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2.9639349646914495</v>
      </c>
      <c r="AK8" s="14">
        <f t="shared" si="35"/>
        <v>1.2036361467970902</v>
      </c>
      <c r="AL8" s="22">
        <f t="shared" si="4"/>
        <v>7.2585196858425398</v>
      </c>
      <c r="AM8" s="62">
        <f t="shared" si="5"/>
        <v>270.03629746362031</v>
      </c>
      <c r="AN8" s="62">
        <f ca="1">AVERAGE(OFFSET($AM$3,0,0,'Données projet'!$E$10+1,1))-AVERAGE(OFFSET($H$3,0,0,'Données projet'!$E$10+1,1))</f>
        <v>564.84596170333884</v>
      </c>
      <c r="AO8" s="62">
        <f t="shared" si="36"/>
        <v>306.61893266146666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1.1000000000000001</v>
      </c>
      <c r="BD8" s="13">
        <f>IF('Données projet'!$A$88&gt;35,BD7+BC8-BL7,IF(A8&lt;'Données projet'!$A$88,$BA$205^A8,IF(A8='Données projet'!$A$88,'Données projet'!$B$88,BD7+BC8-BL7)))</f>
        <v>3.3166247903554016</v>
      </c>
      <c r="BE8" s="14">
        <f>BD8*VLOOKUP('Données projet'!$B$11,Paramètres!$A$1:$I$89,3,0)*VLOOKUP('Données projet'!$B$11,Paramètres!$A$1:$I$89,5,0)</f>
        <v>2.6387066832067574</v>
      </c>
      <c r="BF8" s="14">
        <f t="shared" si="37"/>
        <v>1.0861586266766543</v>
      </c>
      <c r="BG8" s="22">
        <f t="shared" si="7"/>
        <v>6.4874737480469413</v>
      </c>
      <c r="BH8" s="62">
        <f t="shared" si="8"/>
        <v>269.26525152582474</v>
      </c>
      <c r="BI8" s="62">
        <f ca="1">AVERAGE(OFFSET($BH$3,0,0,'Données projet'!$E$11+1,1))-AVERAGE(OFFSET($H$3,0,0,'Données projet'!$E$11+1,1))</f>
        <v>370.79299728190904</v>
      </c>
      <c r="BJ8" s="62">
        <f t="shared" si="38"/>
        <v>404.95703400805775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2.6387066832067574</v>
      </c>
      <c r="CA8" s="14">
        <f t="shared" si="39"/>
        <v>1.0861586266766543</v>
      </c>
      <c r="CB8" s="22">
        <f t="shared" si="10"/>
        <v>6.4874737480469413</v>
      </c>
      <c r="CC8" s="62">
        <f t="shared" si="11"/>
        <v>269.26525152582474</v>
      </c>
      <c r="CD8" s="62">
        <f ca="1">AVERAGE(OFFSET($CC$3,0,0,'Données projet'!$E$12+1,1))-AVERAGE(OFFSET($H$3,0,0,'Données projet'!$E$12+1,1))</f>
        <v>370.79299728190904</v>
      </c>
      <c r="CE8" s="62">
        <f t="shared" si="40"/>
        <v>404.95703400805775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2.4666666666666668</v>
      </c>
      <c r="CT8" s="13">
        <f>IF('Données projet'!$A$140&gt;35,CT7+CS8-DB7,IF(A8&lt;'Données projet'!$A$140,$CQ$205^A8,IF(A8='Données projet'!$A$140,'Données projet'!$B$140,CT7+CS8-DB7)))</f>
        <v>3.332221851645953</v>
      </c>
      <c r="CU8" s="18">
        <f>CT8*VLOOKUP('Données projet'!$B$13,Paramètres!$A$1:$I$89,3,0)*VLOOKUP('Données projet'!$B$13,Paramètres!$A$1:$I$89,5,0)</f>
        <v>2.9110290095979048</v>
      </c>
      <c r="CV8" s="14">
        <f t="shared" si="41"/>
        <v>1.1846323324451606</v>
      </c>
      <c r="CW8" s="22">
        <f t="shared" si="13"/>
        <v>7.133276837391672</v>
      </c>
      <c r="CX8" s="62">
        <f t="shared" si="14"/>
        <v>269.91105461516946</v>
      </c>
      <c r="CY8" s="62">
        <f ca="1">AVERAGE(OFFSET($CX$3,0,0,'Données projet'!$E$13+1,1))-AVERAGE(OFFSET($H$3,0,0,'Données projet'!$E$13+1,1))</f>
        <v>339.58437495284466</v>
      </c>
      <c r="CZ8" s="62">
        <f t="shared" si="42"/>
        <v>371.26234252426531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1.1000000000000001</v>
      </c>
      <c r="DO8" s="13">
        <f>IF('Données projet'!$A$166&gt;35,DO7+DN8-DW7,IF(A8&lt;'Données projet'!$A$166,$DL$205^A8,IF(A8='Données projet'!$A$166,'Données projet'!$B$166,DO7+DN8-DW7)))</f>
        <v>3.3166247903554016</v>
      </c>
      <c r="DP8" s="18">
        <f>DO8*VLOOKUP('Données projet'!$B$14,Paramètres!$A$1:$I$89,3,0)*VLOOKUP('Données projet'!$B$14,Paramètres!$A$1:$I$89,5,0)</f>
        <v>2.4317492962885807</v>
      </c>
      <c r="DQ8" s="14">
        <f t="shared" si="43"/>
        <v>1.010531639108154</v>
      </c>
      <c r="DR8" s="22">
        <f t="shared" si="16"/>
        <v>5.9953059624826457</v>
      </c>
      <c r="DS8" s="62">
        <f t="shared" si="17"/>
        <v>268.7730837402604</v>
      </c>
      <c r="DT8" s="62">
        <f ca="1">AVERAGE(OFFSET($DS$3,0,0,'Données projet'!$E$14+1,1))-AVERAGE(OFFSET($H$3,0,0,'Données projet'!$E$14+1,1))</f>
        <v>344.63665697794022</v>
      </c>
      <c r="DU8" s="62">
        <f t="shared" si="44"/>
        <v>376.72762011188041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3.1623931623931623</v>
      </c>
      <c r="EJ8" s="13">
        <f>IF('Données projet'!$A$192&gt;35,EJ7+EI8-ER7,IF(A8&lt;'Données projet'!$A$192,$EG$205^A8,IF(A8='Données projet'!$A$192,'Données projet'!$B$192,EJ7+EI8-ER7)))</f>
        <v>3.6199483483136521</v>
      </c>
      <c r="EK8" s="18">
        <f>EJ8*VLOOKUP('Données projet'!$B$15,Paramètres!$A$1:$I$89,3,0)*VLOOKUP('Données projet'!$B$15,Paramètres!$A$1:$I$89,5,0)</f>
        <v>3.4447428482552716</v>
      </c>
      <c r="EL8" s="14">
        <f t="shared" si="45"/>
        <v>1.3746236757212458</v>
      </c>
      <c r="EM8" s="22">
        <f t="shared" si="19"/>
        <v>8.3937300292591015</v>
      </c>
      <c r="EN8" s="62">
        <f t="shared" si="20"/>
        <v>271.17150780703685</v>
      </c>
      <c r="EO8" s="62">
        <f ca="1">AVERAGE(OFFSET($EN$3,0,0,'Données projet'!$E$15+1,1))-AVERAGE(OFFSET($H$3,0,0,'Données projet'!$E$15+1,1))</f>
        <v>406.24139966722936</v>
      </c>
      <c r="EP8" s="62">
        <f t="shared" si="46"/>
        <v>295.95724296920577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3.65</v>
      </c>
      <c r="FE8" s="13">
        <f>IF('Données projet'!$A$218&gt;35,FE7+FD8-FM7,IF(A8&lt;'Données projet'!$A$218,$FB$205^A8,IF(A8='Données projet'!$A$218,'Données projet'!$B$218,FE7+FD8-FM7)))</f>
        <v>2.9230127856917649</v>
      </c>
      <c r="FF8" s="18">
        <f>FE8*VLOOKUP('Données projet'!$B$16,Paramètres!$A$1:$I$89,3,0)*VLOOKUP('Données projet'!$B$16,Paramètres!$A$1:$I$89,5,0)</f>
        <v>2.8271379663210752</v>
      </c>
      <c r="FG8" s="14">
        <f t="shared" si="47"/>
        <v>1.1544158385061292</v>
      </c>
      <c r="FH8" s="22">
        <f t="shared" si="22"/>
        <v>6.9345395434073795</v>
      </c>
      <c r="FI8" s="62">
        <f t="shared" si="23"/>
        <v>269.71231732118514</v>
      </c>
      <c r="FJ8" s="62">
        <f ca="1">AVERAGE(OFFSET($FI$3,0,0,'Données projet'!$E$16+1,1))-AVERAGE(OFFSET($H$3,0,0,'Données projet'!$E$16+1,1))</f>
        <v>540.83352418045502</v>
      </c>
      <c r="FK8" s="62">
        <f t="shared" si="48"/>
        <v>294.45557293177131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2.6666666666666665</v>
      </c>
      <c r="FZ8" s="13">
        <f>IF('Données projet'!$A$244&gt;35,FZ7+FY8-GH7,IF(A8&lt;'Données projet'!$A$244,$FW$205^A8,IF(A8='Données projet'!$A$244,'Données projet'!$B$244,FZ7+FY8-GH7)))</f>
        <v>3.4199518933533928</v>
      </c>
      <c r="GA8" s="18">
        <f>FZ8*VLOOKUP('Données projet'!$B$17,Paramètres!$A$1:$I$89,3,0)*VLOOKUP('Données projet'!$B$17,Paramètres!$A$1:$I$89,5,0)</f>
        <v>2.6675624768156463</v>
      </c>
      <c r="GB8" s="14">
        <f t="shared" si="49"/>
        <v>1.0966471776471767</v>
      </c>
      <c r="GC8" s="22">
        <f t="shared" si="25"/>
        <v>6.5559984815227494</v>
      </c>
      <c r="GD8" s="62">
        <f t="shared" si="26"/>
        <v>269.33377625930052</v>
      </c>
      <c r="GE8" s="62">
        <f ca="1">AVERAGE(OFFSET($GD$3,0,0,'Données projet'!$E$17+1,1))-AVERAGE(OFFSET($H$3,0,0,'Données projet'!$E$17+1,1))</f>
        <v>292.57482726862594</v>
      </c>
      <c r="GF8" s="62">
        <f t="shared" si="50"/>
        <v>283.48738729114024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2.7564102564102564</v>
      </c>
      <c r="GU8" s="13">
        <f>IF('Données projet'!$A$270&gt;35,GU7+GT8-HC7,IF(A8&lt;'Données projet'!$A$270,$GR$205^A8,IF(A8='Données projet'!$A$270,'Données projet'!$B$270,GU7+GT8-HC7)))</f>
        <v>5.2501526229341744</v>
      </c>
      <c r="GV8" s="18">
        <f>GU8*VLOOKUP('Données projet'!$B$18,Paramètres!$A$1:$I$89,3,0)*VLOOKUP('Données projet'!$B$18,Paramètres!$A$1:$I$89,5,0)</f>
        <v>3.5218023794642446</v>
      </c>
      <c r="GW8" s="14">
        <f t="shared" si="51"/>
        <v>1.4017598078166997</v>
      </c>
      <c r="GX8" s="22">
        <f t="shared" si="28"/>
        <v>8.5752041428476442</v>
      </c>
      <c r="GY8" s="62">
        <f t="shared" si="29"/>
        <v>271.35298192062544</v>
      </c>
      <c r="GZ8" s="62">
        <f ca="1">AVERAGE(OFFSET($GY$3,0,0,'Données projet'!$E$18+1,1))-AVERAGE(OFFSET($H$3,0,0,'Données projet'!$E$18+1,1))</f>
        <v>343.33067866534634</v>
      </c>
      <c r="HA8" s="62">
        <f t="shared" si="52"/>
        <v>261.91036689641402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508.77990078889337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3.6731174301700205</v>
      </c>
      <c r="AK9" s="14">
        <f t="shared" si="35"/>
        <v>1.4548453345092642</v>
      </c>
      <c r="AL9" s="22">
        <f t="shared" si="4"/>
        <v>8.9312018151497536</v>
      </c>
      <c r="AM9" s="62">
        <f t="shared" si="5"/>
        <v>272.93120181514973</v>
      </c>
      <c r="AN9" s="62">
        <f ca="1">AVERAGE(OFFSET($AM$3,0,0,'Données projet'!$E$10+1,1))-AVERAGE(OFFSET($H$3,0,0,'Données projet'!$E$10+1,1))</f>
        <v>564.84596170333884</v>
      </c>
      <c r="AO9" s="62">
        <f t="shared" si="36"/>
        <v>306.61893266146666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1.1000000000000001</v>
      </c>
      <c r="BD9" s="13">
        <f>IF('Données projet'!$A$88&gt;35,BD8+BC9-BL8,IF(A9&lt;'Données projet'!$A$88,$BA$205^A9,IF(A9='Données projet'!$A$88,'Données projet'!$B$88,BD8+BC9-BL8)))</f>
        <v>4.2153691330919028</v>
      </c>
      <c r="BE9" s="14">
        <f>BD9*VLOOKUP('Données projet'!$B$11,Paramètres!$A$1:$I$89,3,0)*VLOOKUP('Données projet'!$B$11,Paramètres!$A$1:$I$89,5,0)</f>
        <v>3.353747682287918</v>
      </c>
      <c r="BF9" s="14">
        <f t="shared" si="37"/>
        <v>1.3424889309030987</v>
      </c>
      <c r="BG9" s="22">
        <f t="shared" si="7"/>
        <v>8.1792787679743544</v>
      </c>
      <c r="BH9" s="62">
        <f t="shared" si="8"/>
        <v>272.17927876797438</v>
      </c>
      <c r="BI9" s="62">
        <f ca="1">AVERAGE(OFFSET($BH$3,0,0,'Données projet'!$E$11+1,1))-AVERAGE(OFFSET($H$3,0,0,'Données projet'!$E$11+1,1))</f>
        <v>370.79299728190904</v>
      </c>
      <c r="BJ9" s="62">
        <f t="shared" si="38"/>
        <v>404.95703400805775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3.353747682287918</v>
      </c>
      <c r="CA9" s="14">
        <f t="shared" si="39"/>
        <v>1.3424889309030987</v>
      </c>
      <c r="CB9" s="22">
        <f t="shared" si="10"/>
        <v>8.1792787679743544</v>
      </c>
      <c r="CC9" s="62">
        <f t="shared" si="11"/>
        <v>272.17927876797438</v>
      </c>
      <c r="CD9" s="62">
        <f ca="1">AVERAGE(OFFSET($CC$3,0,0,'Données projet'!$E$12+1,1))-AVERAGE(OFFSET($H$3,0,0,'Données projet'!$E$12+1,1))</f>
        <v>370.79299728190904</v>
      </c>
      <c r="CE9" s="62">
        <f t="shared" si="40"/>
        <v>404.95703400805775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2.4666666666666668</v>
      </c>
      <c r="CT9" s="13">
        <f>IF('Données projet'!$A$140&gt;35,CT8+CS9-DB8,IF(A9&lt;'Données projet'!$A$140,$CQ$205^A9,IF(A9='Données projet'!$A$140,'Données projet'!$B$140,CT8+CS9-DB8)))</f>
        <v>4.2391685997738069</v>
      </c>
      <c r="CU9" s="18">
        <f>CT9*VLOOKUP('Données projet'!$B$13,Paramètres!$A$1:$I$89,3,0)*VLOOKUP('Données projet'!$B$13,Paramètres!$A$1:$I$89,5,0)</f>
        <v>3.7033376887623981</v>
      </c>
      <c r="CV9" s="14">
        <f t="shared" si="41"/>
        <v>1.4654166376047331</v>
      </c>
      <c r="CW9" s="22">
        <f t="shared" si="13"/>
        <v>9.002247118422753</v>
      </c>
      <c r="CX9" s="62">
        <f t="shared" si="14"/>
        <v>273.00224711842276</v>
      </c>
      <c r="CY9" s="62">
        <f ca="1">AVERAGE(OFFSET($CX$3,0,0,'Données projet'!$E$13+1,1))-AVERAGE(OFFSET($H$3,0,0,'Données projet'!$E$13+1,1))</f>
        <v>339.58437495284466</v>
      </c>
      <c r="CZ9" s="62">
        <f t="shared" si="42"/>
        <v>371.26234252426531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1.1000000000000001</v>
      </c>
      <c r="DO9" s="13">
        <f>IF('Données projet'!$A$166&gt;35,DO8+DN9-DW8,IF(A9&lt;'Données projet'!$A$166,$DL$205^A9,IF(A9='Données projet'!$A$166,'Données projet'!$B$166,DO8+DN9-DW8)))</f>
        <v>4.2153691330919028</v>
      </c>
      <c r="DP9" s="18">
        <f>DO9*VLOOKUP('Données projet'!$B$14,Paramètres!$A$1:$I$89,3,0)*VLOOKUP('Données projet'!$B$14,Paramètres!$A$1:$I$89,5,0)</f>
        <v>3.0907086483829831</v>
      </c>
      <c r="DQ9" s="14">
        <f t="shared" si="43"/>
        <v>1.2490141923201104</v>
      </c>
      <c r="DR9" s="22">
        <f t="shared" si="16"/>
        <v>7.5583506142245538</v>
      </c>
      <c r="DS9" s="62">
        <f t="shared" si="17"/>
        <v>271.55835061422454</v>
      </c>
      <c r="DT9" s="62">
        <f ca="1">AVERAGE(OFFSET($DS$3,0,0,'Données projet'!$E$14+1,1))-AVERAGE(OFFSET($H$3,0,0,'Données projet'!$E$14+1,1))</f>
        <v>344.63665697794022</v>
      </c>
      <c r="DU9" s="62">
        <f t="shared" si="44"/>
        <v>376.72762011188041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3.1623931623931623</v>
      </c>
      <c r="EJ9" s="13">
        <f>IF('Données projet'!$A$192&gt;35,EJ8+EI9-ER8,IF(A9&lt;'Données projet'!$A$192,$EG$205^A9,IF(A9='Données projet'!$A$192,'Données projet'!$B$192,EJ8+EI9-ER8)))</f>
        <v>4.6821233241387468</v>
      </c>
      <c r="EK9" s="18">
        <f>EJ9*VLOOKUP('Données projet'!$B$15,Paramètres!$A$1:$I$89,3,0)*VLOOKUP('Données projet'!$B$15,Paramètres!$A$1:$I$89,5,0)</f>
        <v>4.4555085552504314</v>
      </c>
      <c r="EL9" s="14">
        <f t="shared" si="45"/>
        <v>1.7255108845411122</v>
      </c>
      <c r="EM9" s="22">
        <f t="shared" si="19"/>
        <v>10.765275524303604</v>
      </c>
      <c r="EN9" s="62">
        <f t="shared" si="20"/>
        <v>274.7652755243036</v>
      </c>
      <c r="EO9" s="62">
        <f ca="1">AVERAGE(OFFSET($EN$3,0,0,'Données projet'!$E$15+1,1))-AVERAGE(OFFSET($H$3,0,0,'Données projet'!$E$15+1,1))</f>
        <v>406.24139966722936</v>
      </c>
      <c r="EP9" s="62">
        <f t="shared" si="46"/>
        <v>295.95724296920577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3.65</v>
      </c>
      <c r="FE9" s="13">
        <f>IF('Données projet'!$A$218&gt;35,FE8+FD9-FM8,IF(A9&lt;'Données projet'!$A$218,$FB$205^A9,IF(A9='Données projet'!$A$218,'Données projet'!$B$218,FE8+FD9-FM8)))</f>
        <v>3.6224037772879885</v>
      </c>
      <c r="FF9" s="18">
        <f>FE9*VLOOKUP('Données projet'!$B$16,Paramètres!$A$1:$I$89,3,0)*VLOOKUP('Données projet'!$B$16,Paramètres!$A$1:$I$89,5,0)</f>
        <v>3.5035889333929422</v>
      </c>
      <c r="FG9" s="14">
        <f t="shared" si="47"/>
        <v>1.3953523257036018</v>
      </c>
      <c r="FH9" s="22">
        <f t="shared" si="22"/>
        <v>8.5323226929264795</v>
      </c>
      <c r="FI9" s="62">
        <f t="shared" si="23"/>
        <v>272.53232269292647</v>
      </c>
      <c r="FJ9" s="62">
        <f ca="1">AVERAGE(OFFSET($FI$3,0,0,'Données projet'!$E$16+1,1))-AVERAGE(OFFSET($H$3,0,0,'Données projet'!$E$16+1,1))</f>
        <v>540.83352418045502</v>
      </c>
      <c r="FK9" s="62">
        <f t="shared" si="48"/>
        <v>294.45557293177131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2.6666666666666665</v>
      </c>
      <c r="FZ9" s="13">
        <f>IF('Données projet'!$A$244&gt;35,FZ8+FY9-GH8,IF(A9&lt;'Données projet'!$A$244,$FW$205^A9,IF(A9='Données projet'!$A$244,'Données projet'!$B$244,FZ8+FY9-GH8)))</f>
        <v>4.3734482957731098</v>
      </c>
      <c r="GA9" s="18">
        <f>FZ9*VLOOKUP('Données projet'!$B$17,Paramètres!$A$1:$I$89,3,0)*VLOOKUP('Données projet'!$B$17,Paramètres!$A$1:$I$89,5,0)</f>
        <v>3.4112896707030256</v>
      </c>
      <c r="GB9" s="14">
        <f t="shared" si="49"/>
        <v>1.3628213830192535</v>
      </c>
      <c r="GC9" s="22">
        <f t="shared" si="25"/>
        <v>8.3149100852329703</v>
      </c>
      <c r="GD9" s="62">
        <f t="shared" si="26"/>
        <v>272.31491008523295</v>
      </c>
      <c r="GE9" s="62">
        <f ca="1">AVERAGE(OFFSET($GD$3,0,0,'Données projet'!$E$17+1,1))-AVERAGE(OFFSET($H$3,0,0,'Données projet'!$E$17+1,1))</f>
        <v>292.57482726862594</v>
      </c>
      <c r="GF9" s="62">
        <f t="shared" si="50"/>
        <v>283.48738729114024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2.7564102564102564</v>
      </c>
      <c r="GU9" s="13">
        <f>IF('Données projet'!$A$270&gt;35,GU8+GT9-HC8,IF(A9&lt;'Données projet'!$A$270,$GR$205^A9,IF(A9='Données projet'!$A$270,'Données projet'!$B$270,GU8+GT9-HC8)))</f>
        <v>7.3148649823453118</v>
      </c>
      <c r="GV9" s="18">
        <f>GU9*VLOOKUP('Données projet'!$B$18,Paramètres!$A$1:$I$89,3,0)*VLOOKUP('Données projet'!$B$18,Paramètres!$A$1:$I$89,5,0)</f>
        <v>4.9068114301572354</v>
      </c>
      <c r="GW9" s="14">
        <f t="shared" si="51"/>
        <v>1.8790675239410271</v>
      </c>
      <c r="GX9" s="22">
        <f t="shared" si="28"/>
        <v>11.818739178387807</v>
      </c>
      <c r="GY9" s="62">
        <f t="shared" si="29"/>
        <v>275.81873917838783</v>
      </c>
      <c r="GZ9" s="62">
        <f ca="1">AVERAGE(OFFSET($GY$3,0,0,'Données projet'!$E$18+1,1))-AVERAGE(OFFSET($H$3,0,0,'Données projet'!$E$18+1,1))</f>
        <v>343.33067866534634</v>
      </c>
      <c r="HA9" s="62">
        <f t="shared" si="52"/>
        <v>261.91036689641402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508.77990078889337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4.5519864020441929</v>
      </c>
      <c r="AK10" s="14">
        <f t="shared" si="35"/>
        <v>1.7584840343783612</v>
      </c>
      <c r="AL10" s="22">
        <f t="shared" si="4"/>
        <v>10.990736010102614</v>
      </c>
      <c r="AM10" s="62">
        <f t="shared" si="5"/>
        <v>276.21295823232487</v>
      </c>
      <c r="AN10" s="62">
        <f ca="1">AVERAGE(OFFSET($AM$3,0,0,'Données projet'!$E$10+1,1))-AVERAGE(OFFSET($H$3,0,0,'Données projet'!$E$10+1,1))</f>
        <v>564.84596170333884</v>
      </c>
      <c r="AO10" s="62">
        <f t="shared" si="36"/>
        <v>306.61893266146666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1.1000000000000001</v>
      </c>
      <c r="BD10" s="13">
        <f>IF('Données projet'!$A$88&gt;35,BD9+BC10-BL9,IF(A10&lt;'Données projet'!$A$88,$BA$205^A10,IF(A10='Données projet'!$A$88,'Données projet'!$B$88,BD9+BC10-BL9)))</f>
        <v>5.3576566694841175</v>
      </c>
      <c r="BE10" s="14">
        <f>BD10*VLOOKUP('Données projet'!$B$11,Paramètres!$A$1:$I$89,3,0)*VLOOKUP('Données projet'!$B$11,Paramètres!$A$1:$I$89,5,0)</f>
        <v>4.2625516462415645</v>
      </c>
      <c r="BF10" s="14">
        <f t="shared" si="37"/>
        <v>1.6593124478620722</v>
      </c>
      <c r="BG10" s="22">
        <f t="shared" si="7"/>
        <v>10.313913297230501</v>
      </c>
      <c r="BH10" s="62">
        <f t="shared" si="8"/>
        <v>275.53613551945273</v>
      </c>
      <c r="BI10" s="62">
        <f ca="1">AVERAGE(OFFSET($BH$3,0,0,'Données projet'!$E$11+1,1))-AVERAGE(OFFSET($H$3,0,0,'Données projet'!$E$11+1,1))</f>
        <v>370.79299728190904</v>
      </c>
      <c r="BJ10" s="62">
        <f t="shared" si="38"/>
        <v>404.95703400805775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4.2625516462415645</v>
      </c>
      <c r="CA10" s="14">
        <f t="shared" si="39"/>
        <v>1.6593124478620722</v>
      </c>
      <c r="CB10" s="22">
        <f t="shared" si="10"/>
        <v>10.313913297230501</v>
      </c>
      <c r="CC10" s="62">
        <f t="shared" si="11"/>
        <v>275.53613551945273</v>
      </c>
      <c r="CD10" s="62">
        <f ca="1">AVERAGE(OFFSET($CC$3,0,0,'Données projet'!$E$12+1,1))-AVERAGE(OFFSET($H$3,0,0,'Données projet'!$E$12+1,1))</f>
        <v>370.79299728190904</v>
      </c>
      <c r="CE10" s="62">
        <f t="shared" si="40"/>
        <v>404.95703400805775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2.4666666666666668</v>
      </c>
      <c r="CT10" s="13">
        <f>IF('Données projet'!$A$140&gt;35,CT9+CS10-DB9,IF(A10&lt;'Données projet'!$A$140,$CQ$205^A10,IF(A10='Données projet'!$A$140,'Données projet'!$B$140,CT9+CS10-DB9)))</f>
        <v>5.3929633792034757</v>
      </c>
      <c r="CU10" s="18">
        <f>CT10*VLOOKUP('Données projet'!$B$13,Paramètres!$A$1:$I$89,3,0)*VLOOKUP('Données projet'!$B$13,Paramètres!$A$1:$I$89,5,0)</f>
        <v>4.711292808072157</v>
      </c>
      <c r="CV10" s="14">
        <f t="shared" si="41"/>
        <v>1.8127530905190552</v>
      </c>
      <c r="CW10" s="22">
        <f t="shared" si="13"/>
        <v>11.362713273379695</v>
      </c>
      <c r="CX10" s="62">
        <f t="shared" si="14"/>
        <v>276.58493549560194</v>
      </c>
      <c r="CY10" s="62">
        <f ca="1">AVERAGE(OFFSET($CX$3,0,0,'Données projet'!$E$13+1,1))-AVERAGE(OFFSET($H$3,0,0,'Données projet'!$E$13+1,1))</f>
        <v>339.58437495284466</v>
      </c>
      <c r="CZ10" s="62">
        <f t="shared" si="42"/>
        <v>371.26234252426531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1.1000000000000001</v>
      </c>
      <c r="DO10" s="13">
        <f>IF('Données projet'!$A$166&gt;35,DO9+DN10-DW9,IF(A10&lt;'Données projet'!$A$166,$DL$205^A10,IF(A10='Données projet'!$A$166,'Données projet'!$B$166,DO9+DN10-DW9)))</f>
        <v>5.3576566694841175</v>
      </c>
      <c r="DP10" s="18">
        <f>DO10*VLOOKUP('Données projet'!$B$14,Paramètres!$A$1:$I$89,3,0)*VLOOKUP('Données projet'!$B$14,Paramètres!$A$1:$I$89,5,0)</f>
        <v>3.9282338700657551</v>
      </c>
      <c r="DQ10" s="14">
        <f t="shared" si="43"/>
        <v>1.5437779404847436</v>
      </c>
      <c r="DR10" s="22">
        <f t="shared" si="16"/>
        <v>9.5304205700421178</v>
      </c>
      <c r="DS10" s="62">
        <f t="shared" si="17"/>
        <v>274.75264279226434</v>
      </c>
      <c r="DT10" s="62">
        <f ca="1">AVERAGE(OFFSET($DS$3,0,0,'Données projet'!$E$14+1,1))-AVERAGE(OFFSET($H$3,0,0,'Données projet'!$E$14+1,1))</f>
        <v>344.63665697794022</v>
      </c>
      <c r="DU10" s="62">
        <f t="shared" si="44"/>
        <v>376.72762011188041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3.1623931623931623</v>
      </c>
      <c r="EJ10" s="13">
        <f>IF('Données projet'!$A$192&gt;35,EJ9+EI10-ER9,IF(A10&lt;'Données projet'!$A$192,$EG$205^A10,IF(A10='Données projet'!$A$192,'Données projet'!$B$192,EJ9+EI10-ER9)))</f>
        <v>6.0559645368024464</v>
      </c>
      <c r="EK10" s="18">
        <f>EJ10*VLOOKUP('Données projet'!$B$15,Paramètres!$A$1:$I$89,3,0)*VLOOKUP('Données projet'!$B$15,Paramètres!$A$1:$I$89,5,0)</f>
        <v>5.7628558532212084</v>
      </c>
      <c r="EL10" s="14">
        <f t="shared" si="45"/>
        <v>2.1659657586703922</v>
      </c>
      <c r="EM10" s="22">
        <f t="shared" si="19"/>
        <v>13.809364307377871</v>
      </c>
      <c r="EN10" s="62">
        <f t="shared" si="20"/>
        <v>279.03158652960008</v>
      </c>
      <c r="EO10" s="62">
        <f ca="1">AVERAGE(OFFSET($EN$3,0,0,'Données projet'!$E$15+1,1))-AVERAGE(OFFSET($H$3,0,0,'Données projet'!$E$15+1,1))</f>
        <v>406.24139966722936</v>
      </c>
      <c r="EP10" s="62">
        <f t="shared" si="46"/>
        <v>295.95724296920577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3.65</v>
      </c>
      <c r="FE10" s="13">
        <f>IF('Données projet'!$A$218&gt;35,FE9+FD10-FM9,IF(A10&lt;'Données projet'!$A$218,$FB$205^A10,IF(A10='Données projet'!$A$218,'Données projet'!$B$218,FE9+FD10-FM9)))</f>
        <v>4.4891384635544309</v>
      </c>
      <c r="FF10" s="18">
        <f>FE10*VLOOKUP('Données projet'!$B$16,Paramètres!$A$1:$I$89,3,0)*VLOOKUP('Données projet'!$B$16,Paramètres!$A$1:$I$89,5,0)</f>
        <v>4.3418947219498456</v>
      </c>
      <c r="FG10" s="14">
        <f t="shared" si="47"/>
        <v>1.6865743243491664</v>
      </c>
      <c r="FH10" s="22">
        <f t="shared" si="22"/>
        <v>10.499583588970779</v>
      </c>
      <c r="FI10" s="62">
        <f t="shared" si="23"/>
        <v>275.72180581119301</v>
      </c>
      <c r="FJ10" s="62">
        <f ca="1">AVERAGE(OFFSET($FI$3,0,0,'Données projet'!$E$16+1,1))-AVERAGE(OFFSET($H$3,0,0,'Données projet'!$E$16+1,1))</f>
        <v>540.83352418045502</v>
      </c>
      <c r="FK10" s="62">
        <f t="shared" si="48"/>
        <v>294.45557293177131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2.6666666666666665</v>
      </c>
      <c r="FZ10" s="13">
        <f>IF('Données projet'!$A$244&gt;35,FZ9+FY10-GH9,IF(A10&lt;'Données projet'!$A$244,$FW$205^A10,IF(A10='Données projet'!$A$244,'Données projet'!$B$244,FZ9+FY10-GH9)))</f>
        <v>5.5927833467405659</v>
      </c>
      <c r="GA10" s="18">
        <f>FZ10*VLOOKUP('Données projet'!$B$17,Paramètres!$A$1:$I$89,3,0)*VLOOKUP('Données projet'!$B$17,Paramètres!$A$1:$I$89,5,0)</f>
        <v>4.3623710104576414</v>
      </c>
      <c r="GB10" s="14">
        <f t="shared" si="49"/>
        <v>1.6936004212396314</v>
      </c>
      <c r="GC10" s="22">
        <f t="shared" si="25"/>
        <v>10.54748357687275</v>
      </c>
      <c r="GD10" s="62">
        <f t="shared" si="26"/>
        <v>275.76970579909499</v>
      </c>
      <c r="GE10" s="62">
        <f ca="1">AVERAGE(OFFSET($GD$3,0,0,'Données projet'!$E$17+1,1))-AVERAGE(OFFSET($H$3,0,0,'Données projet'!$E$17+1,1))</f>
        <v>292.57482726862594</v>
      </c>
      <c r="GF10" s="62">
        <f t="shared" si="50"/>
        <v>283.48738729114024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2.7564102564102564</v>
      </c>
      <c r="GU10" s="13">
        <f>IF('Données projet'!$A$270&gt;35,GU9+GT10-HC9,IF(A10&lt;'Données projet'!$A$270,$GR$205^A10,IF(A10='Données projet'!$A$270,'Données projet'!$B$270,GU9+GT10-HC9)))</f>
        <v>10.191560808386152</v>
      </c>
      <c r="GV10" s="18">
        <f>GU10*VLOOKUP('Données projet'!$B$18,Paramètres!$A$1:$I$89,3,0)*VLOOKUP('Données projet'!$B$18,Paramètres!$A$1:$I$89,5,0)</f>
        <v>6.8364989902654312</v>
      </c>
      <c r="GW10" s="14">
        <f t="shared" si="51"/>
        <v>2.5189014122393623</v>
      </c>
      <c r="GX10" s="22">
        <f t="shared" si="28"/>
        <v>16.293989034362514</v>
      </c>
      <c r="GY10" s="62">
        <f t="shared" si="29"/>
        <v>281.51621125658477</v>
      </c>
      <c r="GZ10" s="62">
        <f ca="1">AVERAGE(OFFSET($GY$3,0,0,'Données projet'!$E$18+1,1))-AVERAGE(OFFSET($H$3,0,0,'Données projet'!$E$18+1,1))</f>
        <v>343.33067866534634</v>
      </c>
      <c r="HA10" s="62">
        <f t="shared" si="52"/>
        <v>261.91036689641402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508.77990078889337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5.6411428706857674</v>
      </c>
      <c r="AK11" s="14">
        <f t="shared" si="35"/>
        <v>2.125494735292019</v>
      </c>
      <c r="AL11" s="22">
        <f t="shared" si="4"/>
        <v>13.526893830411311</v>
      </c>
      <c r="AM11" s="62">
        <f t="shared" si="5"/>
        <v>279.97133827485578</v>
      </c>
      <c r="AN11" s="62">
        <f ca="1">AVERAGE(OFFSET($AM$3,0,0,'Données projet'!$E$10+1,1))-AVERAGE(OFFSET($H$3,0,0,'Données projet'!$E$10+1,1))</f>
        <v>564.84596170333884</v>
      </c>
      <c r="AO11" s="62">
        <f t="shared" si="36"/>
        <v>306.61893266146666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1.1000000000000001</v>
      </c>
      <c r="BD11" s="13">
        <f>IF('Données projet'!$A$88&gt;35,BD10+BC11-BL10,IF(A11&lt;'Données projet'!$A$88,$BA$205^A11,IF(A11='Données projet'!$A$88,'Données projet'!$B$88,BD10+BC11-BL10)))</f>
        <v>6.8094831275223076</v>
      </c>
      <c r="BE11" s="14">
        <f>BD11*VLOOKUP('Données projet'!$B$11,Paramètres!$A$1:$I$89,3,0)*VLOOKUP('Données projet'!$B$11,Paramètres!$A$1:$I$89,5,0)</f>
        <v>5.4176247762567487</v>
      </c>
      <c r="BF11" s="14">
        <f t="shared" si="37"/>
        <v>2.0509054013412618</v>
      </c>
      <c r="BG11" s="22">
        <f t="shared" si="7"/>
        <v>13.007690059316532</v>
      </c>
      <c r="BH11" s="62">
        <f t="shared" si="8"/>
        <v>279.45213450376099</v>
      </c>
      <c r="BI11" s="62">
        <f ca="1">AVERAGE(OFFSET($BH$3,0,0,'Données projet'!$E$11+1,1))-AVERAGE(OFFSET($H$3,0,0,'Données projet'!$E$11+1,1))</f>
        <v>370.79299728190904</v>
      </c>
      <c r="BJ11" s="62">
        <f t="shared" si="38"/>
        <v>404.95703400805775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5.4176247762567487</v>
      </c>
      <c r="CA11" s="14">
        <f t="shared" si="39"/>
        <v>2.0509054013412618</v>
      </c>
      <c r="CB11" s="22">
        <f t="shared" si="10"/>
        <v>13.007690059316532</v>
      </c>
      <c r="CC11" s="62">
        <f t="shared" si="11"/>
        <v>279.45213450376099</v>
      </c>
      <c r="CD11" s="62">
        <f ca="1">AVERAGE(OFFSET($CC$3,0,0,'Données projet'!$E$12+1,1))-AVERAGE(OFFSET($H$3,0,0,'Données projet'!$E$12+1,1))</f>
        <v>370.79299728190904</v>
      </c>
      <c r="CE11" s="62">
        <f t="shared" si="40"/>
        <v>404.95703400805775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2.4666666666666668</v>
      </c>
      <c r="CT11" s="13">
        <f>IF('Données projet'!$A$140&gt;35,CT10+CS11-DB10,IF(A11&lt;'Données projet'!$A$140,$CQ$205^A11,IF(A11='Données projet'!$A$140,'Données projet'!$B$140,CT10+CS11-DB10)))</f>
        <v>6.8607919984549888</v>
      </c>
      <c r="CU11" s="18">
        <f>CT11*VLOOKUP('Données projet'!$B$13,Paramètres!$A$1:$I$89,3,0)*VLOOKUP('Données projet'!$B$13,Paramètres!$A$1:$I$89,5,0)</f>
        <v>5.9935878898502795</v>
      </c>
      <c r="CV11" s="14">
        <f t="shared" si="41"/>
        <v>2.2424160357272664</v>
      </c>
      <c r="CW11" s="22">
        <f t="shared" si="13"/>
        <v>14.344373503714223</v>
      </c>
      <c r="CX11" s="62">
        <f t="shared" si="14"/>
        <v>280.78881794815868</v>
      </c>
      <c r="CY11" s="62">
        <f ca="1">AVERAGE(OFFSET($CX$3,0,0,'Données projet'!$E$13+1,1))-AVERAGE(OFFSET($H$3,0,0,'Données projet'!$E$13+1,1))</f>
        <v>339.58437495284466</v>
      </c>
      <c r="CZ11" s="62">
        <f t="shared" si="42"/>
        <v>371.26234252426531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1.1000000000000001</v>
      </c>
      <c r="DO11" s="13">
        <f>IF('Données projet'!$A$166&gt;35,DO10+DN11-DW10,IF(A11&lt;'Données projet'!$A$166,$DL$205^A11,IF(A11='Données projet'!$A$166,'Données projet'!$B$166,DO10+DN11-DW10)))</f>
        <v>6.8094831275223076</v>
      </c>
      <c r="DP11" s="18">
        <f>DO11*VLOOKUP('Données projet'!$B$14,Paramètres!$A$1:$I$89,3,0)*VLOOKUP('Données projet'!$B$14,Paramètres!$A$1:$I$89,5,0)</f>
        <v>4.9927130290993551</v>
      </c>
      <c r="DQ11" s="14">
        <f t="shared" si="43"/>
        <v>1.9081050833380053</v>
      </c>
      <c r="DR11" s="22">
        <f t="shared" si="16"/>
        <v>12.018924879161736</v>
      </c>
      <c r="DS11" s="62">
        <f t="shared" si="17"/>
        <v>278.46336932360617</v>
      </c>
      <c r="DT11" s="62">
        <f ca="1">AVERAGE(OFFSET($DS$3,0,0,'Données projet'!$E$14+1,1))-AVERAGE(OFFSET($H$3,0,0,'Données projet'!$E$14+1,1))</f>
        <v>344.63665697794022</v>
      </c>
      <c r="DU11" s="62">
        <f t="shared" si="44"/>
        <v>376.72762011188041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3.1623931623931623</v>
      </c>
      <c r="EJ11" s="13">
        <f>IF('Données projet'!$A$192&gt;35,EJ10+EI11-ER10,IF(A11&lt;'Données projet'!$A$192,$EG$205^A11,IF(A11='Données projet'!$A$192,'Données projet'!$B$192,EJ10+EI11-ER10)))</f>
        <v>7.8329219313664717</v>
      </c>
      <c r="EK11" s="18">
        <f>EJ11*VLOOKUP('Données projet'!$B$15,Paramètres!$A$1:$I$89,3,0)*VLOOKUP('Données projet'!$B$15,Paramètres!$A$1:$I$89,5,0)</f>
        <v>7.4538085098883347</v>
      </c>
      <c r="EL11" s="14">
        <f t="shared" si="45"/>
        <v>2.7188513904855807</v>
      </c>
      <c r="EM11" s="22">
        <f t="shared" si="19"/>
        <v>17.717382659817904</v>
      </c>
      <c r="EN11" s="62">
        <f t="shared" si="20"/>
        <v>284.16182710426239</v>
      </c>
      <c r="EO11" s="62">
        <f ca="1">AVERAGE(OFFSET($EN$3,0,0,'Données projet'!$E$15+1,1))-AVERAGE(OFFSET($H$3,0,0,'Données projet'!$E$15+1,1))</f>
        <v>406.24139966722936</v>
      </c>
      <c r="EP11" s="62">
        <f t="shared" si="46"/>
        <v>295.95724296920577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3.65</v>
      </c>
      <c r="FE11" s="13">
        <f>IF('Données projet'!$A$218&gt;35,FE10+FD11-FM10,IF(A11&lt;'Données projet'!$A$218,$FB$205^A11,IF(A11='Données projet'!$A$218,'Données projet'!$B$218,FE10+FD11-FM10)))</f>
        <v>5.563257268920875</v>
      </c>
      <c r="FF11" s="18">
        <f>FE11*VLOOKUP('Données projet'!$B$16,Paramètres!$A$1:$I$89,3,0)*VLOOKUP('Données projet'!$B$16,Paramètres!$A$1:$I$89,5,0)</f>
        <v>5.3807824305002701</v>
      </c>
      <c r="FG11" s="14">
        <f t="shared" si="47"/>
        <v>2.0385768519929188</v>
      </c>
      <c r="FH11" s="22">
        <f t="shared" si="22"/>
        <v>12.922050750342303</v>
      </c>
      <c r="FI11" s="62">
        <f t="shared" si="23"/>
        <v>279.36649519478675</v>
      </c>
      <c r="FJ11" s="62">
        <f ca="1">AVERAGE(OFFSET($FI$3,0,0,'Données projet'!$E$16+1,1))-AVERAGE(OFFSET($H$3,0,0,'Données projet'!$E$16+1,1))</f>
        <v>540.83352418045502</v>
      </c>
      <c r="FK11" s="62">
        <f t="shared" si="48"/>
        <v>294.45557293177131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2.6666666666666665</v>
      </c>
      <c r="FZ11" s="13">
        <f>IF('Données projet'!$A$244&gt;35,FZ10+FY11-GH10,IF(A11&lt;'Données projet'!$A$244,$FW$205^A11,IF(A11='Données projet'!$A$244,'Données projet'!$B$244,FZ10+FY11-GH10)))</f>
        <v>7.1520739352994367</v>
      </c>
      <c r="GA11" s="18">
        <f>FZ11*VLOOKUP('Données projet'!$B$17,Paramètres!$A$1:$I$89,3,0)*VLOOKUP('Données projet'!$B$17,Paramètres!$A$1:$I$89,5,0)</f>
        <v>5.5786176695335605</v>
      </c>
      <c r="GB11" s="14">
        <f t="shared" si="49"/>
        <v>2.1046649418345189</v>
      </c>
      <c r="GC11" s="22">
        <f t="shared" si="25"/>
        <v>13.381717214799407</v>
      </c>
      <c r="GD11" s="62">
        <f t="shared" si="26"/>
        <v>279.82616165924384</v>
      </c>
      <c r="GE11" s="62">
        <f ca="1">AVERAGE(OFFSET($GD$3,0,0,'Données projet'!$E$17+1,1))-AVERAGE(OFFSET($H$3,0,0,'Données projet'!$E$17+1,1))</f>
        <v>292.57482726862594</v>
      </c>
      <c r="GF11" s="62">
        <f t="shared" si="50"/>
        <v>283.48738729114024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2.7564102564102564</v>
      </c>
      <c r="GU11" s="13">
        <f>IF('Données projet'!$A$270&gt;35,GU10+GT11-HC10,IF(A11&lt;'Données projet'!$A$270,$GR$205^A11,IF(A11='Données projet'!$A$270,'Données projet'!$B$270,GU10+GT11-HC10)))</f>
        <v>14.199566493943703</v>
      </c>
      <c r="GV11" s="18">
        <f>GU11*VLOOKUP('Données projet'!$B$18,Paramètres!$A$1:$I$89,3,0)*VLOOKUP('Données projet'!$B$18,Paramètres!$A$1:$I$89,5,0)</f>
        <v>9.5250692041374361</v>
      </c>
      <c r="GW11" s="14">
        <f t="shared" si="51"/>
        <v>3.3766026200453787</v>
      </c>
      <c r="GX11" s="22">
        <f t="shared" si="28"/>
        <v>22.470411760451736</v>
      </c>
      <c r="GY11" s="62">
        <f t="shared" si="29"/>
        <v>288.91485620489618</v>
      </c>
      <c r="GZ11" s="62">
        <f ca="1">AVERAGE(OFFSET($GY$3,0,0,'Données projet'!$E$18+1,1))-AVERAGE(OFFSET($H$3,0,0,'Données projet'!$E$18+1,1))</f>
        <v>343.33067866534634</v>
      </c>
      <c r="HA11" s="62">
        <f t="shared" si="52"/>
        <v>261.91036689641402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508.77990078889337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6.9909024493566383</v>
      </c>
      <c r="AK12" s="14">
        <f t="shared" si="35"/>
        <v>2.5691037174250742</v>
      </c>
      <c r="AL12" s="22">
        <f t="shared" si="4"/>
        <v>16.650344073811482</v>
      </c>
      <c r="AM12" s="62">
        <f t="shared" si="5"/>
        <v>284.31701074047817</v>
      </c>
      <c r="AN12" s="62">
        <f ca="1">AVERAGE(OFFSET($AM$3,0,0,'Données projet'!$E$10+1,1))-AVERAGE(OFFSET($H$3,0,0,'Données projet'!$E$10+1,1))</f>
        <v>564.84596170333884</v>
      </c>
      <c r="AO12" s="62">
        <f t="shared" si="36"/>
        <v>306.61893266146666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1.1000000000000001</v>
      </c>
      <c r="BD12" s="13">
        <f>IF('Données projet'!$A$88&gt;35,BD11+BC12-BL11,IF(A12&lt;'Données projet'!$A$88,$BA$205^A12,IF(A12='Données projet'!$A$88,'Données projet'!$B$88,BD11+BC12-BL11)))</f>
        <v>8.6547278641645029</v>
      </c>
      <c r="BE12" s="14">
        <f>BD12*VLOOKUP('Données projet'!$B$11,Paramètres!$A$1:$I$89,3,0)*VLOOKUP('Données projet'!$B$11,Paramètres!$A$1:$I$89,5,0)</f>
        <v>6.8857014887292793</v>
      </c>
      <c r="BF12" s="14">
        <f t="shared" si="37"/>
        <v>2.5349131627802968</v>
      </c>
      <c r="BG12" s="22">
        <f t="shared" si="7"/>
        <v>16.407570518045844</v>
      </c>
      <c r="BH12" s="62">
        <f t="shared" si="8"/>
        <v>284.0742371847125</v>
      </c>
      <c r="BI12" s="62">
        <f ca="1">AVERAGE(OFFSET($BH$3,0,0,'Données projet'!$E$11+1,1))-AVERAGE(OFFSET($H$3,0,0,'Données projet'!$E$11+1,1))</f>
        <v>370.79299728190904</v>
      </c>
      <c r="BJ12" s="62">
        <f t="shared" si="38"/>
        <v>404.95703400805775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6.8857014887292793</v>
      </c>
      <c r="CA12" s="14">
        <f t="shared" si="39"/>
        <v>2.5349131627802968</v>
      </c>
      <c r="CB12" s="22">
        <f t="shared" si="10"/>
        <v>16.407570518045844</v>
      </c>
      <c r="CC12" s="62">
        <f t="shared" si="11"/>
        <v>284.0742371847125</v>
      </c>
      <c r="CD12" s="62">
        <f ca="1">AVERAGE(OFFSET($CC$3,0,0,'Données projet'!$E$12+1,1))-AVERAGE(OFFSET($H$3,0,0,'Données projet'!$E$12+1,1))</f>
        <v>370.79299728190904</v>
      </c>
      <c r="CE12" s="62">
        <f t="shared" si="40"/>
        <v>404.95703400805775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2.4666666666666668</v>
      </c>
      <c r="CT12" s="13">
        <f>IF('Données projet'!$A$140&gt;35,CT11+CS12-DB11,IF(A12&lt;'Données projet'!$A$140,$CQ$205^A12,IF(A12='Données projet'!$A$140,'Données projet'!$B$140,CT11+CS12-DB11)))</f>
        <v>8.7281265486761299</v>
      </c>
      <c r="CU12" s="18">
        <f>CT12*VLOOKUP('Données projet'!$B$13,Paramètres!$A$1:$I$89,3,0)*VLOOKUP('Données projet'!$B$13,Paramètres!$A$1:$I$89,5,0)</f>
        <v>7.6248913529234681</v>
      </c>
      <c r="CV12" s="14">
        <f t="shared" si="41"/>
        <v>2.7739186895259813</v>
      </c>
      <c r="CW12" s="22">
        <f t="shared" si="13"/>
        <v>18.111260823932788</v>
      </c>
      <c r="CX12" s="62">
        <f t="shared" si="14"/>
        <v>285.7779274905995</v>
      </c>
      <c r="CY12" s="62">
        <f ca="1">AVERAGE(OFFSET($CX$3,0,0,'Données projet'!$E$13+1,1))-AVERAGE(OFFSET($H$3,0,0,'Données projet'!$E$13+1,1))</f>
        <v>339.58437495284466</v>
      </c>
      <c r="CZ12" s="62">
        <f t="shared" si="42"/>
        <v>371.26234252426531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1.1000000000000001</v>
      </c>
      <c r="DO12" s="13">
        <f>IF('Données projet'!$A$166&gt;35,DO11+DN12-DW11,IF(A12&lt;'Données projet'!$A$166,$DL$205^A12,IF(A12='Données projet'!$A$166,'Données projet'!$B$166,DO11+DN12-DW11)))</f>
        <v>8.6547278641645029</v>
      </c>
      <c r="DP12" s="18">
        <f>DO12*VLOOKUP('Données projet'!$B$14,Paramètres!$A$1:$I$89,3,0)*VLOOKUP('Données projet'!$B$14,Paramètres!$A$1:$I$89,5,0)</f>
        <v>6.3456464700054127</v>
      </c>
      <c r="DQ12" s="14">
        <f t="shared" si="43"/>
        <v>2.3584123814576028</v>
      </c>
      <c r="DR12" s="22">
        <f t="shared" si="16"/>
        <v>15.159569166298086</v>
      </c>
      <c r="DS12" s="62">
        <f t="shared" si="17"/>
        <v>282.82623583296476</v>
      </c>
      <c r="DT12" s="62">
        <f ca="1">AVERAGE(OFFSET($DS$3,0,0,'Données projet'!$E$14+1,1))-AVERAGE(OFFSET($H$3,0,0,'Données projet'!$E$14+1,1))</f>
        <v>344.63665697794022</v>
      </c>
      <c r="DU12" s="62">
        <f t="shared" si="44"/>
        <v>376.72762011188041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3.1623931623931623</v>
      </c>
      <c r="EJ12" s="13">
        <f>IF('Données projet'!$A$192&gt;35,EJ11+EI12-ER11,IF(A12&lt;'Données projet'!$A$192,$EG$205^A12,IF(A12='Données projet'!$A$192,'Données projet'!$B$192,EJ11+EI12-ER11)))</f>
        <v>10.131278941616319</v>
      </c>
      <c r="EK12" s="18">
        <f>EJ12*VLOOKUP('Données projet'!$B$15,Paramètres!$A$1:$I$89,3,0)*VLOOKUP('Données projet'!$B$15,Paramètres!$A$1:$I$89,5,0)</f>
        <v>9.6409250408420899</v>
      </c>
      <c r="EL12" s="14">
        <f t="shared" si="45"/>
        <v>3.412866918119311</v>
      </c>
      <c r="EM12" s="22">
        <f t="shared" si="19"/>
        <v>22.735354328524441</v>
      </c>
      <c r="EN12" s="62">
        <f t="shared" si="20"/>
        <v>290.40202099519115</v>
      </c>
      <c r="EO12" s="62">
        <f ca="1">AVERAGE(OFFSET($EN$3,0,0,'Données projet'!$E$15+1,1))-AVERAGE(OFFSET($H$3,0,0,'Données projet'!$E$15+1,1))</f>
        <v>406.24139966722936</v>
      </c>
      <c r="EP12" s="62">
        <f t="shared" si="46"/>
        <v>295.95724296920577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3.65</v>
      </c>
      <c r="FE12" s="13">
        <f>IF('Données projet'!$A$218&gt;35,FE11+FD12-FM11,IF(A12&lt;'Données projet'!$A$218,$FB$205^A12,IF(A12='Données projet'!$A$218,'Données projet'!$B$218,FE11+FD12-FM11)))</f>
        <v>6.8943811137639424</v>
      </c>
      <c r="FF12" s="18">
        <f>FE12*VLOOKUP('Données projet'!$B$16,Paramètres!$A$1:$I$89,3,0)*VLOOKUP('Données projet'!$B$16,Paramètres!$A$1:$I$89,5,0)</f>
        <v>6.6682454132324853</v>
      </c>
      <c r="FG12" s="14">
        <f t="shared" si="47"/>
        <v>2.4640453263659414</v>
      </c>
      <c r="FH12" s="22">
        <f t="shared" si="22"/>
        <v>15.905406371467258</v>
      </c>
      <c r="FI12" s="62">
        <f t="shared" si="23"/>
        <v>283.57207303813396</v>
      </c>
      <c r="FJ12" s="62">
        <f ca="1">AVERAGE(OFFSET($FI$3,0,0,'Données projet'!$E$16+1,1))-AVERAGE(OFFSET($H$3,0,0,'Données projet'!$E$16+1,1))</f>
        <v>540.83352418045502</v>
      </c>
      <c r="FK12" s="62">
        <f t="shared" si="48"/>
        <v>294.45557293177131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2.6666666666666665</v>
      </c>
      <c r="FZ12" s="13">
        <f>IF('Données projet'!$A$244&gt;35,FZ11+FY12-GH11,IF(A12&lt;'Données projet'!$A$244,$FW$205^A12,IF(A12='Données projet'!$A$244,'Données projet'!$B$244,FZ11+FY12-GH11)))</f>
        <v>9.1461010385465205</v>
      </c>
      <c r="GA12" s="18">
        <f>FZ12*VLOOKUP('Données projet'!$B$17,Paramètres!$A$1:$I$89,3,0)*VLOOKUP('Données projet'!$B$17,Paramètres!$A$1:$I$89,5,0)</f>
        <v>7.1339588100662858</v>
      </c>
      <c r="GB12" s="14">
        <f t="shared" si="49"/>
        <v>2.6155015444227643</v>
      </c>
      <c r="GC12" s="22">
        <f t="shared" si="25"/>
        <v>16.980310117401761</v>
      </c>
      <c r="GD12" s="62">
        <f t="shared" si="26"/>
        <v>284.64697678406844</v>
      </c>
      <c r="GE12" s="62">
        <f ca="1">AVERAGE(OFFSET($GD$3,0,0,'Données projet'!$E$17+1,1))-AVERAGE(OFFSET($H$3,0,0,'Données projet'!$E$17+1,1))</f>
        <v>292.57482726862594</v>
      </c>
      <c r="GF12" s="62">
        <f t="shared" si="50"/>
        <v>283.48738729114024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2.7564102564102564</v>
      </c>
      <c r="GU12" s="13">
        <f>IF('Données projet'!$A$270&gt;35,GU11+GT12-HC11,IF(A12&lt;'Données projet'!$A$270,$GR$205^A12,IF(A12='Données projet'!$A$270,'Données projet'!$B$270,GU11+GT12-HC11)))</f>
        <v>19.783789000210724</v>
      </c>
      <c r="GV12" s="18">
        <f>GU12*VLOOKUP('Données projet'!$B$18,Paramètres!$A$1:$I$89,3,0)*VLOOKUP('Données projet'!$B$18,Paramètres!$A$1:$I$89,5,0)</f>
        <v>13.270965661341354</v>
      </c>
      <c r="GW12" s="14">
        <f t="shared" si="51"/>
        <v>4.526356290999562</v>
      </c>
      <c r="GX12" s="22">
        <f t="shared" si="28"/>
        <v>30.997002400327091</v>
      </c>
      <c r="GY12" s="62">
        <f t="shared" si="29"/>
        <v>298.66366906699375</v>
      </c>
      <c r="GZ12" s="62">
        <f ca="1">AVERAGE(OFFSET($GY$3,0,0,'Données projet'!$E$18+1,1))-AVERAGE(OFFSET($H$3,0,0,'Données projet'!$E$18+1,1))</f>
        <v>343.33067866534634</v>
      </c>
      <c r="HA12" s="62">
        <f t="shared" si="52"/>
        <v>261.91036689641402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508.77990078889337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8.6636197977519771</v>
      </c>
      <c r="AK13" s="14">
        <f t="shared" si="35"/>
        <v>3.1052976990698267</v>
      </c>
      <c r="AL13" s="22">
        <f t="shared" si="4"/>
        <v>20.497531306964643</v>
      </c>
      <c r="AM13" s="62">
        <f t="shared" si="5"/>
        <v>289.38642019585347</v>
      </c>
      <c r="AN13" s="62">
        <f ca="1">AVERAGE(OFFSET($AM$3,0,0,'Données projet'!$E$10+1,1))-AVERAGE(OFFSET($H$3,0,0,'Données projet'!$E$10+1,1))</f>
        <v>564.84596170333884</v>
      </c>
      <c r="AO13" s="62">
        <f t="shared" si="36"/>
        <v>306.61893266146666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</v>
      </c>
      <c r="BB13" s="13">
        <f>VLOOKUP(A13,'Données projet'!$A$87:$I$107,9,0)</f>
        <v>1.1000000000000001</v>
      </c>
      <c r="BC13" s="13">
        <f t="array" ref="BC13">INDEX(BB:BB,MIN(IF(ISNUMBER(BB13:BB209),ROW(BB13:BB209),"")))</f>
        <v>1.1000000000000001</v>
      </c>
      <c r="BD13" s="13">
        <f>IF('Données projet'!$A$88&gt;35,BD12+BC13-BL12,IF(A13&lt;'Données projet'!$A$88,$BA$205^A13,IF(A13='Données projet'!$A$88,'Données projet'!$B$88,BD12+BC13-BL12)))</f>
        <v>11</v>
      </c>
      <c r="BE13" s="14">
        <f>BD13*VLOOKUP('Données projet'!$B$11,Paramètres!$A$1:$I$89,3,0)*VLOOKUP('Données projet'!$B$11,Paramètres!$A$1:$I$89,5,0)</f>
        <v>8.7516000000000016</v>
      </c>
      <c r="BF13" s="14">
        <f t="shared" si="37"/>
        <v>3.1331453604025001</v>
      </c>
      <c r="BG13" s="22">
        <f t="shared" si="7"/>
        <v>20.699264836034356</v>
      </c>
      <c r="BH13" s="62">
        <f t="shared" si="8"/>
        <v>289.58815372492319</v>
      </c>
      <c r="BI13" s="62">
        <f ca="1">AVERAGE(OFFSET($BH$3,0,0,'Données projet'!$E$11+1,1))-AVERAGE(OFFSET($H$3,0,0,'Données projet'!$E$11+1,1))</f>
        <v>370.79299728190904</v>
      </c>
      <c r="BJ13" s="62">
        <f t="shared" si="38"/>
        <v>404.95703400805775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8.7516000000000016</v>
      </c>
      <c r="CA13" s="14">
        <f t="shared" si="39"/>
        <v>3.1331453604025001</v>
      </c>
      <c r="CB13" s="22">
        <f t="shared" si="10"/>
        <v>20.699264836034356</v>
      </c>
      <c r="CC13" s="62">
        <f t="shared" si="11"/>
        <v>289.58815372492319</v>
      </c>
      <c r="CD13" s="62">
        <f ca="1">AVERAGE(OFFSET($CC$3,0,0,'Données projet'!$E$12+1,1))-AVERAGE(OFFSET($H$3,0,0,'Données projet'!$E$12+1,1))</f>
        <v>370.79299728190904</v>
      </c>
      <c r="CE13" s="62">
        <f t="shared" si="40"/>
        <v>404.95703400805775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2.4666666666666668</v>
      </c>
      <c r="CT13" s="13">
        <f>IF('Données projet'!$A$140&gt;35,CT12+CS13-DB12,IF(A13&lt;'Données projet'!$A$140,$CQ$205^A13,IF(A13='Données projet'!$A$140,'Données projet'!$B$140,CT12+CS13-DB12)))</f>
        <v>11.103702468586782</v>
      </c>
      <c r="CU13" s="18">
        <f>CT13*VLOOKUP('Données projet'!$B$13,Paramètres!$A$1:$I$89,3,0)*VLOOKUP('Données projet'!$B$13,Paramètres!$A$1:$I$89,5,0)</f>
        <v>9.7001944765574137</v>
      </c>
      <c r="CV13" s="14">
        <f t="shared" si="41"/>
        <v>3.4313993360317685</v>
      </c>
      <c r="CW13" s="22">
        <f t="shared" si="13"/>
        <v>22.870859223592827</v>
      </c>
      <c r="CX13" s="62">
        <f t="shared" si="14"/>
        <v>291.7597481124817</v>
      </c>
      <c r="CY13" s="62">
        <f ca="1">AVERAGE(OFFSET($CX$3,0,0,'Données projet'!$E$13+1,1))-AVERAGE(OFFSET($H$3,0,0,'Données projet'!$E$13+1,1))</f>
        <v>339.58437495284466</v>
      </c>
      <c r="CZ13" s="62">
        <f t="shared" si="42"/>
        <v>371.26234252426531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11</v>
      </c>
      <c r="DM13" s="13">
        <f>VLOOKUP(A13,'Données projet'!$A$165:$I$185,9,0)</f>
        <v>1.1000000000000001</v>
      </c>
      <c r="DN13" s="13">
        <f t="array" ref="DN13">INDEX(DM:DM,MIN(IF(ISNUMBER(DM13:DM209),ROW(DM13:DM209),"")))</f>
        <v>1.1000000000000001</v>
      </c>
      <c r="DO13" s="13">
        <f>IF('Données projet'!$A$166&gt;35,DO12+DN13-DW12,IF(A13&lt;'Données projet'!$A$166,$DL$205^A13,IF(A13='Données projet'!$A$166,'Données projet'!$B$166,DO12+DN13-DW12)))</f>
        <v>11</v>
      </c>
      <c r="DP13" s="18">
        <f>DO13*VLOOKUP('Données projet'!$B$14,Paramètres!$A$1:$I$89,3,0)*VLOOKUP('Données projet'!$B$14,Paramètres!$A$1:$I$89,5,0)</f>
        <v>8.0652000000000008</v>
      </c>
      <c r="DQ13" s="14">
        <f t="shared" si="43"/>
        <v>2.9149909035839161</v>
      </c>
      <c r="DR13" s="22">
        <f t="shared" si="16"/>
        <v>19.123832490408656</v>
      </c>
      <c r="DS13" s="62">
        <f t="shared" si="17"/>
        <v>288.01272137929749</v>
      </c>
      <c r="DT13" s="62">
        <f ca="1">AVERAGE(OFFSET($DS$3,0,0,'Données projet'!$E$14+1,1))-AVERAGE(OFFSET($H$3,0,0,'Données projet'!$E$14+1,1))</f>
        <v>344.63665697794022</v>
      </c>
      <c r="DU13" s="62">
        <f t="shared" si="44"/>
        <v>376.72762011188041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3.1623931623931623</v>
      </c>
      <c r="EJ13" s="13">
        <f>IF('Données projet'!$A$192&gt;35,EJ12+EI13-ER12,IF(A13&lt;'Données projet'!$A$192,$EG$205^A13,IF(A13='Données projet'!$A$192,'Données projet'!$B$192,EJ12+EI13-ER12)))</f>
        <v>13.104026044458736</v>
      </c>
      <c r="EK13" s="18">
        <f>EJ13*VLOOKUP('Données projet'!$B$15,Paramètres!$A$1:$I$89,3,0)*VLOOKUP('Données projet'!$B$15,Paramètres!$A$1:$I$89,5,0)</f>
        <v>12.469791183906933</v>
      </c>
      <c r="EL13" s="14">
        <f t="shared" si="45"/>
        <v>4.2840372377664062</v>
      </c>
      <c r="EM13" s="22">
        <f t="shared" si="19"/>
        <v>29.179584501081067</v>
      </c>
      <c r="EN13" s="62">
        <f t="shared" si="20"/>
        <v>298.06847338996994</v>
      </c>
      <c r="EO13" s="62">
        <f ca="1">AVERAGE(OFFSET($EN$3,0,0,'Données projet'!$E$15+1,1))-AVERAGE(OFFSET($H$3,0,0,'Données projet'!$E$15+1,1))</f>
        <v>406.24139966722936</v>
      </c>
      <c r="EP13" s="62">
        <f t="shared" si="46"/>
        <v>295.95724296920577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3.65</v>
      </c>
      <c r="FE13" s="13">
        <f>IF('Données projet'!$A$218&gt;35,FE12+FD13-FM12,IF(A13&lt;'Données projet'!$A$218,$FB$205^A13,IF(A13='Données projet'!$A$218,'Données projet'!$B$218,FE12+FD13-FM12)))</f>
        <v>8.5440037453175322</v>
      </c>
      <c r="FF13" s="18">
        <f>FE13*VLOOKUP('Données projet'!$B$16,Paramètres!$A$1:$I$89,3,0)*VLOOKUP('Données projet'!$B$16,Paramètres!$A$1:$I$89,5,0)</f>
        <v>8.2637604224711172</v>
      </c>
      <c r="FG13" s="14">
        <f t="shared" si="47"/>
        <v>2.9783127206856603</v>
      </c>
      <c r="FH13" s="22">
        <f t="shared" si="22"/>
        <v>19.579944057664719</v>
      </c>
      <c r="FI13" s="62">
        <f t="shared" si="23"/>
        <v>288.46883294655356</v>
      </c>
      <c r="FJ13" s="62">
        <f ca="1">AVERAGE(OFFSET($FI$3,0,0,'Données projet'!$E$16+1,1))-AVERAGE(OFFSET($H$3,0,0,'Données projet'!$E$16+1,1))</f>
        <v>540.83352418045502</v>
      </c>
      <c r="FK13" s="62">
        <f t="shared" si="48"/>
        <v>294.45557293177131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2.6666666666666665</v>
      </c>
      <c r="FZ13" s="13">
        <f>IF('Données projet'!$A$244&gt;35,FZ12+FY13-GH12,IF(A13&lt;'Données projet'!$A$244,$FW$205^A13,IF(A13='Données projet'!$A$244,'Données projet'!$B$244,FZ12+FY13-GH12)))</f>
        <v>11.696070952851455</v>
      </c>
      <c r="GA13" s="18">
        <f>FZ13*VLOOKUP('Données projet'!$B$17,Paramètres!$A$1:$I$89,3,0)*VLOOKUP('Données projet'!$B$17,Paramètres!$A$1:$I$89,5,0)</f>
        <v>9.1229353432241354</v>
      </c>
      <c r="GB13" s="14">
        <f t="shared" si="49"/>
        <v>3.2503265450485803</v>
      </c>
      <c r="GC13" s="22">
        <f t="shared" si="25"/>
        <v>21.550097788741649</v>
      </c>
      <c r="GD13" s="62">
        <f t="shared" si="26"/>
        <v>290.43898667763051</v>
      </c>
      <c r="GE13" s="62">
        <f ca="1">AVERAGE(OFFSET($GD$3,0,0,'Données projet'!$E$17+1,1))-AVERAGE(OFFSET($H$3,0,0,'Données projet'!$E$17+1,1))</f>
        <v>292.57482726862594</v>
      </c>
      <c r="GF13" s="62">
        <f t="shared" si="50"/>
        <v>283.48738729114024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>
        <f>VLOOKUP(A13,'Données projet'!$A$269:$I$289,2,0)</f>
        <v>27.564102564102562</v>
      </c>
      <c r="GS13" s="13">
        <f>VLOOKUP(A13,'Données projet'!$A$269:$I$289,9,0)</f>
        <v>2.7564102564102564</v>
      </c>
      <c r="GT13" s="13">
        <f t="array" ref="GT13">INDEX(GS:GS,MIN(IF(ISNUMBER(GS13:GS209),ROW(GS13:GS209),"")))</f>
        <v>2.7564102564102564</v>
      </c>
      <c r="GU13" s="13">
        <f>IF('Données projet'!$A$270&gt;35,GU12+GT13-HC12,IF(A13&lt;'Données projet'!$A$270,$GR$205^A13,IF(A13='Données projet'!$A$270,'Données projet'!$B$270,GU12+GT13-HC12)))</f>
        <v>27.564102564102562</v>
      </c>
      <c r="GV13" s="18">
        <f>GU13*VLOOKUP('Données projet'!$B$18,Paramètres!$A$1:$I$89,3,0)*VLOOKUP('Données projet'!$B$18,Paramètres!$A$1:$I$89,5,0)</f>
        <v>18.489999999999998</v>
      </c>
      <c r="GW13" s="14">
        <f t="shared" si="51"/>
        <v>6.0676080600790234</v>
      </c>
      <c r="GX13" s="22">
        <f t="shared" si="28"/>
        <v>42.771167371304301</v>
      </c>
      <c r="GY13" s="62">
        <f t="shared" si="29"/>
        <v>311.66005626019319</v>
      </c>
      <c r="GZ13" s="62">
        <f ca="1">AVERAGE(OFFSET($GY$3,0,0,'Données projet'!$E$18+1,1))-AVERAGE(OFFSET($H$3,0,0,'Données projet'!$E$18+1,1))</f>
        <v>343.33067866534634</v>
      </c>
      <c r="HA13" s="62">
        <f t="shared" si="52"/>
        <v>261.91036689641402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508.77990078889337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10.736569211734251</v>
      </c>
      <c r="AK14" s="14">
        <f t="shared" si="35"/>
        <v>3.7533999637480915</v>
      </c>
      <c r="AL14" s="22">
        <f t="shared" si="4"/>
        <v>25.23669631396508</v>
      </c>
      <c r="AM14" s="62">
        <f t="shared" si="5"/>
        <v>295.34780742507621</v>
      </c>
      <c r="AN14" s="62">
        <f ca="1">AVERAGE(OFFSET($AM$3,0,0,'Données projet'!$E$10+1,1))-AVERAGE(OFFSET($H$3,0,0,'Données projet'!$E$10+1,1))</f>
        <v>564.84596170333884</v>
      </c>
      <c r="AO14" s="62">
        <f t="shared" si="36"/>
        <v>306.61893266146666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21.8</v>
      </c>
      <c r="BE14" s="14">
        <f>BD14*VLOOKUP('Données projet'!$B$11,Paramètres!$A$1:$I$89,3,0)*VLOOKUP('Données projet'!$B$11,Paramètres!$A$1:$I$89,5,0)</f>
        <v>17.344080000000002</v>
      </c>
      <c r="BF14" s="14">
        <f t="shared" si="37"/>
        <v>5.7341113912136308</v>
      </c>
      <c r="BG14" s="22">
        <f t="shared" si="7"/>
        <v>40.194516673030414</v>
      </c>
      <c r="BH14" s="62">
        <f t="shared" si="8"/>
        <v>310.30562778414156</v>
      </c>
      <c r="BI14" s="62">
        <f ca="1">AVERAGE(OFFSET($BH$3,0,0,'Données projet'!$E$11+1,1))-AVERAGE(OFFSET($H$3,0,0,'Données projet'!$E$11+1,1))</f>
        <v>370.79299728190904</v>
      </c>
      <c r="BJ14" s="62">
        <f t="shared" si="38"/>
        <v>404.95703400805775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21.8</v>
      </c>
      <c r="BZ14" s="14">
        <f>BY14*VLOOKUP('Données projet'!$B$12,Paramètres!$A$1:$I$89,3,0)*VLOOKUP('Données projet'!$B$12,Paramètres!$A$1:$I$89,5,0)</f>
        <v>17.344080000000002</v>
      </c>
      <c r="CA14" s="14">
        <f t="shared" si="39"/>
        <v>5.7341113912136308</v>
      </c>
      <c r="CB14" s="22">
        <f t="shared" si="10"/>
        <v>40.194516673030414</v>
      </c>
      <c r="CC14" s="62">
        <f t="shared" si="11"/>
        <v>310.30562778414156</v>
      </c>
      <c r="CD14" s="62">
        <f ca="1">AVERAGE(OFFSET($CC$3,0,0,'Données projet'!$E$12+1,1))-AVERAGE(OFFSET($H$3,0,0,'Données projet'!$E$12+1,1))</f>
        <v>370.79299728190904</v>
      </c>
      <c r="CE14" s="62">
        <f t="shared" si="40"/>
        <v>404.95703400805775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2.4666666666666668</v>
      </c>
      <c r="CT14" s="13">
        <f>IF('Données projet'!$A$140&gt;35,CT13+CS14-DB13,IF(A14&lt;'Données projet'!$A$140,$CQ$205^A14,IF(A14='Données projet'!$A$140,'Données projet'!$B$140,CT13+CS14-DB13)))</f>
        <v>14.125850240977657</v>
      </c>
      <c r="CU14" s="18">
        <f>CT14*VLOOKUP('Données projet'!$B$13,Paramètres!$A$1:$I$89,3,0)*VLOOKUP('Données projet'!$B$13,Paramètres!$A$1:$I$89,5,0)</f>
        <v>12.340342770518083</v>
      </c>
      <c r="CV14" s="14">
        <f t="shared" si="41"/>
        <v>4.2447175714913801</v>
      </c>
      <c r="CW14" s="22">
        <f t="shared" si="13"/>
        <v>28.885646762333149</v>
      </c>
      <c r="CX14" s="62">
        <f t="shared" si="14"/>
        <v>298.99675787344427</v>
      </c>
      <c r="CY14" s="62">
        <f ca="1">AVERAGE(OFFSET($CX$3,0,0,'Données projet'!$E$13+1,1))-AVERAGE(OFFSET($H$3,0,0,'Données projet'!$E$13+1,1))</f>
        <v>339.58437495284466</v>
      </c>
      <c r="CZ14" s="62">
        <f t="shared" si="42"/>
        <v>371.26234252426531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10.8</v>
      </c>
      <c r="DO14" s="13">
        <f>IF('Données projet'!$A$166&gt;35,DO13+DN14-DW13,IF(A14&lt;'Données projet'!$A$166,$DL$205^A14,IF(A14='Données projet'!$A$166,'Données projet'!$B$166,DO13+DN14-DW13)))</f>
        <v>21.8</v>
      </c>
      <c r="DP14" s="18">
        <f>DO14*VLOOKUP('Données projet'!$B$14,Paramètres!$A$1:$I$89,3,0)*VLOOKUP('Données projet'!$B$14,Paramètres!$A$1:$I$89,5,0)</f>
        <v>15.983760000000002</v>
      </c>
      <c r="DQ14" s="14">
        <f t="shared" si="43"/>
        <v>5.3348570279475842</v>
      </c>
      <c r="DR14" s="22">
        <f t="shared" si="16"/>
        <v>37.129924657008708</v>
      </c>
      <c r="DS14" s="62">
        <f t="shared" si="17"/>
        <v>307.24103576811984</v>
      </c>
      <c r="DT14" s="62">
        <f ca="1">AVERAGE(OFFSET($DS$3,0,0,'Données projet'!$E$14+1,1))-AVERAGE(OFFSET($H$3,0,0,'Données projet'!$E$14+1,1))</f>
        <v>344.63665697794022</v>
      </c>
      <c r="DU14" s="62">
        <f t="shared" si="44"/>
        <v>376.72762011188041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3.1623931623931623</v>
      </c>
      <c r="EJ14" s="13">
        <f>IF('Données projet'!$A$192&gt;35,EJ13+EI14-ER13,IF(A14&lt;'Données projet'!$A$192,$EG$205^A14,IF(A14='Données projet'!$A$192,'Données projet'!$B$192,EJ13+EI14-ER13)))</f>
        <v>16.949044593816883</v>
      </c>
      <c r="EK14" s="18">
        <f>EJ14*VLOOKUP('Données projet'!$B$15,Paramètres!$A$1:$I$89,3,0)*VLOOKUP('Données projet'!$B$15,Paramètres!$A$1:$I$89,5,0)</f>
        <v>16.128710835476145</v>
      </c>
      <c r="EL14" s="14">
        <f t="shared" si="45"/>
        <v>5.3775829807869533</v>
      </c>
      <c r="EM14" s="22">
        <f t="shared" si="19"/>
        <v>37.456795063324897</v>
      </c>
      <c r="EN14" s="62">
        <f t="shared" si="20"/>
        <v>307.56790617443602</v>
      </c>
      <c r="EO14" s="62">
        <f ca="1">AVERAGE(OFFSET($EN$3,0,0,'Données projet'!$E$15+1,1))-AVERAGE(OFFSET($H$3,0,0,'Données projet'!$E$15+1,1))</f>
        <v>406.24139966722936</v>
      </c>
      <c r="EP14" s="62">
        <f t="shared" si="46"/>
        <v>295.95724296920577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3.65</v>
      </c>
      <c r="FE14" s="13">
        <f>IF('Données projet'!$A$218&gt;35,FE13+FD14-FM13,IF(A14&lt;'Données projet'!$A$218,$FB$205^A14,IF(A14='Données projet'!$A$218,'Données projet'!$B$218,FE13+FD14-FM13)))</f>
        <v>10.588332555950936</v>
      </c>
      <c r="FF14" s="18">
        <f>FE14*VLOOKUP('Données projet'!$B$16,Paramètres!$A$1:$I$89,3,0)*VLOOKUP('Données projet'!$B$16,Paramètres!$A$1:$I$89,5,0)</f>
        <v>10.241035248115747</v>
      </c>
      <c r="FG14" s="14">
        <f t="shared" si="47"/>
        <v>3.5999121311945652</v>
      </c>
      <c r="FH14" s="22">
        <f t="shared" si="22"/>
        <v>24.106316685632123</v>
      </c>
      <c r="FI14" s="62">
        <f t="shared" si="23"/>
        <v>294.21742779674327</v>
      </c>
      <c r="FJ14" s="62">
        <f ca="1">AVERAGE(OFFSET($FI$3,0,0,'Données projet'!$E$16+1,1))-AVERAGE(OFFSET($H$3,0,0,'Données projet'!$E$16+1,1))</f>
        <v>540.83352418045502</v>
      </c>
      <c r="FK14" s="62">
        <f t="shared" si="48"/>
        <v>294.45557293177131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2.6666666666666665</v>
      </c>
      <c r="FZ14" s="13">
        <f>IF('Données projet'!$A$244&gt;35,FZ13+FY14-GH13,IF(A14&lt;'Données projet'!$A$244,$FW$205^A14,IF(A14='Données projet'!$A$244,'Données projet'!$B$244,FZ13+FY14-GH13)))</f>
        <v>14.956982779612416</v>
      </c>
      <c r="GA14" s="18">
        <f>FZ14*VLOOKUP('Données projet'!$B$17,Paramètres!$A$1:$I$89,3,0)*VLOOKUP('Données projet'!$B$17,Paramètres!$A$1:$I$89,5,0)</f>
        <v>11.666446568097685</v>
      </c>
      <c r="GB14" s="14">
        <f t="shared" si="49"/>
        <v>4.0392339557111736</v>
      </c>
      <c r="GC14" s="22">
        <f t="shared" si="25"/>
        <v>27.354060245633761</v>
      </c>
      <c r="GD14" s="62">
        <f t="shared" si="26"/>
        <v>297.46517135674492</v>
      </c>
      <c r="GE14" s="62">
        <f ca="1">AVERAGE(OFFSET($GD$3,0,0,'Données projet'!$E$17+1,1))-AVERAGE(OFFSET($H$3,0,0,'Données projet'!$E$17+1,1))</f>
        <v>292.57482726862594</v>
      </c>
      <c r="GF14" s="62">
        <f t="shared" si="50"/>
        <v>283.48738729114024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8.2051282051282062</v>
      </c>
      <c r="GU14" s="13">
        <f>IF('Données projet'!$A$270&gt;35,GU13+GT14-HC13,IF(A14&lt;'Données projet'!$A$270,$GR$205^A14,IF(A14='Données projet'!$A$270,'Données projet'!$B$270,GU13+GT14-HC13)))</f>
        <v>35.769230769230766</v>
      </c>
      <c r="GV14" s="18">
        <f>GU14*VLOOKUP('Données projet'!$B$18,Paramètres!$A$1:$I$89,3,0)*VLOOKUP('Données projet'!$B$18,Paramètres!$A$1:$I$89,5,0)</f>
        <v>23.993999999999996</v>
      </c>
      <c r="GW14" s="14">
        <f t="shared" si="51"/>
        <v>7.6385472676020845</v>
      </c>
      <c r="GX14" s="22">
        <f t="shared" si="28"/>
        <v>55.093353157740296</v>
      </c>
      <c r="GY14" s="62">
        <f t="shared" si="29"/>
        <v>325.20446426885144</v>
      </c>
      <c r="GZ14" s="62">
        <f ca="1">AVERAGE(OFFSET($GY$3,0,0,'Données projet'!$E$18+1,1))-AVERAGE(OFFSET($H$3,0,0,'Données projet'!$E$18+1,1))</f>
        <v>343.33067866534634</v>
      </c>
      <c r="HA14" s="62">
        <f t="shared" si="52"/>
        <v>261.91036689641402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508.77990078889337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13.305514453470233</v>
      </c>
      <c r="AK15" s="14">
        <f t="shared" si="35"/>
        <v>4.5367667299931158</v>
      </c>
      <c r="AL15" s="22">
        <f t="shared" si="4"/>
        <v>31.075306394532003</v>
      </c>
      <c r="AM15" s="62">
        <f t="shared" si="5"/>
        <v>302.40863972786531</v>
      </c>
      <c r="AN15" s="62">
        <f ca="1">AVERAGE(OFFSET($AM$3,0,0,'Données projet'!$E$10+1,1))-AVERAGE(OFFSET($H$3,0,0,'Données projet'!$E$10+1,1))</f>
        <v>564.84596170333884</v>
      </c>
      <c r="AO15" s="62">
        <f t="shared" si="36"/>
        <v>306.61893266146666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32.6</v>
      </c>
      <c r="BE15" s="14">
        <f>BD15*VLOOKUP('Données projet'!$B$11,Paramètres!$A$1:$I$89,3,0)*VLOOKUP('Données projet'!$B$11,Paramètres!$A$1:$I$89,5,0)</f>
        <v>25.936560000000004</v>
      </c>
      <c r="BF15" s="14">
        <f t="shared" si="37"/>
        <v>8.1824816304360635</v>
      </c>
      <c r="BG15" s="22">
        <f t="shared" si="7"/>
        <v>59.423997506342801</v>
      </c>
      <c r="BH15" s="62">
        <f t="shared" si="8"/>
        <v>330.75733083967611</v>
      </c>
      <c r="BI15" s="62">
        <f ca="1">AVERAGE(OFFSET($BH$3,0,0,'Données projet'!$E$11+1,1))-AVERAGE(OFFSET($H$3,0,0,'Données projet'!$E$11+1,1))</f>
        <v>370.79299728190904</v>
      </c>
      <c r="BJ15" s="62">
        <f t="shared" si="38"/>
        <v>404.95703400805775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32.6</v>
      </c>
      <c r="BZ15" s="14">
        <f>BY15*VLOOKUP('Données projet'!$B$12,Paramètres!$A$1:$I$89,3,0)*VLOOKUP('Données projet'!$B$12,Paramètres!$A$1:$I$89,5,0)</f>
        <v>25.936560000000004</v>
      </c>
      <c r="CA15" s="14">
        <f t="shared" si="39"/>
        <v>8.1824816304360635</v>
      </c>
      <c r="CB15" s="22">
        <f t="shared" si="10"/>
        <v>59.423997506342801</v>
      </c>
      <c r="CC15" s="62">
        <f t="shared" si="11"/>
        <v>330.75733083967611</v>
      </c>
      <c r="CD15" s="62">
        <f ca="1">AVERAGE(OFFSET($CC$3,0,0,'Données projet'!$E$12+1,1))-AVERAGE(OFFSET($H$3,0,0,'Données projet'!$E$12+1,1))</f>
        <v>370.79299728190904</v>
      </c>
      <c r="CE15" s="62">
        <f t="shared" si="40"/>
        <v>404.95703400805775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2.4666666666666668</v>
      </c>
      <c r="CT15" s="13">
        <f>IF('Données projet'!$A$140&gt;35,CT14+CS15-DB14,IF(A15&lt;'Données projet'!$A$140,$CQ$205^A15,IF(A15='Données projet'!$A$140,'Données projet'!$B$140,CT14+CS15-DB14)))</f>
        <v>17.970550417308221</v>
      </c>
      <c r="CU15" s="18">
        <f>CT15*VLOOKUP('Données projet'!$B$13,Paramètres!$A$1:$I$89,3,0)*VLOOKUP('Données projet'!$B$13,Paramètres!$A$1:$I$89,5,0)</f>
        <v>15.699072844560465</v>
      </c>
      <c r="CV15" s="14">
        <f t="shared" si="41"/>
        <v>5.250810382962916</v>
      </c>
      <c r="CW15" s="22">
        <f t="shared" si="13"/>
        <v>36.48771328793655</v>
      </c>
      <c r="CX15" s="62">
        <f t="shared" si="14"/>
        <v>307.82104662126989</v>
      </c>
      <c r="CY15" s="62">
        <f ca="1">AVERAGE(OFFSET($CX$3,0,0,'Données projet'!$E$13+1,1))-AVERAGE(OFFSET($H$3,0,0,'Données projet'!$E$13+1,1))</f>
        <v>339.58437495284466</v>
      </c>
      <c r="CZ15" s="62">
        <f t="shared" si="42"/>
        <v>371.26234252426531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10.8</v>
      </c>
      <c r="DO15" s="13">
        <f>IF('Données projet'!$A$166&gt;35,DO14+DN15-DW14,IF(A15&lt;'Données projet'!$A$166,$DL$205^A15,IF(A15='Données projet'!$A$166,'Données projet'!$B$166,DO14+DN15-DW14)))</f>
        <v>32.6</v>
      </c>
      <c r="DP15" s="18">
        <f>DO15*VLOOKUP('Données projet'!$B$14,Paramètres!$A$1:$I$89,3,0)*VLOOKUP('Données projet'!$B$14,Paramètres!$A$1:$I$89,5,0)</f>
        <v>23.90232</v>
      </c>
      <c r="DQ15" s="14">
        <f t="shared" si="43"/>
        <v>7.6127522913266521</v>
      </c>
      <c r="DR15" s="22">
        <f t="shared" si="16"/>
        <v>54.88875090739392</v>
      </c>
      <c r="DS15" s="62">
        <f t="shared" si="17"/>
        <v>326.22208424072721</v>
      </c>
      <c r="DT15" s="62">
        <f ca="1">AVERAGE(OFFSET($DS$3,0,0,'Données projet'!$E$14+1,1))-AVERAGE(OFFSET($H$3,0,0,'Données projet'!$E$14+1,1))</f>
        <v>344.63665697794022</v>
      </c>
      <c r="DU15" s="62">
        <f t="shared" si="44"/>
        <v>376.72762011188041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3.1623931623931623</v>
      </c>
      <c r="EJ15" s="13">
        <f>IF('Données projet'!$A$192&gt;35,EJ14+EI15-ER14,IF(A15&lt;'Données projet'!$A$192,$EG$205^A15,IF(A15='Données projet'!$A$192,'Données projet'!$B$192,EJ14+EI15-ER14)))</f>
        <v>21.922278822444071</v>
      </c>
      <c r="EK15" s="18">
        <f>EJ15*VLOOKUP('Données projet'!$B$15,Paramètres!$A$1:$I$89,3,0)*VLOOKUP('Données projet'!$B$15,Paramètres!$A$1:$I$89,5,0)</f>
        <v>20.861240527437776</v>
      </c>
      <c r="EL15" s="14">
        <f t="shared" si="45"/>
        <v>6.750267822211284</v>
      </c>
      <c r="EM15" s="22">
        <f t="shared" si="19"/>
        <v>48.090043708972111</v>
      </c>
      <c r="EN15" s="62">
        <f t="shared" si="20"/>
        <v>319.42337704230545</v>
      </c>
      <c r="EO15" s="62">
        <f ca="1">AVERAGE(OFFSET($EN$3,0,0,'Données projet'!$E$15+1,1))-AVERAGE(OFFSET($H$3,0,0,'Données projet'!$E$15+1,1))</f>
        <v>406.24139966722936</v>
      </c>
      <c r="EP15" s="62">
        <f t="shared" si="46"/>
        <v>295.95724296920577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3.65</v>
      </c>
      <c r="FE15" s="13">
        <f>IF('Données projet'!$A$218&gt;35,FE14+FD15-FM14,IF(A15&lt;'Données projet'!$A$218,$FB$205^A15,IF(A15='Données projet'!$A$218,'Données projet'!$B$218,FE14+FD15-FM14)))</f>
        <v>13.121809125710287</v>
      </c>
      <c r="FF15" s="18">
        <f>FE15*VLOOKUP('Données projet'!$B$16,Paramètres!$A$1:$I$89,3,0)*VLOOKUP('Données projet'!$B$16,Paramètres!$A$1:$I$89,5,0)</f>
        <v>12.69141378638699</v>
      </c>
      <c r="FG15" s="14">
        <f t="shared" si="47"/>
        <v>4.3512446702837533</v>
      </c>
      <c r="FH15" s="22">
        <f t="shared" si="22"/>
        <v>29.682630145368211</v>
      </c>
      <c r="FI15" s="62">
        <f t="shared" si="23"/>
        <v>301.01596347870151</v>
      </c>
      <c r="FJ15" s="62">
        <f ca="1">AVERAGE(OFFSET($FI$3,0,0,'Données projet'!$E$16+1,1))-AVERAGE(OFFSET($H$3,0,0,'Données projet'!$E$16+1,1))</f>
        <v>540.83352418045502</v>
      </c>
      <c r="FK15" s="62">
        <f t="shared" si="48"/>
        <v>294.45557293177131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2.6666666666666665</v>
      </c>
      <c r="FZ15" s="13">
        <f>IF('Données projet'!$A$244&gt;35,FZ14+FY15-GH14,IF(A15&lt;'Données projet'!$A$244,$FW$205^A15,IF(A15='Données projet'!$A$244,'Données projet'!$B$244,FZ14+FY15-GH14)))</f>
        <v>19.127049995800721</v>
      </c>
      <c r="GA15" s="18">
        <f>FZ15*VLOOKUP('Données projet'!$B$17,Paramètres!$A$1:$I$89,3,0)*VLOOKUP('Données projet'!$B$17,Paramètres!$A$1:$I$89,5,0)</f>
        <v>14.919098996724562</v>
      </c>
      <c r="GB15" s="14">
        <f t="shared" si="49"/>
        <v>5.019622097301081</v>
      </c>
      <c r="GC15" s="22">
        <f t="shared" si="25"/>
        <v>34.726605905427995</v>
      </c>
      <c r="GD15" s="62">
        <f t="shared" si="26"/>
        <v>306.05993923876133</v>
      </c>
      <c r="GE15" s="62">
        <f ca="1">AVERAGE(OFFSET($GD$3,0,0,'Données projet'!$E$17+1,1))-AVERAGE(OFFSET($H$3,0,0,'Données projet'!$E$17+1,1))</f>
        <v>292.57482726862594</v>
      </c>
      <c r="GF15" s="62">
        <f t="shared" si="50"/>
        <v>283.48738729114024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8.2051282051282062</v>
      </c>
      <c r="GU15" s="13">
        <f>IF('Données projet'!$A$270&gt;35,GU14+GT15-HC14,IF(A15&lt;'Données projet'!$A$270,$GR$205^A15,IF(A15='Données projet'!$A$270,'Données projet'!$B$270,GU14+GT15-HC14)))</f>
        <v>43.974358974358971</v>
      </c>
      <c r="GV15" s="18">
        <f>GU15*VLOOKUP('Données projet'!$B$18,Paramètres!$A$1:$I$89,3,0)*VLOOKUP('Données projet'!$B$18,Paramètres!$A$1:$I$89,5,0)</f>
        <v>29.498000000000001</v>
      </c>
      <c r="GW15" s="14">
        <f t="shared" si="51"/>
        <v>9.1677081835776981</v>
      </c>
      <c r="GX15" s="22">
        <f t="shared" si="28"/>
        <v>67.342775086397822</v>
      </c>
      <c r="GY15" s="62">
        <f t="shared" si="29"/>
        <v>338.67610841973112</v>
      </c>
      <c r="GZ15" s="62">
        <f ca="1">AVERAGE(OFFSET($GY$3,0,0,'Données projet'!$E$18+1,1))-AVERAGE(OFFSET($H$3,0,0,'Données projet'!$E$18+1,1))</f>
        <v>343.33067866534634</v>
      </c>
      <c r="HA15" s="62">
        <f t="shared" si="52"/>
        <v>261.91036689641402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508.77990078889337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16.489132736928447</v>
      </c>
      <c r="AK16" s="14">
        <f t="shared" si="35"/>
        <v>5.4836288594779292</v>
      </c>
      <c r="AL16" s="22">
        <f t="shared" si="4"/>
        <v>38.269226447074438</v>
      </c>
      <c r="AM16" s="62">
        <f t="shared" si="5"/>
        <v>310.82478200263</v>
      </c>
      <c r="AN16" s="62">
        <f ca="1">AVERAGE(OFFSET($AM$3,0,0,'Données projet'!$E$10+1,1))-AVERAGE(OFFSET($H$3,0,0,'Données projet'!$E$10+1,1))</f>
        <v>564.84596170333884</v>
      </c>
      <c r="AO16" s="62">
        <f t="shared" si="36"/>
        <v>306.61893266146666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43.400000000000006</v>
      </c>
      <c r="BE16" s="14">
        <f>BD16*VLOOKUP('Données projet'!$B$11,Paramètres!$A$1:$I$89,3,0)*VLOOKUP('Données projet'!$B$11,Paramètres!$A$1:$I$89,5,0)</f>
        <v>34.529040000000009</v>
      </c>
      <c r="BF16" s="14">
        <f t="shared" si="37"/>
        <v>10.536391336679102</v>
      </c>
      <c r="BG16" s="22">
        <f t="shared" si="7"/>
        <v>78.488959578049446</v>
      </c>
      <c r="BH16" s="62">
        <f t="shared" si="8"/>
        <v>351.04451513360499</v>
      </c>
      <c r="BI16" s="62">
        <f ca="1">AVERAGE(OFFSET($BH$3,0,0,'Données projet'!$E$11+1,1))-AVERAGE(OFFSET($H$3,0,0,'Données projet'!$E$11+1,1))</f>
        <v>370.79299728190904</v>
      </c>
      <c r="BJ16" s="62">
        <f t="shared" si="38"/>
        <v>404.95703400805775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43.400000000000006</v>
      </c>
      <c r="BZ16" s="14">
        <f>BY16*VLOOKUP('Données projet'!$B$12,Paramètres!$A$1:$I$89,3,0)*VLOOKUP('Données projet'!$B$12,Paramètres!$A$1:$I$89,5,0)</f>
        <v>34.529040000000009</v>
      </c>
      <c r="CA16" s="14">
        <f t="shared" si="39"/>
        <v>10.536391336679102</v>
      </c>
      <c r="CB16" s="22">
        <f t="shared" si="10"/>
        <v>78.488959578049446</v>
      </c>
      <c r="CC16" s="62">
        <f t="shared" si="11"/>
        <v>351.04451513360499</v>
      </c>
      <c r="CD16" s="62">
        <f ca="1">AVERAGE(OFFSET($CC$3,0,0,'Données projet'!$E$12+1,1))-AVERAGE(OFFSET($H$3,0,0,'Données projet'!$E$12+1,1))</f>
        <v>370.79299728190904</v>
      </c>
      <c r="CE16" s="62">
        <f t="shared" si="40"/>
        <v>404.95703400805775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2.4666666666666668</v>
      </c>
      <c r="CT16" s="13">
        <f>IF('Données projet'!$A$140&gt;35,CT15+CS16-DB15,IF(A16&lt;'Données projet'!$A$140,$CQ$205^A16,IF(A16='Données projet'!$A$140,'Données projet'!$B$140,CT15+CS16-DB15)))</f>
        <v>22.86168101684942</v>
      </c>
      <c r="CU16" s="18">
        <f>CT16*VLOOKUP('Données projet'!$B$13,Paramètres!$A$1:$I$89,3,0)*VLOOKUP('Données projet'!$B$13,Paramètres!$A$1:$I$89,5,0)</f>
        <v>19.971964536319657</v>
      </c>
      <c r="CV16" s="14">
        <f t="shared" si="41"/>
        <v>6.4953696479137237</v>
      </c>
      <c r="CW16" s="22">
        <f t="shared" si="13"/>
        <v>46.097273704206465</v>
      </c>
      <c r="CX16" s="62">
        <f t="shared" si="14"/>
        <v>318.65282925976203</v>
      </c>
      <c r="CY16" s="62">
        <f ca="1">AVERAGE(OFFSET($CX$3,0,0,'Données projet'!$E$13+1,1))-AVERAGE(OFFSET($H$3,0,0,'Données projet'!$E$13+1,1))</f>
        <v>339.58437495284466</v>
      </c>
      <c r="CZ16" s="62">
        <f t="shared" si="42"/>
        <v>371.26234252426531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10.8</v>
      </c>
      <c r="DO16" s="13">
        <f>IF('Données projet'!$A$166&gt;35,DO15+DN16-DW15,IF(A16&lt;'Données projet'!$A$166,$DL$205^A16,IF(A16='Données projet'!$A$166,'Données projet'!$B$166,DO15+DN16-DW15)))</f>
        <v>43.400000000000006</v>
      </c>
      <c r="DP16" s="18">
        <f>DO16*VLOOKUP('Données projet'!$B$14,Paramètres!$A$1:$I$89,3,0)*VLOOKUP('Données projet'!$B$14,Paramètres!$A$1:$I$89,5,0)</f>
        <v>31.820880000000006</v>
      </c>
      <c r="DQ16" s="14">
        <f t="shared" si="43"/>
        <v>9.8027641140385384</v>
      </c>
      <c r="DR16" s="22">
        <f t="shared" si="16"/>
        <v>72.494513498617124</v>
      </c>
      <c r="DS16" s="62">
        <f t="shared" si="17"/>
        <v>345.0500690541727</v>
      </c>
      <c r="DT16" s="62">
        <f ca="1">AVERAGE(OFFSET($DS$3,0,0,'Données projet'!$E$14+1,1))-AVERAGE(OFFSET($H$3,0,0,'Données projet'!$E$14+1,1))</f>
        <v>344.63665697794022</v>
      </c>
      <c r="DU16" s="62">
        <f t="shared" si="44"/>
        <v>376.72762011188041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3.1623931623931623</v>
      </c>
      <c r="EJ16" s="13">
        <f>IF('Données projet'!$A$192&gt;35,EJ15+EI16-ER15,IF(A16&lt;'Données projet'!$A$192,$EG$205^A16,IF(A16='Données projet'!$A$192,'Données projet'!$B$192,EJ15+EI16-ER15)))</f>
        <v>28.35477280791984</v>
      </c>
      <c r="EK16" s="18">
        <f>EJ16*VLOOKUP('Données projet'!$B$15,Paramètres!$A$1:$I$89,3,0)*VLOOKUP('Données projet'!$B$15,Paramètres!$A$1:$I$89,5,0)</f>
        <v>26.982401804016519</v>
      </c>
      <c r="EL16" s="14">
        <f t="shared" si="45"/>
        <v>8.4733449645277137</v>
      </c>
      <c r="EM16" s="22">
        <f t="shared" si="19"/>
        <v>61.752092288547864</v>
      </c>
      <c r="EN16" s="62">
        <f t="shared" si="20"/>
        <v>334.30764784410343</v>
      </c>
      <c r="EO16" s="62">
        <f ca="1">AVERAGE(OFFSET($EN$3,0,0,'Données projet'!$E$15+1,1))-AVERAGE(OFFSET($H$3,0,0,'Données projet'!$E$15+1,1))</f>
        <v>406.24139966722936</v>
      </c>
      <c r="EP16" s="62">
        <f t="shared" si="46"/>
        <v>295.95724296920577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3.65</v>
      </c>
      <c r="FE16" s="13">
        <f>IF('Données projet'!$A$218&gt;35,FE15+FD16-FM15,IF(A16&lt;'Données projet'!$A$218,$FB$205^A16,IF(A16='Données projet'!$A$218,'Données projet'!$B$218,FE15+FD16-FM15)))</f>
        <v>16.261472127148366</v>
      </c>
      <c r="FF16" s="18">
        <f>FE16*VLOOKUP('Données projet'!$B$16,Paramètres!$A$1:$I$89,3,0)*VLOOKUP('Données projet'!$B$16,Paramètres!$A$1:$I$89,5,0)</f>
        <v>15.728095841377899</v>
      </c>
      <c r="FG16" s="14">
        <f t="shared" si="47"/>
        <v>5.2593867546400634</v>
      </c>
      <c r="FH16" s="22">
        <f t="shared" si="22"/>
        <v>36.553198854731285</v>
      </c>
      <c r="FI16" s="62">
        <f t="shared" si="23"/>
        <v>309.10875441028685</v>
      </c>
      <c r="FJ16" s="62">
        <f ca="1">AVERAGE(OFFSET($FI$3,0,0,'Données projet'!$E$16+1,1))-AVERAGE(OFFSET($H$3,0,0,'Données projet'!$E$16+1,1))</f>
        <v>540.83352418045502</v>
      </c>
      <c r="FK16" s="62">
        <f t="shared" si="48"/>
        <v>294.45557293177131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2.6666666666666665</v>
      </c>
      <c r="FZ16" s="13">
        <f>IF('Données projet'!$A$244&gt;35,FZ15+FY16-GH15,IF(A16&lt;'Données projet'!$A$244,$FW$205^A16,IF(A16='Données projet'!$A$244,'Données projet'!$B$244,FZ15+FY16-GH15)))</f>
        <v>24.459748796430759</v>
      </c>
      <c r="GA16" s="18">
        <f>FZ16*VLOOKUP('Données projet'!$B$17,Paramètres!$A$1:$I$89,3,0)*VLOOKUP('Données projet'!$B$17,Paramètres!$A$1:$I$89,5,0)</f>
        <v>19.078604061215994</v>
      </c>
      <c r="GB16" s="14">
        <f t="shared" si="49"/>
        <v>6.2379664748280286</v>
      </c>
      <c r="GC16" s="22">
        <f t="shared" si="25"/>
        <v>44.093027016943331</v>
      </c>
      <c r="GD16" s="62">
        <f t="shared" si="26"/>
        <v>316.64858257249887</v>
      </c>
      <c r="GE16" s="62">
        <f ca="1">AVERAGE(OFFSET($GD$3,0,0,'Données projet'!$E$17+1,1))-AVERAGE(OFFSET($H$3,0,0,'Données projet'!$E$17+1,1))</f>
        <v>292.57482726862594</v>
      </c>
      <c r="GF16" s="62">
        <f t="shared" si="50"/>
        <v>283.48738729114024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8.2051282051282062</v>
      </c>
      <c r="GU16" s="13">
        <f>IF('Données projet'!$A$270&gt;35,GU15+GT16-HC15,IF(A16&lt;'Données projet'!$A$270,$GR$205^A16,IF(A16='Données projet'!$A$270,'Données projet'!$B$270,GU15+GT16-HC15)))</f>
        <v>52.179487179487175</v>
      </c>
      <c r="GV16" s="18">
        <f>GU16*VLOOKUP('Données projet'!$B$18,Paramètres!$A$1:$I$89,3,0)*VLOOKUP('Données projet'!$B$18,Paramètres!$A$1:$I$89,5,0)</f>
        <v>35.001999999999995</v>
      </c>
      <c r="GW16" s="14">
        <f t="shared" si="51"/>
        <v>10.663812893674448</v>
      </c>
      <c r="GX16" s="22">
        <f t="shared" si="28"/>
        <v>79.534624123149641</v>
      </c>
      <c r="GY16" s="62">
        <f t="shared" si="29"/>
        <v>352.09017967870517</v>
      </c>
      <c r="GZ16" s="62">
        <f ca="1">AVERAGE(OFFSET($GY$3,0,0,'Données projet'!$E$18+1,1))-AVERAGE(OFFSET($H$3,0,0,'Données projet'!$E$18+1,1))</f>
        <v>343.33067866534634</v>
      </c>
      <c r="HA16" s="62">
        <f t="shared" si="52"/>
        <v>261.91036689641402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508.77990078889337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20.434497242993334</v>
      </c>
      <c r="AK17" s="14">
        <f t="shared" si="35"/>
        <v>6.6281092368495731</v>
      </c>
      <c r="AL17" s="22">
        <f t="shared" si="4"/>
        <v>47.134039619059727</v>
      </c>
      <c r="AM17" s="62">
        <f t="shared" si="5"/>
        <v>320.91181739683748</v>
      </c>
      <c r="AN17" s="62">
        <f ca="1">AVERAGE(OFFSET($AM$3,0,0,'Données projet'!$E$10+1,1))-AVERAGE(OFFSET($H$3,0,0,'Données projet'!$E$10+1,1))</f>
        <v>564.84596170333884</v>
      </c>
      <c r="AO17" s="62">
        <f t="shared" si="36"/>
        <v>306.61893266146666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54.2</v>
      </c>
      <c r="BE17" s="14">
        <f>BD17*VLOOKUP('Données projet'!$B$11,Paramètres!$A$1:$I$89,3,0)*VLOOKUP('Données projet'!$B$11,Paramètres!$A$1:$I$89,5,0)</f>
        <v>43.121520000000004</v>
      </c>
      <c r="BF17" s="14">
        <f t="shared" si="37"/>
        <v>12.822353245070515</v>
      </c>
      <c r="BG17" s="22">
        <f t="shared" si="7"/>
        <v>97.435579235164482</v>
      </c>
      <c r="BH17" s="62">
        <f t="shared" si="8"/>
        <v>371.21335701294225</v>
      </c>
      <c r="BI17" s="62">
        <f ca="1">AVERAGE(OFFSET($BH$3,0,0,'Données projet'!$E$11+1,1))-AVERAGE(OFFSET($H$3,0,0,'Données projet'!$E$11+1,1))</f>
        <v>370.79299728190904</v>
      </c>
      <c r="BJ17" s="62">
        <f t="shared" si="38"/>
        <v>404.95703400805775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54.2</v>
      </c>
      <c r="BZ17" s="14">
        <f>BY17*VLOOKUP('Données projet'!$B$12,Paramètres!$A$1:$I$89,3,0)*VLOOKUP('Données projet'!$B$12,Paramètres!$A$1:$I$89,5,0)</f>
        <v>43.121520000000004</v>
      </c>
      <c r="CA17" s="14">
        <f t="shared" si="39"/>
        <v>12.822353245070515</v>
      </c>
      <c r="CB17" s="22">
        <f t="shared" si="10"/>
        <v>97.435579235164482</v>
      </c>
      <c r="CC17" s="62">
        <f t="shared" si="11"/>
        <v>371.21335701294225</v>
      </c>
      <c r="CD17" s="62">
        <f ca="1">AVERAGE(OFFSET($CC$3,0,0,'Données projet'!$E$12+1,1))-AVERAGE(OFFSET($H$3,0,0,'Données projet'!$E$12+1,1))</f>
        <v>370.79299728190904</v>
      </c>
      <c r="CE17" s="62">
        <f t="shared" si="40"/>
        <v>404.95703400805775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2.4666666666666668</v>
      </c>
      <c r="CT17" s="13">
        <f>IF('Données projet'!$A$140&gt;35,CT16+CS17-DB16,IF(A17&lt;'Données projet'!$A$140,$CQ$205^A17,IF(A17='Données projet'!$A$140,'Données projet'!$B$140,CT16+CS17-DB16)))</f>
        <v>29.084054009429774</v>
      </c>
      <c r="CU17" s="18">
        <f>CT17*VLOOKUP('Données projet'!$B$13,Paramètres!$A$1:$I$89,3,0)*VLOOKUP('Données projet'!$B$13,Paramètres!$A$1:$I$89,5,0)</f>
        <v>25.407829582637852</v>
      </c>
      <c r="CV17" s="14">
        <f t="shared" si="41"/>
        <v>8.0349172386667025</v>
      </c>
      <c r="CW17" s="22">
        <f t="shared" si="13"/>
        <v>58.246117380438761</v>
      </c>
      <c r="CX17" s="62">
        <f t="shared" si="14"/>
        <v>332.02389515821653</v>
      </c>
      <c r="CY17" s="62">
        <f ca="1">AVERAGE(OFFSET($CX$3,0,0,'Données projet'!$E$13+1,1))-AVERAGE(OFFSET($H$3,0,0,'Données projet'!$E$13+1,1))</f>
        <v>339.58437495284466</v>
      </c>
      <c r="CZ17" s="62">
        <f t="shared" si="42"/>
        <v>371.26234252426531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10.8</v>
      </c>
      <c r="DO17" s="13">
        <f>IF('Données projet'!$A$166&gt;35,DO16+DN17-DW16,IF(A17&lt;'Données projet'!$A$166,$DL$205^A17,IF(A17='Données projet'!$A$166,'Données projet'!$B$166,DO16+DN17-DW16)))</f>
        <v>54.2</v>
      </c>
      <c r="DP17" s="18">
        <f>DO17*VLOOKUP('Données projet'!$B$14,Paramètres!$A$1:$I$89,3,0)*VLOOKUP('Données projet'!$B$14,Paramètres!$A$1:$I$89,5,0)</f>
        <v>39.739440000000002</v>
      </c>
      <c r="DQ17" s="14">
        <f t="shared" si="43"/>
        <v>11.929559204083212</v>
      </c>
      <c r="DR17" s="22">
        <f t="shared" si="16"/>
        <v>89.990173613778268</v>
      </c>
      <c r="DS17" s="62">
        <f t="shared" si="17"/>
        <v>363.76795139155604</v>
      </c>
      <c r="DT17" s="62">
        <f ca="1">AVERAGE(OFFSET($DS$3,0,0,'Données projet'!$E$14+1,1))-AVERAGE(OFFSET($H$3,0,0,'Données projet'!$E$14+1,1))</f>
        <v>344.63665697794022</v>
      </c>
      <c r="DU17" s="62">
        <f t="shared" si="44"/>
        <v>376.72762011188041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3.1623931623931623</v>
      </c>
      <c r="EJ17" s="13">
        <f>IF('Données projet'!$A$192&gt;35,EJ16+EI17-ER16,IF(A17&lt;'Données projet'!$A$192,$EG$205^A17,IF(A17='Données projet'!$A$192,'Données projet'!$B$192,EJ16+EI17-ER16)))</f>
        <v>36.674706471008875</v>
      </c>
      <c r="EK17" s="18">
        <f>EJ17*VLOOKUP('Données projet'!$B$15,Paramètres!$A$1:$I$89,3,0)*VLOOKUP('Données projet'!$B$15,Paramètres!$A$1:$I$89,5,0)</f>
        <v>34.899650677812041</v>
      </c>
      <c r="EL17" s="14">
        <f t="shared" si="45"/>
        <v>10.636255742571029</v>
      </c>
      <c r="EM17" s="22">
        <f t="shared" si="19"/>
        <v>79.308370348833833</v>
      </c>
      <c r="EN17" s="62">
        <f t="shared" si="20"/>
        <v>353.08614812661159</v>
      </c>
      <c r="EO17" s="62">
        <f ca="1">AVERAGE(OFFSET($EN$3,0,0,'Données projet'!$E$15+1,1))-AVERAGE(OFFSET($H$3,0,0,'Données projet'!$E$15+1,1))</f>
        <v>406.24139966722936</v>
      </c>
      <c r="EP17" s="62">
        <f t="shared" si="46"/>
        <v>295.95724296920577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3.65</v>
      </c>
      <c r="FE17" s="13">
        <f>IF('Données projet'!$A$218&gt;35,FE16+FD17-FM16,IF(A17&lt;'Données projet'!$A$218,$FB$205^A17,IF(A17='Données projet'!$A$218,'Données projet'!$B$218,FE16+FD17-FM16)))</f>
        <v>20.152364144963837</v>
      </c>
      <c r="FF17" s="18">
        <f>FE17*VLOOKUP('Données projet'!$B$16,Paramètres!$A$1:$I$89,3,0)*VLOOKUP('Données projet'!$B$16,Paramètres!$A$1:$I$89,5,0)</f>
        <v>19.491366601009023</v>
      </c>
      <c r="FG17" s="14">
        <f t="shared" si="47"/>
        <v>6.3570658813537859</v>
      </c>
      <c r="FH17" s="22">
        <f t="shared" si="22"/>
        <v>45.01935324011523</v>
      </c>
      <c r="FI17" s="62">
        <f t="shared" si="23"/>
        <v>318.79713101789298</v>
      </c>
      <c r="FJ17" s="62">
        <f ca="1">AVERAGE(OFFSET($FI$3,0,0,'Données projet'!$E$16+1,1))-AVERAGE(OFFSET($H$3,0,0,'Données projet'!$E$16+1,1))</f>
        <v>540.83352418045502</v>
      </c>
      <c r="FK17" s="62">
        <f t="shared" si="48"/>
        <v>294.45557293177131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2.6666666666666665</v>
      </c>
      <c r="FZ17" s="13">
        <f>IF('Données projet'!$A$244&gt;35,FZ16+FY17-GH16,IF(A17&lt;'Données projet'!$A$244,$FW$205^A17,IF(A17='Données projet'!$A$244,'Données projet'!$B$244,FZ16+FY17-GH16)))</f>
        <v>31.279225563578599</v>
      </c>
      <c r="GA17" s="18">
        <f>FZ17*VLOOKUP('Données projet'!$B$17,Paramètres!$A$1:$I$89,3,0)*VLOOKUP('Données projet'!$B$17,Paramètres!$A$1:$I$89,5,0)</f>
        <v>24.397795939591308</v>
      </c>
      <c r="GB17" s="14">
        <f t="shared" si="49"/>
        <v>7.75202295846145</v>
      </c>
      <c r="GC17" s="22">
        <f t="shared" si="25"/>
        <v>55.994267914108548</v>
      </c>
      <c r="GD17" s="62">
        <f t="shared" si="26"/>
        <v>329.77204569188632</v>
      </c>
      <c r="GE17" s="62">
        <f ca="1">AVERAGE(OFFSET($GD$3,0,0,'Données projet'!$E$17+1,1))-AVERAGE(OFFSET($H$3,0,0,'Données projet'!$E$17+1,1))</f>
        <v>292.57482726862594</v>
      </c>
      <c r="GF17" s="62">
        <f t="shared" si="50"/>
        <v>283.48738729114024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8.2051282051282062</v>
      </c>
      <c r="GU17" s="13">
        <f>IF('Données projet'!$A$270&gt;35,GU16+GT17-HC16,IF(A17&lt;'Données projet'!$A$270,$GR$205^A17,IF(A17='Données projet'!$A$270,'Données projet'!$B$270,GU16+GT17-HC16)))</f>
        <v>60.38461538461538</v>
      </c>
      <c r="GV17" s="18">
        <f>GU17*VLOOKUP('Données projet'!$B$18,Paramètres!$A$1:$I$89,3,0)*VLOOKUP('Données projet'!$B$18,Paramètres!$A$1:$I$89,5,0)</f>
        <v>40.506</v>
      </c>
      <c r="GW17" s="14">
        <f t="shared" si="51"/>
        <v>12.132663984422932</v>
      </c>
      <c r="GX17" s="22">
        <f t="shared" si="28"/>
        <v>91.679006439536593</v>
      </c>
      <c r="GY17" s="62">
        <f t="shared" si="29"/>
        <v>365.45678421731435</v>
      </c>
      <c r="GZ17" s="62">
        <f ca="1">AVERAGE(OFFSET($GY$3,0,0,'Données projet'!$E$18+1,1))-AVERAGE(OFFSET($H$3,0,0,'Données projet'!$E$18+1,1))</f>
        <v>343.33067866534634</v>
      </c>
      <c r="HA17" s="62">
        <f t="shared" si="52"/>
        <v>261.91036689641402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508.77990078889337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25.323871439201337</v>
      </c>
      <c r="AK18" s="14">
        <f t="shared" si="35"/>
        <v>8.0114524854610902</v>
      </c>
      <c r="AL18" s="22">
        <f t="shared" si="4"/>
        <v>58.059022502120392</v>
      </c>
      <c r="AM18" s="62">
        <f t="shared" si="5"/>
        <v>333.0590225021204</v>
      </c>
      <c r="AN18" s="62">
        <f ca="1">AVERAGE(OFFSET($AM$3,0,0,'Données projet'!$E$10+1,1))-AVERAGE(OFFSET($H$3,0,0,'Données projet'!$E$10+1,1))</f>
        <v>564.84596170333884</v>
      </c>
      <c r="AO18" s="62">
        <f t="shared" si="36"/>
        <v>306.61893266146666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51.713999999999999</v>
      </c>
      <c r="BF18" s="14">
        <f t="shared" si="37"/>
        <v>15.055535578337075</v>
      </c>
      <c r="BG18" s="22">
        <f t="shared" si="7"/>
        <v>116.29027446560372</v>
      </c>
      <c r="BH18" s="62">
        <f t="shared" si="8"/>
        <v>391.29027446560372</v>
      </c>
      <c r="BI18" s="62">
        <f ca="1">AVERAGE(OFFSET($BH$3,0,0,'Données projet'!$E$11+1,1))-AVERAGE(OFFSET($H$3,0,0,'Données projet'!$E$11+1,1))</f>
        <v>370.79299728190904</v>
      </c>
      <c r="BJ18" s="62">
        <f t="shared" si="38"/>
        <v>404.95703400805775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65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65</v>
      </c>
      <c r="BZ18" s="14">
        <f>BY18*VLOOKUP('Données projet'!$B$12,Paramètres!$A$1:$I$89,3,0)*VLOOKUP('Données projet'!$B$12,Paramètres!$A$1:$I$89,5,0)</f>
        <v>51.713999999999999</v>
      </c>
      <c r="CA18" s="14">
        <f t="shared" si="39"/>
        <v>15.055535578337075</v>
      </c>
      <c r="CB18" s="22">
        <f t="shared" si="10"/>
        <v>116.29027446560372</v>
      </c>
      <c r="CC18" s="62">
        <f t="shared" si="11"/>
        <v>391.29027446560372</v>
      </c>
      <c r="CD18" s="62">
        <f ca="1">AVERAGE(OFFSET($CC$3,0,0,'Données projet'!$E$12+1,1))-AVERAGE(OFFSET($H$3,0,0,'Données projet'!$E$12+1,1))</f>
        <v>370.79299728190904</v>
      </c>
      <c r="CE18" s="62">
        <f t="shared" si="40"/>
        <v>404.95703400805775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37</v>
      </c>
      <c r="CR18" s="13">
        <f>VLOOKUP(A18,'Données projet'!$A$139:$I$159,9,0)</f>
        <v>2.4666666666666668</v>
      </c>
      <c r="CS18" s="13">
        <f t="array" ref="CS18">INDEX(CR:CR,MIN(IF(ISNUMBER(CR18:CR214),ROW(CR18:CR214),"")))</f>
        <v>2.4666666666666668</v>
      </c>
      <c r="CT18" s="13">
        <f>IF('Données projet'!$A$140&gt;35,CT17+CS18-DB17,IF(A18&lt;'Données projet'!$A$140,$CQ$205^A18,IF(A18='Données projet'!$A$140,'Données projet'!$B$140,CT17+CS18-DB17)))</f>
        <v>37</v>
      </c>
      <c r="CU18" s="18">
        <f>CT18*VLOOKUP('Données projet'!$B$13,Paramètres!$A$1:$I$89,3,0)*VLOOKUP('Données projet'!$B$13,Paramètres!$A$1:$I$89,5,0)</f>
        <v>32.323200000000007</v>
      </c>
      <c r="CV18" s="14">
        <f t="shared" si="41"/>
        <v>9.9393719729191545</v>
      </c>
      <c r="CW18" s="22">
        <f t="shared" si="13"/>
        <v>73.607312852834198</v>
      </c>
      <c r="CX18" s="62">
        <f t="shared" si="14"/>
        <v>348.60731285283418</v>
      </c>
      <c r="CY18" s="62">
        <f ca="1">AVERAGE(OFFSET($CX$3,0,0,'Données projet'!$E$13+1,1))-AVERAGE(OFFSET($H$3,0,0,'Données projet'!$E$13+1,1))</f>
        <v>339.58437495284466</v>
      </c>
      <c r="CZ18" s="62">
        <f t="shared" si="42"/>
        <v>371.26234252426531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65</v>
      </c>
      <c r="DM18" s="13">
        <f>VLOOKUP(A18,'Données projet'!$A$165:$I$185,9,0)</f>
        <v>10.8</v>
      </c>
      <c r="DN18" s="13">
        <f t="array" ref="DN18">INDEX(DM:DM,MIN(IF(ISNUMBER(DM18:DM214),ROW(DM18:DM214),"")))</f>
        <v>10.8</v>
      </c>
      <c r="DO18" s="13">
        <f>IF('Données projet'!$A$166&gt;35,DO17+DN18-DW17,IF(A18&lt;'Données projet'!$A$166,$DL$205^A18,IF(A18='Données projet'!$A$166,'Données projet'!$B$166,DO17+DN18-DW17)))</f>
        <v>65</v>
      </c>
      <c r="DP18" s="18">
        <f>DO18*VLOOKUP('Données projet'!$B$14,Paramètres!$A$1:$I$89,3,0)*VLOOKUP('Données projet'!$B$14,Paramètres!$A$1:$I$89,5,0)</f>
        <v>47.657999999999994</v>
      </c>
      <c r="DQ18" s="14">
        <f t="shared" si="43"/>
        <v>14.007249652087213</v>
      </c>
      <c r="DR18" s="22">
        <f t="shared" si="16"/>
        <v>107.40030981071855</v>
      </c>
      <c r="DS18" s="62">
        <f t="shared" si="17"/>
        <v>382.40030981071857</v>
      </c>
      <c r="DT18" s="62">
        <f ca="1">AVERAGE(OFFSET($DS$3,0,0,'Données projet'!$E$14+1,1))-AVERAGE(OFFSET($H$3,0,0,'Données projet'!$E$14+1,1))</f>
        <v>344.63665697794022</v>
      </c>
      <c r="DU18" s="62">
        <f t="shared" si="44"/>
        <v>376.72762011188041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47.435897435897431</v>
      </c>
      <c r="EH18" s="13">
        <f>VLOOKUP(A18,'Données projet'!$A$191:$I$211,9,0)</f>
        <v>3.1623931623931623</v>
      </c>
      <c r="EI18" s="13">
        <f t="array" ref="EI18">INDEX(EH:EH,MIN(IF(ISNUMBER(EH18:EH214),ROW(EH18:EH214),"")))</f>
        <v>3.1623931623931623</v>
      </c>
      <c r="EJ18" s="13">
        <f>IF('Données projet'!$A$192&gt;35,EJ17+EI18-ER17,IF(A18&lt;'Données projet'!$A$192,$EG$205^A18,IF(A18='Données projet'!$A$192,'Données projet'!$B$192,EJ17+EI18-ER17)))</f>
        <v>47.435897435897431</v>
      </c>
      <c r="EK18" s="18">
        <f>EJ18*VLOOKUP('Données projet'!$B$15,Paramètres!$A$1:$I$89,3,0)*VLOOKUP('Données projet'!$B$15,Paramètres!$A$1:$I$89,5,0)</f>
        <v>45.139999999999993</v>
      </c>
      <c r="EL18" s="14">
        <f t="shared" si="45"/>
        <v>13.351272336364824</v>
      </c>
      <c r="EM18" s="22">
        <f t="shared" si="19"/>
        <v>101.87229931916873</v>
      </c>
      <c r="EN18" s="62">
        <f t="shared" si="20"/>
        <v>376.87229931916875</v>
      </c>
      <c r="EO18" s="62">
        <f ca="1">AVERAGE(OFFSET($EN$3,0,0,'Données projet'!$E$15+1,1))-AVERAGE(OFFSET($H$3,0,0,'Données projet'!$E$15+1,1))</f>
        <v>406.24139966722936</v>
      </c>
      <c r="EP18" s="62">
        <f t="shared" si="46"/>
        <v>295.95724296920577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3.65</v>
      </c>
      <c r="FE18" s="13">
        <f>IF('Données projet'!$A$218&gt;35,FE17+FD18-FM17,IF(A18&lt;'Données projet'!$A$218,$FB$205^A18,IF(A18='Données projet'!$A$218,'Données projet'!$B$218,FE17+FD18-FM17)))</f>
        <v>24.974232188561476</v>
      </c>
      <c r="FF18" s="18">
        <f>FE18*VLOOKUP('Données projet'!$B$16,Paramètres!$A$1:$I$89,3,0)*VLOOKUP('Données projet'!$B$16,Paramètres!$A$1:$I$89,5,0)</f>
        <v>24.155077372776663</v>
      </c>
      <c r="FG18" s="14">
        <f t="shared" si="47"/>
        <v>7.6838400568695304</v>
      </c>
      <c r="FH18" s="22">
        <f t="shared" si="22"/>
        <v>55.452781189967119</v>
      </c>
      <c r="FI18" s="62">
        <f t="shared" si="23"/>
        <v>330.45278118996714</v>
      </c>
      <c r="FJ18" s="62">
        <f ca="1">AVERAGE(OFFSET($FI$3,0,0,'Données projet'!$E$16+1,1))-AVERAGE(OFFSET($H$3,0,0,'Données projet'!$E$16+1,1))</f>
        <v>540.83352418045502</v>
      </c>
      <c r="FK18" s="62">
        <f t="shared" si="48"/>
        <v>294.45557293177131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40</v>
      </c>
      <c r="FX18" s="13">
        <f>VLOOKUP(A18,'Données projet'!$A$243:$I$263,9,0)</f>
        <v>2.6666666666666665</v>
      </c>
      <c r="FY18" s="13">
        <f t="array" ref="FY18">INDEX(FX:FX,MIN(IF(ISNUMBER(FX18:FX214),ROW(FX18:FX214),"")))</f>
        <v>2.6666666666666665</v>
      </c>
      <c r="FZ18" s="13">
        <f>IF('Données projet'!$A$244&gt;35,FZ17+FY18-GH17,IF(A18&lt;'Données projet'!$A$244,$FW$205^A18,IF(A18='Données projet'!$A$244,'Données projet'!$B$244,FZ17+FY18-GH17)))</f>
        <v>40</v>
      </c>
      <c r="GA18" s="18">
        <f>FZ18*VLOOKUP('Données projet'!$B$17,Paramètres!$A$1:$I$89,3,0)*VLOOKUP('Données projet'!$B$17,Paramètres!$A$1:$I$89,5,0)</f>
        <v>31.200000000000003</v>
      </c>
      <c r="GB18" s="14">
        <f t="shared" si="49"/>
        <v>9.6335657126419925</v>
      </c>
      <c r="GC18" s="22">
        <f t="shared" si="25"/>
        <v>71.118460282851473</v>
      </c>
      <c r="GD18" s="62">
        <f t="shared" si="26"/>
        <v>346.11846028285146</v>
      </c>
      <c r="GE18" s="62">
        <f ca="1">AVERAGE(OFFSET($GD$3,0,0,'Données projet'!$E$17+1,1))-AVERAGE(OFFSET($H$3,0,0,'Données projet'!$E$17+1,1))</f>
        <v>292.57482726862594</v>
      </c>
      <c r="GF18" s="62">
        <f t="shared" si="50"/>
        <v>283.48738729114024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68.589743589743591</v>
      </c>
      <c r="GS18" s="13">
        <f>VLOOKUP(A18,'Données projet'!$A$269:$I$289,9,0)</f>
        <v>8.2051282051282062</v>
      </c>
      <c r="GT18" s="13">
        <f t="array" ref="GT18">INDEX(GS:GS,MIN(IF(ISNUMBER(GS18:GS214),ROW(GS18:GS214),"")))</f>
        <v>8.2051282051282062</v>
      </c>
      <c r="GU18" s="13">
        <f>IF('Données projet'!$A$270&gt;35,GU17+GT18-HC17,IF(A18&lt;'Données projet'!$A$270,$GR$205^A18,IF(A18='Données projet'!$A$270,'Données projet'!$B$270,GU17+GT18-HC17)))</f>
        <v>68.589743589743591</v>
      </c>
      <c r="GV18" s="18">
        <f>GU18*VLOOKUP('Données projet'!$B$18,Paramètres!$A$1:$I$89,3,0)*VLOOKUP('Données projet'!$B$18,Paramètres!$A$1:$I$89,5,0)</f>
        <v>46.010000000000005</v>
      </c>
      <c r="GW18" s="14">
        <f t="shared" si="51"/>
        <v>13.578390619407827</v>
      </c>
      <c r="GX18" s="22">
        <f t="shared" si="28"/>
        <v>103.78311366213529</v>
      </c>
      <c r="GY18" s="62">
        <f t="shared" si="29"/>
        <v>378.78311366213529</v>
      </c>
      <c r="GZ18" s="62">
        <f ca="1">AVERAGE(OFFSET($GY$3,0,0,'Données projet'!$E$18+1,1))-AVERAGE(OFFSET($H$3,0,0,'Données projet'!$E$18+1,1))</f>
        <v>343.33067866534634</v>
      </c>
      <c r="HA18" s="62">
        <f t="shared" si="52"/>
        <v>261.91036689641402</v>
      </c>
      <c r="HB18" s="16">
        <f>IF(ISNA(VLOOKUP(A18,'Données projet'!$A$269:$I$289,3,0)),0,VLOOKUP(A18,'Données projet'!$A$269:$I$289,3,0))</f>
        <v>1</v>
      </c>
      <c r="HC18" s="16">
        <f>IF(ISNA(VLOOKUP(A18,'Données projet'!$A$269:$I$289,4,0)),0,VLOOKUP(A18,'Données projet'!$A$269:$I$289,4,0))</f>
        <v>19.871794871794872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508.77990078889337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31.383129080363769</v>
      </c>
      <c r="AK19" s="14">
        <f t="shared" si="35"/>
        <v>9.6835113353243223</v>
      </c>
      <c r="AL19" s="22">
        <f t="shared" si="4"/>
        <v>71.524398723990075</v>
      </c>
      <c r="AM19" s="62">
        <f t="shared" si="5"/>
        <v>347.74662094621232</v>
      </c>
      <c r="AN19" s="62">
        <f ca="1">AVERAGE(OFFSET($AM$3,0,0,'Données projet'!$E$10+1,1))-AVERAGE(OFFSET($H$3,0,0,'Données projet'!$E$10+1,1))</f>
        <v>564.84596170333884</v>
      </c>
      <c r="AO19" s="62">
        <f t="shared" si="36"/>
        <v>306.61893266146666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13.8</v>
      </c>
      <c r="BD19" s="13">
        <f>IF('Données projet'!$A$88&gt;35,BD18+BC19-BL18,IF(A19&lt;'Données projet'!$A$88,$BA$205^A19,IF(A19='Données projet'!$A$88,'Données projet'!$B$88,BD18+BC19-BL18)))</f>
        <v>78.8</v>
      </c>
      <c r="BE19" s="14">
        <f>BD19*VLOOKUP('Données projet'!$B$11,Paramètres!$A$1:$I$89,3,0)*VLOOKUP('Données projet'!$B$11,Paramètres!$A$1:$I$89,5,0)</f>
        <v>62.693280000000009</v>
      </c>
      <c r="BF19" s="14">
        <f t="shared" si="37"/>
        <v>17.847464769732898</v>
      </c>
      <c r="BG19" s="22">
        <f t="shared" si="7"/>
        <v>140.27513047395146</v>
      </c>
      <c r="BH19" s="62">
        <f t="shared" si="8"/>
        <v>416.49735269617372</v>
      </c>
      <c r="BI19" s="62">
        <f ca="1">AVERAGE(OFFSET($BH$3,0,0,'Données projet'!$E$11+1,1))-AVERAGE(OFFSET($H$3,0,0,'Données projet'!$E$11+1,1))</f>
        <v>370.79299728190904</v>
      </c>
      <c r="BJ19" s="62">
        <f t="shared" si="38"/>
        <v>404.95703400805775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13.8</v>
      </c>
      <c r="BY19" s="13">
        <f>IF('Données projet'!$A$114&gt;35,BY18+BX19-CG18,IF(A19&lt;'Données projet'!$A$114,$BV$205^A19,IF(A19='Données projet'!$A$114,'Données projet'!$B$114,BY18+BX19-CG18)))</f>
        <v>78.8</v>
      </c>
      <c r="BZ19" s="14">
        <f>BY19*VLOOKUP('Données projet'!$B$12,Paramètres!$A$1:$I$89,3,0)*VLOOKUP('Données projet'!$B$12,Paramètres!$A$1:$I$89,5,0)</f>
        <v>62.693280000000009</v>
      </c>
      <c r="CA19" s="14">
        <f t="shared" si="39"/>
        <v>17.847464769732898</v>
      </c>
      <c r="CB19" s="22">
        <f t="shared" si="10"/>
        <v>140.27513047395146</v>
      </c>
      <c r="CC19" s="62">
        <f t="shared" si="11"/>
        <v>416.49735269617372</v>
      </c>
      <c r="CD19" s="62">
        <f ca="1">AVERAGE(OFFSET($CC$3,0,0,'Données projet'!$E$12+1,1))-AVERAGE(OFFSET($H$3,0,0,'Données projet'!$E$12+1,1))</f>
        <v>370.79299728190904</v>
      </c>
      <c r="CE19" s="62">
        <f t="shared" si="40"/>
        <v>404.95703400805775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11.6</v>
      </c>
      <c r="CT19" s="13">
        <f>IF('Données projet'!$A$140&gt;35,CT18+CS19-DB18,IF(A19&lt;'Données projet'!$A$140,$CQ$205^A19,IF(A19='Données projet'!$A$140,'Données projet'!$B$140,CT18+CS19-DB18)))</f>
        <v>48.6</v>
      </c>
      <c r="CU19" s="18">
        <f>CT19*VLOOKUP('Données projet'!$B$13,Paramètres!$A$1:$I$89,3,0)*VLOOKUP('Données projet'!$B$13,Paramètres!$A$1:$I$89,5,0)</f>
        <v>42.456960000000009</v>
      </c>
      <c r="CV19" s="14">
        <f t="shared" si="41"/>
        <v>12.647587950844969</v>
      </c>
      <c r="CW19" s="22">
        <f t="shared" si="13"/>
        <v>95.973754347721652</v>
      </c>
      <c r="CX19" s="62">
        <f t="shared" si="14"/>
        <v>372.19597656994387</v>
      </c>
      <c r="CY19" s="62">
        <f ca="1">AVERAGE(OFFSET($CX$3,0,0,'Données projet'!$E$13+1,1))-AVERAGE(OFFSET($H$3,0,0,'Données projet'!$E$13+1,1))</f>
        <v>339.58437495284466</v>
      </c>
      <c r="CZ19" s="62">
        <f t="shared" si="42"/>
        <v>371.26234252426531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13.8</v>
      </c>
      <c r="DO19" s="13">
        <f>IF('Données projet'!$A$166&gt;35,DO18+DN19-DW18,IF(A19&lt;'Données projet'!$A$166,$DL$205^A19,IF(A19='Données projet'!$A$166,'Données projet'!$B$166,DO18+DN19-DW18)))</f>
        <v>78.8</v>
      </c>
      <c r="DP19" s="18">
        <f>DO19*VLOOKUP('Données projet'!$B$14,Paramètres!$A$1:$I$89,3,0)*VLOOKUP('Données projet'!$B$14,Paramètres!$A$1:$I$89,5,0)</f>
        <v>57.77615999999999</v>
      </c>
      <c r="DQ19" s="14">
        <f t="shared" si="43"/>
        <v>16.604782565569302</v>
      </c>
      <c r="DR19" s="22">
        <f t="shared" si="16"/>
        <v>129.54680830169983</v>
      </c>
      <c r="DS19" s="62">
        <f t="shared" si="17"/>
        <v>405.76903052392208</v>
      </c>
      <c r="DT19" s="62">
        <f ca="1">AVERAGE(OFFSET($DS$3,0,0,'Données projet'!$E$14+1,1))-AVERAGE(OFFSET($H$3,0,0,'Données projet'!$E$14+1,1))</f>
        <v>344.63665697794022</v>
      </c>
      <c r="DU19" s="62">
        <f t="shared" si="44"/>
        <v>376.72762011188041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7.4358974358974361</v>
      </c>
      <c r="EJ19" s="13">
        <f>IF('Données projet'!$A$192&gt;35,EJ18+EI19-ER18,IF(A19&lt;'Données projet'!$A$192,$EG$205^A19,IF(A19='Données projet'!$A$192,'Données projet'!$B$192,EJ18+EI19-ER18)))</f>
        <v>54.871794871794869</v>
      </c>
      <c r="EK19" s="18">
        <f>EJ19*VLOOKUP('Données projet'!$B$15,Paramètres!$A$1:$I$89,3,0)*VLOOKUP('Données projet'!$B$15,Paramètres!$A$1:$I$89,5,0)</f>
        <v>52.216000000000001</v>
      </c>
      <c r="EL19" s="14">
        <f t="shared" si="45"/>
        <v>15.184598935068502</v>
      </c>
      <c r="EM19" s="22">
        <f t="shared" si="19"/>
        <v>117.38937647857762</v>
      </c>
      <c r="EN19" s="62">
        <f t="shared" si="20"/>
        <v>393.61159870079985</v>
      </c>
      <c r="EO19" s="62">
        <f ca="1">AVERAGE(OFFSET($EN$3,0,0,'Données projet'!$E$15+1,1))-AVERAGE(OFFSET($H$3,0,0,'Données projet'!$E$15+1,1))</f>
        <v>406.24139966722936</v>
      </c>
      <c r="EP19" s="62">
        <f t="shared" si="46"/>
        <v>295.95724296920577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3.65</v>
      </c>
      <c r="FE19" s="13">
        <f>IF('Données projet'!$A$218&gt;35,FE18+FD19-FM18,IF(A19&lt;'Données projet'!$A$218,$FB$205^A19,IF(A19='Données projet'!$A$218,'Données projet'!$B$218,FE18+FD19-FM18)))</f>
        <v>30.949831440200953</v>
      </c>
      <c r="FF19" s="18">
        <f>FE19*VLOOKUP('Données projet'!$B$16,Paramètres!$A$1:$I$89,3,0)*VLOOKUP('Données projet'!$B$16,Paramètres!$A$1:$I$89,5,0)</f>
        <v>29.934676968962361</v>
      </c>
      <c r="FG19" s="14">
        <f t="shared" si="47"/>
        <v>9.2875233828754098</v>
      </c>
      <c r="FH19" s="22">
        <f t="shared" si="22"/>
        <v>68.311998946117441</v>
      </c>
      <c r="FI19" s="62">
        <f t="shared" si="23"/>
        <v>344.53422116833968</v>
      </c>
      <c r="FJ19" s="62">
        <f ca="1">AVERAGE(OFFSET($FI$3,0,0,'Données projet'!$E$16+1,1))-AVERAGE(OFFSET($H$3,0,0,'Données projet'!$E$16+1,1))</f>
        <v>540.83352418045502</v>
      </c>
      <c r="FK19" s="62">
        <f t="shared" si="48"/>
        <v>294.45557293177131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9.6</v>
      </c>
      <c r="FZ19" s="13">
        <f>IF('Données projet'!$A$244&gt;35,FZ18+FY19-GH18,IF(A19&lt;'Données projet'!$A$244,$FW$205^A19,IF(A19='Données projet'!$A$244,'Données projet'!$B$244,FZ18+FY19-GH18)))</f>
        <v>49.6</v>
      </c>
      <c r="GA19" s="18">
        <f>FZ19*VLOOKUP('Données projet'!$B$17,Paramètres!$A$1:$I$89,3,0)*VLOOKUP('Données projet'!$B$17,Paramètres!$A$1:$I$89,5,0)</f>
        <v>38.688000000000002</v>
      </c>
      <c r="GB19" s="14">
        <f t="shared" si="49"/>
        <v>11.650229083154354</v>
      </c>
      <c r="GC19" s="22">
        <f t="shared" si="25"/>
        <v>87.672415653160499</v>
      </c>
      <c r="GD19" s="62">
        <f t="shared" si="26"/>
        <v>363.89463787538273</v>
      </c>
      <c r="GE19" s="62">
        <f ca="1">AVERAGE(OFFSET($GD$3,0,0,'Données projet'!$E$17+1,1))-AVERAGE(OFFSET($H$3,0,0,'Données projet'!$E$17+1,1))</f>
        <v>292.57482726862594</v>
      </c>
      <c r="GF19" s="62">
        <f t="shared" si="50"/>
        <v>283.48738729114024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9.3589743589743595</v>
      </c>
      <c r="GU19" s="13">
        <f>IF('Données projet'!$A$270&gt;35,GU18+GT19-HC18,IF(A19&lt;'Données projet'!$A$270,$GR$205^A19,IF(A19='Données projet'!$A$270,'Données projet'!$B$270,GU18+GT19-HC18)))</f>
        <v>58.07692307692308</v>
      </c>
      <c r="GV19" s="18">
        <f>GU19*VLOOKUP('Données projet'!$B$18,Paramètres!$A$1:$I$89,3,0)*VLOOKUP('Données projet'!$B$18,Paramètres!$A$1:$I$89,5,0)</f>
        <v>38.958000000000006</v>
      </c>
      <c r="GW19" s="14">
        <f t="shared" si="51"/>
        <v>11.722041853282947</v>
      </c>
      <c r="GX19" s="22">
        <f t="shared" si="28"/>
        <v>88.267739561134462</v>
      </c>
      <c r="GY19" s="62">
        <f t="shared" si="29"/>
        <v>364.4899617833567</v>
      </c>
      <c r="GZ19" s="62">
        <f ca="1">AVERAGE(OFFSET($GY$3,0,0,'Données projet'!$E$18+1,1))-AVERAGE(OFFSET($H$3,0,0,'Données projet'!$E$18+1,1))</f>
        <v>343.33067866534634</v>
      </c>
      <c r="HA19" s="62">
        <f t="shared" si="52"/>
        <v>261.91036689641402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508.77990078889337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38.892188867700071</v>
      </c>
      <c r="AK20" s="14">
        <f t="shared" si="35"/>
        <v>11.704543208803392</v>
      </c>
      <c r="AL20" s="22">
        <f t="shared" si="4"/>
        <v>88.122641699910204</v>
      </c>
      <c r="AM20" s="62">
        <f t="shared" si="5"/>
        <v>365.56708614435468</v>
      </c>
      <c r="AN20" s="62">
        <f ca="1">AVERAGE(OFFSET($AM$3,0,0,'Données projet'!$E$10+1,1))-AVERAGE(OFFSET($H$3,0,0,'Données projet'!$E$10+1,1))</f>
        <v>564.84596170333884</v>
      </c>
      <c r="AO20" s="62">
        <f t="shared" si="36"/>
        <v>306.61893266146666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13.8</v>
      </c>
      <c r="BD20" s="13">
        <f>IF('Données projet'!$A$88&gt;35,BD19+BC20-BL19,IF(A20&lt;'Données projet'!$A$88,$BA$205^A20,IF(A20='Données projet'!$A$88,'Données projet'!$B$88,BD19+BC20-BL19)))</f>
        <v>92.6</v>
      </c>
      <c r="BE20" s="14">
        <f>BD20*VLOOKUP('Données projet'!$B$11,Paramètres!$A$1:$I$89,3,0)*VLOOKUP('Données projet'!$B$11,Paramètres!$A$1:$I$89,5,0)</f>
        <v>73.672560000000004</v>
      </c>
      <c r="BF20" s="14">
        <f t="shared" si="37"/>
        <v>20.582751720906476</v>
      </c>
      <c r="BG20" s="22">
        <f t="shared" si="7"/>
        <v>164.16133458057877</v>
      </c>
      <c r="BH20" s="62">
        <f t="shared" si="8"/>
        <v>441.60577902502325</v>
      </c>
      <c r="BI20" s="62">
        <f ca="1">AVERAGE(OFFSET($BH$3,0,0,'Données projet'!$E$11+1,1))-AVERAGE(OFFSET($H$3,0,0,'Données projet'!$E$11+1,1))</f>
        <v>370.79299728190904</v>
      </c>
      <c r="BJ20" s="62">
        <f t="shared" si="38"/>
        <v>404.95703400805775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13.8</v>
      </c>
      <c r="BY20" s="13">
        <f>IF('Données projet'!$A$114&gt;35,BY19+BX20-CG19,IF(A20&lt;'Données projet'!$A$114,$BV$205^A20,IF(A20='Données projet'!$A$114,'Données projet'!$B$114,BY19+BX20-CG19)))</f>
        <v>92.6</v>
      </c>
      <c r="BZ20" s="14">
        <f>BY20*VLOOKUP('Données projet'!$B$12,Paramètres!$A$1:$I$89,3,0)*VLOOKUP('Données projet'!$B$12,Paramètres!$A$1:$I$89,5,0)</f>
        <v>73.672560000000004</v>
      </c>
      <c r="CA20" s="14">
        <f t="shared" si="39"/>
        <v>20.582751720906476</v>
      </c>
      <c r="CB20" s="22">
        <f t="shared" si="10"/>
        <v>164.16133458057877</v>
      </c>
      <c r="CC20" s="62">
        <f t="shared" si="11"/>
        <v>441.60577902502325</v>
      </c>
      <c r="CD20" s="62">
        <f ca="1">AVERAGE(OFFSET($CC$3,0,0,'Données projet'!$E$12+1,1))-AVERAGE(OFFSET($H$3,0,0,'Données projet'!$E$12+1,1))</f>
        <v>370.79299728190904</v>
      </c>
      <c r="CE20" s="62">
        <f t="shared" si="40"/>
        <v>404.95703400805775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11.6</v>
      </c>
      <c r="CT20" s="13">
        <f>IF('Données projet'!$A$140&gt;35,CT19+CS20-DB19,IF(A20&lt;'Données projet'!$A$140,$CQ$205^A20,IF(A20='Données projet'!$A$140,'Données projet'!$B$140,CT19+CS20-DB19)))</f>
        <v>60.2</v>
      </c>
      <c r="CU20" s="18">
        <f>CT20*VLOOKUP('Données projet'!$B$13,Paramètres!$A$1:$I$89,3,0)*VLOOKUP('Données projet'!$B$13,Paramètres!$A$1:$I$89,5,0)</f>
        <v>52.590720000000005</v>
      </c>
      <c r="CV20" s="14">
        <f t="shared" si="41"/>
        <v>15.280844641052973</v>
      </c>
      <c r="CW20" s="22">
        <f t="shared" si="13"/>
        <v>118.20964174983392</v>
      </c>
      <c r="CX20" s="62">
        <f t="shared" si="14"/>
        <v>395.65408619427836</v>
      </c>
      <c r="CY20" s="62">
        <f ca="1">AVERAGE(OFFSET($CX$3,0,0,'Données projet'!$E$13+1,1))-AVERAGE(OFFSET($H$3,0,0,'Données projet'!$E$13+1,1))</f>
        <v>339.58437495284466</v>
      </c>
      <c r="CZ20" s="62">
        <f t="shared" si="42"/>
        <v>371.26234252426531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13.8</v>
      </c>
      <c r="DO20" s="13">
        <f>IF('Données projet'!$A$166&gt;35,DO19+DN20-DW19,IF(A20&lt;'Données projet'!$A$166,$DL$205^A20,IF(A20='Données projet'!$A$166,'Données projet'!$B$166,DO19+DN20-DW19)))</f>
        <v>92.6</v>
      </c>
      <c r="DP20" s="18">
        <f>DO20*VLOOKUP('Données projet'!$B$14,Paramètres!$A$1:$I$89,3,0)*VLOOKUP('Données projet'!$B$14,Paramètres!$A$1:$I$89,5,0)</f>
        <v>67.894319999999993</v>
      </c>
      <c r="DQ20" s="14">
        <f t="shared" si="43"/>
        <v>19.149617121326546</v>
      </c>
      <c r="DR20" s="22">
        <f t="shared" si="16"/>
        <v>151.60152381964372</v>
      </c>
      <c r="DS20" s="62">
        <f t="shared" si="17"/>
        <v>429.04596826408817</v>
      </c>
      <c r="DT20" s="62">
        <f ca="1">AVERAGE(OFFSET($DS$3,0,0,'Données projet'!$E$14+1,1))-AVERAGE(OFFSET($H$3,0,0,'Données projet'!$E$14+1,1))</f>
        <v>344.63665697794022</v>
      </c>
      <c r="DU20" s="62">
        <f t="shared" si="44"/>
        <v>376.72762011188041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7.4358974358974361</v>
      </c>
      <c r="EJ20" s="13">
        <f>IF('Données projet'!$A$192&gt;35,EJ19+EI20-ER19,IF(A20&lt;'Données projet'!$A$192,$EG$205^A20,IF(A20='Données projet'!$A$192,'Données projet'!$B$192,EJ19+EI20-ER19)))</f>
        <v>62.307692307692307</v>
      </c>
      <c r="EK20" s="18">
        <f>EJ20*VLOOKUP('Données projet'!$B$15,Paramètres!$A$1:$I$89,3,0)*VLOOKUP('Données projet'!$B$15,Paramètres!$A$1:$I$89,5,0)</f>
        <v>59.292000000000002</v>
      </c>
      <c r="EL20" s="14">
        <f t="shared" si="45"/>
        <v>16.98914092257921</v>
      </c>
      <c r="EM20" s="22">
        <f t="shared" si="19"/>
        <v>132.85632044015878</v>
      </c>
      <c r="EN20" s="62">
        <f t="shared" si="20"/>
        <v>410.30076488460327</v>
      </c>
      <c r="EO20" s="62">
        <f ca="1">AVERAGE(OFFSET($EN$3,0,0,'Données projet'!$E$15+1,1))-AVERAGE(OFFSET($H$3,0,0,'Données projet'!$E$15+1,1))</f>
        <v>406.24139966722936</v>
      </c>
      <c r="EP20" s="62">
        <f t="shared" si="46"/>
        <v>295.95724296920577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3.65</v>
      </c>
      <c r="FE20" s="13">
        <f>IF('Données projet'!$A$218&gt;35,FE19+FD20-FM19,IF(A20&lt;'Données projet'!$A$218,$FB$205^A20,IF(A20='Données projet'!$A$218,'Données projet'!$B$218,FE19+FD20-FM19)))</f>
        <v>38.355215845858055</v>
      </c>
      <c r="FF20" s="18">
        <f>FE20*VLOOKUP('Données projet'!$B$16,Paramètres!$A$1:$I$89,3,0)*VLOOKUP('Données projet'!$B$16,Paramètres!$A$1:$I$89,5,0)</f>
        <v>37.097164766113913</v>
      </c>
      <c r="FG20" s="14">
        <f t="shared" si="47"/>
        <v>11.225909174194843</v>
      </c>
      <c r="FH20" s="22">
        <f t="shared" si="22"/>
        <v>84.162687112704418</v>
      </c>
      <c r="FI20" s="62">
        <f t="shared" si="23"/>
        <v>361.60713155714888</v>
      </c>
      <c r="FJ20" s="62">
        <f ca="1">AVERAGE(OFFSET($FI$3,0,0,'Données projet'!$E$16+1,1))-AVERAGE(OFFSET($H$3,0,0,'Données projet'!$E$16+1,1))</f>
        <v>540.83352418045502</v>
      </c>
      <c r="FK20" s="62">
        <f t="shared" si="48"/>
        <v>294.45557293177131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9.6</v>
      </c>
      <c r="FZ20" s="13">
        <f>IF('Données projet'!$A$244&gt;35,FZ19+FY20-GH19,IF(A20&lt;'Données projet'!$A$244,$FW$205^A20,IF(A20='Données projet'!$A$244,'Données projet'!$B$244,FZ19+FY20-GH19)))</f>
        <v>59.2</v>
      </c>
      <c r="GA20" s="18">
        <f>FZ20*VLOOKUP('Données projet'!$B$17,Paramètres!$A$1:$I$89,3,0)*VLOOKUP('Données projet'!$B$17,Paramètres!$A$1:$I$89,5,0)</f>
        <v>46.176000000000002</v>
      </c>
      <c r="GB20" s="14">
        <f t="shared" si="49"/>
        <v>13.621668778540489</v>
      </c>
      <c r="GC20" s="22">
        <f t="shared" si="25"/>
        <v>104.14760645595801</v>
      </c>
      <c r="GD20" s="62">
        <f t="shared" si="26"/>
        <v>381.59205090040246</v>
      </c>
      <c r="GE20" s="62">
        <f ca="1">AVERAGE(OFFSET($GD$3,0,0,'Données projet'!$E$17+1,1))-AVERAGE(OFFSET($H$3,0,0,'Données projet'!$E$17+1,1))</f>
        <v>292.57482726862594</v>
      </c>
      <c r="GF20" s="62">
        <f t="shared" si="50"/>
        <v>283.48738729114024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9.3589743589743595</v>
      </c>
      <c r="GU20" s="13">
        <f>IF('Données projet'!$A$270&gt;35,GU19+GT20-HC19,IF(A20&lt;'Données projet'!$A$270,$GR$205^A20,IF(A20='Données projet'!$A$270,'Données projet'!$B$270,GU19+GT20-HC19)))</f>
        <v>67.435897435897445</v>
      </c>
      <c r="GV20" s="18">
        <f>GU20*VLOOKUP('Données projet'!$B$18,Paramètres!$A$1:$I$89,3,0)*VLOOKUP('Données projet'!$B$18,Paramètres!$A$1:$I$89,5,0)</f>
        <v>45.236000000000004</v>
      </c>
      <c r="GW20" s="14">
        <f t="shared" si="51"/>
        <v>13.376358504258876</v>
      </c>
      <c r="GX20" s="22">
        <f t="shared" si="28"/>
        <v>102.0831910615842</v>
      </c>
      <c r="GY20" s="62">
        <f t="shared" si="29"/>
        <v>379.52763550602867</v>
      </c>
      <c r="GZ20" s="62">
        <f ca="1">AVERAGE(OFFSET($GY$3,0,0,'Données projet'!$E$18+1,1))-AVERAGE(OFFSET($H$3,0,0,'Données projet'!$E$18+1,1))</f>
        <v>343.33067866534634</v>
      </c>
      <c r="HA20" s="62">
        <f t="shared" si="52"/>
        <v>261.91036689641402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508.77990078889337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48.197945815010499</v>
      </c>
      <c r="AK21" s="14">
        <f t="shared" si="35"/>
        <v>14.147381769152156</v>
      </c>
      <c r="AL21" s="22">
        <f t="shared" si="4"/>
        <v>108.58477887574996</v>
      </c>
      <c r="AM21" s="62">
        <f t="shared" si="5"/>
        <v>387.25144554241666</v>
      </c>
      <c r="AN21" s="62">
        <f ca="1">AVERAGE(OFFSET($AM$3,0,0,'Données projet'!$E$10+1,1))-AVERAGE(OFFSET($H$3,0,0,'Données projet'!$E$10+1,1))</f>
        <v>564.84596170333884</v>
      </c>
      <c r="AO21" s="62">
        <f t="shared" si="36"/>
        <v>306.61893266146666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13.8</v>
      </c>
      <c r="BD21" s="13">
        <f>IF('Données projet'!$A$88&gt;35,BD20+BC21-BL20,IF(A21&lt;'Données projet'!$A$88,$BA$205^A21,IF(A21='Données projet'!$A$88,'Données projet'!$B$88,BD20+BC21-BL20)))</f>
        <v>106.39999999999999</v>
      </c>
      <c r="BE21" s="14">
        <f>BD21*VLOOKUP('Données projet'!$B$11,Paramètres!$A$1:$I$89,3,0)*VLOOKUP('Données projet'!$B$11,Paramètres!$A$1:$I$89,5,0)</f>
        <v>84.651839999999993</v>
      </c>
      <c r="BF21" s="14">
        <f t="shared" si="37"/>
        <v>23.2708148096863</v>
      </c>
      <c r="BG21" s="22">
        <f t="shared" si="7"/>
        <v>187.96529046020362</v>
      </c>
      <c r="BH21" s="62">
        <f t="shared" si="8"/>
        <v>466.6319571268703</v>
      </c>
      <c r="BI21" s="62">
        <f ca="1">AVERAGE(OFFSET($BH$3,0,0,'Données projet'!$E$11+1,1))-AVERAGE(OFFSET($H$3,0,0,'Données projet'!$E$11+1,1))</f>
        <v>370.79299728190904</v>
      </c>
      <c r="BJ21" s="62">
        <f t="shared" si="38"/>
        <v>404.95703400805775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13.8</v>
      </c>
      <c r="BY21" s="13">
        <f>IF('Données projet'!$A$114&gt;35,BY20+BX21-CG20,IF(A21&lt;'Données projet'!$A$114,$BV$205^A21,IF(A21='Données projet'!$A$114,'Données projet'!$B$114,BY20+BX21-CG20)))</f>
        <v>106.39999999999999</v>
      </c>
      <c r="BZ21" s="14">
        <f>BY21*VLOOKUP('Données projet'!$B$12,Paramètres!$A$1:$I$89,3,0)*VLOOKUP('Données projet'!$B$12,Paramètres!$A$1:$I$89,5,0)</f>
        <v>84.651839999999993</v>
      </c>
      <c r="CA21" s="14">
        <f t="shared" si="39"/>
        <v>23.2708148096863</v>
      </c>
      <c r="CB21" s="22">
        <f t="shared" si="10"/>
        <v>187.96529046020362</v>
      </c>
      <c r="CC21" s="62">
        <f t="shared" si="11"/>
        <v>466.6319571268703</v>
      </c>
      <c r="CD21" s="62">
        <f ca="1">AVERAGE(OFFSET($CC$3,0,0,'Données projet'!$E$12+1,1))-AVERAGE(OFFSET($H$3,0,0,'Données projet'!$E$12+1,1))</f>
        <v>370.79299728190904</v>
      </c>
      <c r="CE21" s="62">
        <f t="shared" si="40"/>
        <v>404.95703400805775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11.6</v>
      </c>
      <c r="CT21" s="13">
        <f>IF('Données projet'!$A$140&gt;35,CT20+CS21-DB20,IF(A21&lt;'Données projet'!$A$140,$CQ$205^A21,IF(A21='Données projet'!$A$140,'Données projet'!$B$140,CT20+CS21-DB20)))</f>
        <v>71.8</v>
      </c>
      <c r="CU21" s="18">
        <f>CT21*VLOOKUP('Données projet'!$B$13,Paramètres!$A$1:$I$89,3,0)*VLOOKUP('Données projet'!$B$13,Paramètres!$A$1:$I$89,5,0)</f>
        <v>62.724480000000014</v>
      </c>
      <c r="CV21" s="14">
        <f t="shared" si="41"/>
        <v>17.855312666216573</v>
      </c>
      <c r="CW21" s="22">
        <f t="shared" si="13"/>
        <v>140.34313889366055</v>
      </c>
      <c r="CX21" s="62">
        <f t="shared" si="14"/>
        <v>419.00980556032721</v>
      </c>
      <c r="CY21" s="62">
        <f ca="1">AVERAGE(OFFSET($CX$3,0,0,'Données projet'!$E$13+1,1))-AVERAGE(OFFSET($H$3,0,0,'Données projet'!$E$13+1,1))</f>
        <v>339.58437495284466</v>
      </c>
      <c r="CZ21" s="62">
        <f t="shared" si="42"/>
        <v>371.26234252426531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13.8</v>
      </c>
      <c r="DO21" s="13">
        <f>IF('Données projet'!$A$166&gt;35,DO20+DN21-DW20,IF(A21&lt;'Données projet'!$A$166,$DL$205^A21,IF(A21='Données projet'!$A$166,'Données projet'!$B$166,DO20+DN21-DW20)))</f>
        <v>106.39999999999999</v>
      </c>
      <c r="DP21" s="18">
        <f>DO21*VLOOKUP('Données projet'!$B$14,Paramètres!$A$1:$I$89,3,0)*VLOOKUP('Données projet'!$B$14,Paramètres!$A$1:$I$89,5,0)</f>
        <v>78.012479999999996</v>
      </c>
      <c r="DQ21" s="14">
        <f t="shared" si="43"/>
        <v>21.650515914942144</v>
      </c>
      <c r="DR21" s="22">
        <f t="shared" si="16"/>
        <v>173.57971788519089</v>
      </c>
      <c r="DS21" s="62">
        <f t="shared" si="17"/>
        <v>452.24638455185755</v>
      </c>
      <c r="DT21" s="62">
        <f ca="1">AVERAGE(OFFSET($DS$3,0,0,'Données projet'!$E$14+1,1))-AVERAGE(OFFSET($H$3,0,0,'Données projet'!$E$14+1,1))</f>
        <v>344.63665697794022</v>
      </c>
      <c r="DU21" s="62">
        <f t="shared" si="44"/>
        <v>376.72762011188041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7.4358974358974361</v>
      </c>
      <c r="EJ21" s="13">
        <f>IF('Données projet'!$A$192&gt;35,EJ20+EI21-ER20,IF(A21&lt;'Données projet'!$A$192,$EG$205^A21,IF(A21='Données projet'!$A$192,'Données projet'!$B$192,EJ20+EI21-ER20)))</f>
        <v>69.743589743589737</v>
      </c>
      <c r="EK21" s="18">
        <f>EJ21*VLOOKUP('Données projet'!$B$15,Paramètres!$A$1:$I$89,3,0)*VLOOKUP('Données projet'!$B$15,Paramètres!$A$1:$I$89,5,0)</f>
        <v>66.367999999999995</v>
      </c>
      <c r="EL21" s="14">
        <f t="shared" si="45"/>
        <v>18.768726208561709</v>
      </c>
      <c r="EM21" s="22">
        <f t="shared" si="19"/>
        <v>148.27979814657829</v>
      </c>
      <c r="EN21" s="62">
        <f t="shared" si="20"/>
        <v>426.94646481324497</v>
      </c>
      <c r="EO21" s="62">
        <f ca="1">AVERAGE(OFFSET($EN$3,0,0,'Données projet'!$E$15+1,1))-AVERAGE(OFFSET($H$3,0,0,'Données projet'!$E$15+1,1))</f>
        <v>406.24139966722936</v>
      </c>
      <c r="EP21" s="62">
        <f t="shared" si="46"/>
        <v>295.95724296920577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3.65</v>
      </c>
      <c r="FE21" s="13">
        <f>IF('Données projet'!$A$218&gt;35,FE20+FD21-FM20,IF(A21&lt;'Données projet'!$A$218,$FB$205^A21,IF(A21='Données projet'!$A$218,'Données projet'!$B$218,FE20+FD21-FM20)))</f>
        <v>47.532490941824946</v>
      </c>
      <c r="FF21" s="18">
        <f>FE21*VLOOKUP('Données projet'!$B$16,Paramètres!$A$1:$I$89,3,0)*VLOOKUP('Données projet'!$B$16,Paramètres!$A$1:$I$89,5,0)</f>
        <v>45.973425238933089</v>
      </c>
      <c r="FG21" s="14">
        <f t="shared" si="47"/>
        <v>13.56885270616201</v>
      </c>
      <c r="FH21" s="22">
        <f t="shared" si="22"/>
        <v>103.70280075437397</v>
      </c>
      <c r="FI21" s="62">
        <f t="shared" si="23"/>
        <v>382.36946742104067</v>
      </c>
      <c r="FJ21" s="62">
        <f ca="1">AVERAGE(OFFSET($FI$3,0,0,'Données projet'!$E$16+1,1))-AVERAGE(OFFSET($H$3,0,0,'Données projet'!$E$16+1,1))</f>
        <v>540.83352418045502</v>
      </c>
      <c r="FK21" s="62">
        <f t="shared" si="48"/>
        <v>294.45557293177131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9.6</v>
      </c>
      <c r="FZ21" s="13">
        <f>IF('Données projet'!$A$244&gt;35,FZ20+FY21-GH20,IF(A21&lt;'Données projet'!$A$244,$FW$205^A21,IF(A21='Données projet'!$A$244,'Données projet'!$B$244,FZ20+FY21-GH20)))</f>
        <v>68.8</v>
      </c>
      <c r="GA21" s="18">
        <f>FZ21*VLOOKUP('Données projet'!$B$17,Paramètres!$A$1:$I$89,3,0)*VLOOKUP('Données projet'!$B$17,Paramètres!$A$1:$I$89,5,0)</f>
        <v>53.664000000000001</v>
      </c>
      <c r="GB21" s="14">
        <f t="shared" si="49"/>
        <v>15.556073979202782</v>
      </c>
      <c r="GC21" s="22">
        <f t="shared" si="25"/>
        <v>120.55829551377816</v>
      </c>
      <c r="GD21" s="62">
        <f t="shared" si="26"/>
        <v>399.22496218044483</v>
      </c>
      <c r="GE21" s="62">
        <f ca="1">AVERAGE(OFFSET($GD$3,0,0,'Données projet'!$E$17+1,1))-AVERAGE(OFFSET($H$3,0,0,'Données projet'!$E$17+1,1))</f>
        <v>292.57482726862594</v>
      </c>
      <c r="GF21" s="62">
        <f t="shared" si="50"/>
        <v>283.48738729114024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9.3589743589743595</v>
      </c>
      <c r="GU21" s="13">
        <f>IF('Données projet'!$A$270&gt;35,GU20+GT21-HC20,IF(A21&lt;'Données projet'!$A$270,$GR$205^A21,IF(A21='Données projet'!$A$270,'Données projet'!$B$270,GU20+GT21-HC20)))</f>
        <v>76.79487179487181</v>
      </c>
      <c r="GV21" s="18">
        <f>GU21*VLOOKUP('Données projet'!$B$18,Paramètres!$A$1:$I$89,3,0)*VLOOKUP('Données projet'!$B$18,Paramètres!$A$1:$I$89,5,0)</f>
        <v>51.514000000000003</v>
      </c>
      <c r="GW21" s="14">
        <f t="shared" si="51"/>
        <v>15.004075355320875</v>
      </c>
      <c r="GX21" s="22">
        <f t="shared" si="28"/>
        <v>115.85231457718385</v>
      </c>
      <c r="GY21" s="62">
        <f t="shared" si="29"/>
        <v>394.51898124385053</v>
      </c>
      <c r="GZ21" s="62">
        <f ca="1">AVERAGE(OFFSET($GY$3,0,0,'Données projet'!$E$18+1,1))-AVERAGE(OFFSET($H$3,0,0,'Données projet'!$E$18+1,1))</f>
        <v>343.33067866534634</v>
      </c>
      <c r="HA21" s="62">
        <f t="shared" si="52"/>
        <v>261.91036689641402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508.77990078889337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59.730296710452635</v>
      </c>
      <c r="AK22" s="14">
        <f t="shared" si="35"/>
        <v>17.100061689857345</v>
      </c>
      <c r="AL22" s="22">
        <f t="shared" si="4"/>
        <v>133.81287421387319</v>
      </c>
      <c r="AM22" s="62">
        <f t="shared" si="5"/>
        <v>413.70176310276202</v>
      </c>
      <c r="AN22" s="62">
        <f ca="1">AVERAGE(OFFSET($AM$3,0,0,'Données projet'!$E$10+1,1))-AVERAGE(OFFSET($H$3,0,0,'Données projet'!$E$10+1,1))</f>
        <v>564.84596170333884</v>
      </c>
      <c r="AO22" s="62">
        <f t="shared" si="36"/>
        <v>306.61893266146666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13.8</v>
      </c>
      <c r="BD22" s="13">
        <f>IF('Données projet'!$A$88&gt;35,BD21+BC22-BL21,IF(A22&lt;'Données projet'!$A$88,$BA$205^A22,IF(A22='Données projet'!$A$88,'Données projet'!$B$88,BD21+BC22-BL21)))</f>
        <v>120.19999999999999</v>
      </c>
      <c r="BE22" s="14">
        <f>BD22*VLOOKUP('Données projet'!$B$11,Paramètres!$A$1:$I$89,3,0)*VLOOKUP('Données projet'!$B$11,Paramètres!$A$1:$I$89,5,0)</f>
        <v>95.631119999999996</v>
      </c>
      <c r="BF22" s="14">
        <f t="shared" si="37"/>
        <v>25.918481589892259</v>
      </c>
      <c r="BG22" s="22">
        <f t="shared" si="7"/>
        <v>211.698889435729</v>
      </c>
      <c r="BH22" s="62">
        <f t="shared" si="8"/>
        <v>491.58777832461783</v>
      </c>
      <c r="BI22" s="62">
        <f ca="1">AVERAGE(OFFSET($BH$3,0,0,'Données projet'!$E$11+1,1))-AVERAGE(OFFSET($H$3,0,0,'Données projet'!$E$11+1,1))</f>
        <v>370.79299728190904</v>
      </c>
      <c r="BJ22" s="62">
        <f t="shared" si="38"/>
        <v>404.95703400805775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13.8</v>
      </c>
      <c r="BY22" s="13">
        <f>IF('Données projet'!$A$114&gt;35,BY21+BX22-CG21,IF(A22&lt;'Données projet'!$A$114,$BV$205^A22,IF(A22='Données projet'!$A$114,'Données projet'!$B$114,BY21+BX22-CG21)))</f>
        <v>120.19999999999999</v>
      </c>
      <c r="BZ22" s="14">
        <f>BY22*VLOOKUP('Données projet'!$B$12,Paramètres!$A$1:$I$89,3,0)*VLOOKUP('Données projet'!$B$12,Paramètres!$A$1:$I$89,5,0)</f>
        <v>95.631119999999996</v>
      </c>
      <c r="CA22" s="14">
        <f t="shared" si="39"/>
        <v>25.918481589892259</v>
      </c>
      <c r="CB22" s="22">
        <f t="shared" si="10"/>
        <v>211.698889435729</v>
      </c>
      <c r="CC22" s="62">
        <f t="shared" si="11"/>
        <v>491.58777832461783</v>
      </c>
      <c r="CD22" s="62">
        <f ca="1">AVERAGE(OFFSET($CC$3,0,0,'Données projet'!$E$12+1,1))-AVERAGE(OFFSET($H$3,0,0,'Données projet'!$E$12+1,1))</f>
        <v>370.79299728190904</v>
      </c>
      <c r="CE22" s="62">
        <f t="shared" si="40"/>
        <v>404.95703400805775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11.6</v>
      </c>
      <c r="CT22" s="13">
        <f>IF('Données projet'!$A$140&gt;35,CT21+CS22-DB21,IF(A22&lt;'Données projet'!$A$140,$CQ$205^A22,IF(A22='Données projet'!$A$140,'Données projet'!$B$140,CT21+CS22-DB21)))</f>
        <v>83.399999999999991</v>
      </c>
      <c r="CU22" s="18">
        <f>CT22*VLOOKUP('Données projet'!$B$13,Paramètres!$A$1:$I$89,3,0)*VLOOKUP('Données projet'!$B$13,Paramètres!$A$1:$I$89,5,0)</f>
        <v>72.858240000000009</v>
      </c>
      <c r="CV22" s="14">
        <f t="shared" si="41"/>
        <v>20.381597602335066</v>
      </c>
      <c r="CW22" s="22">
        <f t="shared" si="13"/>
        <v>162.39271715740026</v>
      </c>
      <c r="CX22" s="62">
        <f t="shared" si="14"/>
        <v>442.28160604628908</v>
      </c>
      <c r="CY22" s="62">
        <f ca="1">AVERAGE(OFFSET($CX$3,0,0,'Données projet'!$E$13+1,1))-AVERAGE(OFFSET($H$3,0,0,'Données projet'!$E$13+1,1))</f>
        <v>339.58437495284466</v>
      </c>
      <c r="CZ22" s="62">
        <f t="shared" si="42"/>
        <v>371.26234252426531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13.8</v>
      </c>
      <c r="DO22" s="13">
        <f>IF('Données projet'!$A$166&gt;35,DO21+DN22-DW21,IF(A22&lt;'Données projet'!$A$166,$DL$205^A22,IF(A22='Données projet'!$A$166,'Données projet'!$B$166,DO21+DN22-DW21)))</f>
        <v>120.19999999999999</v>
      </c>
      <c r="DP22" s="18">
        <f>DO22*VLOOKUP('Données projet'!$B$14,Paramètres!$A$1:$I$89,3,0)*VLOOKUP('Données projet'!$B$14,Paramètres!$A$1:$I$89,5,0)</f>
        <v>88.130639999999985</v>
      </c>
      <c r="DQ22" s="14">
        <f t="shared" si="43"/>
        <v>24.113831111728981</v>
      </c>
      <c r="DR22" s="22">
        <f t="shared" si="16"/>
        <v>195.49245385292795</v>
      </c>
      <c r="DS22" s="62">
        <f t="shared" si="17"/>
        <v>475.38134274181681</v>
      </c>
      <c r="DT22" s="62">
        <f ca="1">AVERAGE(OFFSET($DS$3,0,0,'Données projet'!$E$14+1,1))-AVERAGE(OFFSET($H$3,0,0,'Données projet'!$E$14+1,1))</f>
        <v>344.63665697794022</v>
      </c>
      <c r="DU22" s="62">
        <f t="shared" si="44"/>
        <v>376.72762011188041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7.4358974358974361</v>
      </c>
      <c r="EJ22" s="13">
        <f>IF('Données projet'!$A$192&gt;35,EJ21+EI22-ER21,IF(A22&lt;'Données projet'!$A$192,$EG$205^A22,IF(A22='Données projet'!$A$192,'Données projet'!$B$192,EJ21+EI22-ER21)))</f>
        <v>77.179487179487168</v>
      </c>
      <c r="EK22" s="18">
        <f>EJ22*VLOOKUP('Données projet'!$B$15,Paramètres!$A$1:$I$89,3,0)*VLOOKUP('Données projet'!$B$15,Paramètres!$A$1:$I$89,5,0)</f>
        <v>73.443999999999988</v>
      </c>
      <c r="EL22" s="14">
        <f t="shared" si="45"/>
        <v>20.526318854777685</v>
      </c>
      <c r="EM22" s="22">
        <f t="shared" si="19"/>
        <v>163.66497200540442</v>
      </c>
      <c r="EN22" s="62">
        <f t="shared" si="20"/>
        <v>443.55386089429328</v>
      </c>
      <c r="EO22" s="62">
        <f ca="1">AVERAGE(OFFSET($EN$3,0,0,'Données projet'!$E$15+1,1))-AVERAGE(OFFSET($H$3,0,0,'Données projet'!$E$15+1,1))</f>
        <v>406.24139966722936</v>
      </c>
      <c r="EP22" s="62">
        <f t="shared" si="46"/>
        <v>295.95724296920577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3.65</v>
      </c>
      <c r="FE22" s="13">
        <f>IF('Données projet'!$A$218&gt;35,FE21+FD22-FM21,IF(A22&lt;'Données projet'!$A$218,$FB$205^A22,IF(A22='Données projet'!$A$218,'Données projet'!$B$218,FE21+FD22-FM21)))</f>
        <v>58.90561805764559</v>
      </c>
      <c r="FF22" s="18">
        <f>FE22*VLOOKUP('Données projet'!$B$16,Paramètres!$A$1:$I$89,3,0)*VLOOKUP('Données projet'!$B$16,Paramètres!$A$1:$I$89,5,0)</f>
        <v>56.973513785354818</v>
      </c>
      <c r="FG22" s="14">
        <f t="shared" si="47"/>
        <v>16.400788649238766</v>
      </c>
      <c r="FH22" s="22">
        <f t="shared" si="22"/>
        <v>127.7935767402505</v>
      </c>
      <c r="FI22" s="62">
        <f t="shared" si="23"/>
        <v>407.68246562913936</v>
      </c>
      <c r="FJ22" s="62">
        <f ca="1">AVERAGE(OFFSET($FI$3,0,0,'Données projet'!$E$16+1,1))-AVERAGE(OFFSET($H$3,0,0,'Données projet'!$E$16+1,1))</f>
        <v>540.83352418045502</v>
      </c>
      <c r="FK22" s="62">
        <f t="shared" si="48"/>
        <v>294.45557293177131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9.6</v>
      </c>
      <c r="FZ22" s="13">
        <f>IF('Données projet'!$A$244&gt;35,FZ21+FY22-GH21,IF(A22&lt;'Données projet'!$A$244,$FW$205^A22,IF(A22='Données projet'!$A$244,'Données projet'!$B$244,FZ21+FY22-GH21)))</f>
        <v>78.399999999999991</v>
      </c>
      <c r="GA22" s="18">
        <f>FZ22*VLOOKUP('Données projet'!$B$17,Paramètres!$A$1:$I$89,3,0)*VLOOKUP('Données projet'!$B$17,Paramètres!$A$1:$I$89,5,0)</f>
        <v>61.151999999999994</v>
      </c>
      <c r="GB22" s="14">
        <f t="shared" si="49"/>
        <v>17.459207591071255</v>
      </c>
      <c r="GC22" s="22">
        <f t="shared" si="25"/>
        <v>136.9145198877824</v>
      </c>
      <c r="GD22" s="62">
        <f t="shared" si="26"/>
        <v>416.80340877667129</v>
      </c>
      <c r="GE22" s="62">
        <f ca="1">AVERAGE(OFFSET($GD$3,0,0,'Données projet'!$E$17+1,1))-AVERAGE(OFFSET($H$3,0,0,'Données projet'!$E$17+1,1))</f>
        <v>292.57482726862594</v>
      </c>
      <c r="GF22" s="62">
        <f t="shared" si="50"/>
        <v>283.48738729114024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9.3589743589743595</v>
      </c>
      <c r="GU22" s="13">
        <f>IF('Données projet'!$A$270&gt;35,GU21+GT22-HC21,IF(A22&lt;'Données projet'!$A$270,$GR$205^A22,IF(A22='Données projet'!$A$270,'Données projet'!$B$270,GU21+GT22-HC21)))</f>
        <v>86.153846153846175</v>
      </c>
      <c r="GV22" s="18">
        <f>GU22*VLOOKUP('Données projet'!$B$18,Paramètres!$A$1:$I$89,3,0)*VLOOKUP('Données projet'!$B$18,Paramètres!$A$1:$I$89,5,0)</f>
        <v>57.792000000000016</v>
      </c>
      <c r="GW22" s="14">
        <f t="shared" si="51"/>
        <v>16.608804995380293</v>
      </c>
      <c r="GX22" s="22">
        <f t="shared" si="28"/>
        <v>129.58140203362072</v>
      </c>
      <c r="GY22" s="62">
        <f t="shared" si="29"/>
        <v>409.47029092250955</v>
      </c>
      <c r="GZ22" s="62">
        <f ca="1">AVERAGE(OFFSET($GY$3,0,0,'Données projet'!$E$18+1,1))-AVERAGE(OFFSET($H$3,0,0,'Données projet'!$E$18+1,1))</f>
        <v>343.33067866534634</v>
      </c>
      <c r="HA22" s="62">
        <f t="shared" si="52"/>
        <v>261.91036689641402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508.77990078889337</v>
      </c>
      <c r="T23" s="62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74.022000000000006</v>
      </c>
      <c r="AK23" s="14">
        <f t="shared" si="35"/>
        <v>20.668991235856851</v>
      </c>
      <c r="AL23" s="22">
        <f t="shared" si="4"/>
        <v>164.92014306911736</v>
      </c>
      <c r="AM23" s="62">
        <f t="shared" si="5"/>
        <v>446.03125418022853</v>
      </c>
      <c r="AN23" s="62">
        <f ca="1">AVERAGE(OFFSET($AM$3,0,0,'Données projet'!$E$10+1,1))-AVERAGE(OFFSET($H$3,0,0,'Données projet'!$E$10+1,1))</f>
        <v>564.84596170333884</v>
      </c>
      <c r="AO23" s="62">
        <f t="shared" si="36"/>
        <v>306.61893266146666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134</v>
      </c>
      <c r="BB23" s="13">
        <f>VLOOKUP(A23,'Données projet'!$A$87:$I$107,9,0)</f>
        <v>13.8</v>
      </c>
      <c r="BC23" s="13">
        <f t="array" ref="BC23">INDEX(BB:BB,MIN(IF(ISNUMBER(BB23:BB219),ROW(BB23:BB219),"")))</f>
        <v>13.8</v>
      </c>
      <c r="BD23" s="13">
        <f>IF('Données projet'!$A$88&gt;35,BD22+BC23-BL22,IF(A23&lt;'Données projet'!$A$88,$BA$205^A23,IF(A23='Données projet'!$A$88,'Données projet'!$B$88,BD22+BC23-BL22)))</f>
        <v>134</v>
      </c>
      <c r="BE23" s="14">
        <f>BD23*VLOOKUP('Données projet'!$B$11,Paramètres!$A$1:$I$89,3,0)*VLOOKUP('Données projet'!$B$11,Paramètres!$A$1:$I$89,5,0)</f>
        <v>106.61040000000001</v>
      </c>
      <c r="BF23" s="14">
        <f t="shared" si="37"/>
        <v>28.530919434405451</v>
      </c>
      <c r="BG23" s="22">
        <f t="shared" si="7"/>
        <v>235.3711313482562</v>
      </c>
      <c r="BH23" s="62">
        <f t="shared" si="8"/>
        <v>516.4822424593674</v>
      </c>
      <c r="BI23" s="62">
        <f ca="1">AVERAGE(OFFSET($BH$3,0,0,'Données projet'!$E$11+1,1))-AVERAGE(OFFSET($H$3,0,0,'Données projet'!$E$11+1,1))</f>
        <v>370.79299728190904</v>
      </c>
      <c r="BJ23" s="62">
        <f t="shared" si="38"/>
        <v>404.95703400805775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134</v>
      </c>
      <c r="BW23" s="13">
        <f>VLOOKUP(A23,'Données projet'!$A$113:$I$133,9,0)</f>
        <v>13.8</v>
      </c>
      <c r="BX23" s="13">
        <f t="array" ref="BX23">INDEX(BW:BW,MIN(IF(ISNUMBER(BW23:BW219),ROW(BW23:BW219),"")))</f>
        <v>13.8</v>
      </c>
      <c r="BY23" s="13">
        <f>IF('Données projet'!$A$114&gt;35,BY22+BX23-CG22,IF(A23&lt;'Données projet'!$A$114,$BV$205^A23,IF(A23='Données projet'!$A$114,'Données projet'!$B$114,BY22+BX23-CG22)))</f>
        <v>134</v>
      </c>
      <c r="BZ23" s="14">
        <f>BY23*VLOOKUP('Données projet'!$B$12,Paramètres!$A$1:$I$89,3,0)*VLOOKUP('Données projet'!$B$12,Paramètres!$A$1:$I$89,5,0)</f>
        <v>106.61040000000001</v>
      </c>
      <c r="CA23" s="14">
        <f t="shared" si="39"/>
        <v>28.530919434405451</v>
      </c>
      <c r="CB23" s="22">
        <f t="shared" si="10"/>
        <v>235.3711313482562</v>
      </c>
      <c r="CC23" s="62">
        <f t="shared" si="11"/>
        <v>516.4822424593674</v>
      </c>
      <c r="CD23" s="62">
        <f ca="1">AVERAGE(OFFSET($CC$3,0,0,'Données projet'!$E$12+1,1))-AVERAGE(OFFSET($H$3,0,0,'Données projet'!$E$12+1,1))</f>
        <v>370.79299728190904</v>
      </c>
      <c r="CE23" s="62">
        <f t="shared" si="40"/>
        <v>404.95703400805775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67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95</v>
      </c>
      <c r="CR23" s="13">
        <f>VLOOKUP(A23,'Données projet'!$A$139:$I$159,9,0)</f>
        <v>11.6</v>
      </c>
      <c r="CS23" s="13">
        <f t="array" ref="CS23">INDEX(CR:CR,MIN(IF(ISNUMBER(CR23:CR219),ROW(CR23:CR219),"")))</f>
        <v>11.6</v>
      </c>
      <c r="CT23" s="13">
        <f>IF('Données projet'!$A$140&gt;35,CT22+CS23-DB22,IF(A23&lt;'Données projet'!$A$140,$CQ$205^A23,IF(A23='Données projet'!$A$140,'Données projet'!$B$140,CT22+CS23-DB22)))</f>
        <v>94.999999999999986</v>
      </c>
      <c r="CU23" s="18">
        <f>CT23*VLOOKUP('Données projet'!$B$13,Paramètres!$A$1:$I$89,3,0)*VLOOKUP('Données projet'!$B$13,Paramètres!$A$1:$I$89,5,0)</f>
        <v>82.99199999999999</v>
      </c>
      <c r="CV23" s="14">
        <f t="shared" si="41"/>
        <v>22.867173045817303</v>
      </c>
      <c r="CW23" s="22">
        <f t="shared" si="13"/>
        <v>184.37139305479846</v>
      </c>
      <c r="CX23" s="62">
        <f t="shared" si="14"/>
        <v>465.48250416590963</v>
      </c>
      <c r="CY23" s="62">
        <f ca="1">AVERAGE(OFFSET($CX$3,0,0,'Données projet'!$E$13+1,1))-AVERAGE(OFFSET($H$3,0,0,'Données projet'!$E$13+1,1))</f>
        <v>339.58437495284466</v>
      </c>
      <c r="CZ23" s="62">
        <f t="shared" si="42"/>
        <v>371.26234252426531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43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134</v>
      </c>
      <c r="DM23" s="13">
        <f>VLOOKUP(A23,'Données projet'!$A$165:$I$185,9,0)</f>
        <v>13.8</v>
      </c>
      <c r="DN23" s="13">
        <f t="array" ref="DN23">INDEX(DM:DM,MIN(IF(ISNUMBER(DM23:DM219),ROW(DM23:DM219),"")))</f>
        <v>13.8</v>
      </c>
      <c r="DO23" s="13">
        <f>IF('Données projet'!$A$166&gt;35,DO22+DN23-DW22,IF(A23&lt;'Données projet'!$A$166,$DL$205^A23,IF(A23='Données projet'!$A$166,'Données projet'!$B$166,DO22+DN23-DW22)))</f>
        <v>134</v>
      </c>
      <c r="DP23" s="18">
        <f>DO23*VLOOKUP('Données projet'!$B$14,Paramètres!$A$1:$I$89,3,0)*VLOOKUP('Données projet'!$B$14,Paramètres!$A$1:$I$89,5,0)</f>
        <v>98.248800000000003</v>
      </c>
      <c r="DQ23" s="14">
        <f t="shared" si="43"/>
        <v>26.544370291039833</v>
      </c>
      <c r="DR23" s="22">
        <f t="shared" si="16"/>
        <v>217.34810492356107</v>
      </c>
      <c r="DS23" s="62">
        <f t="shared" si="17"/>
        <v>498.45921603467218</v>
      </c>
      <c r="DT23" s="62">
        <f ca="1">AVERAGE(OFFSET($DS$3,0,0,'Données projet'!$E$14+1,1))-AVERAGE(OFFSET($H$3,0,0,'Données projet'!$E$14+1,1))</f>
        <v>344.63665697794022</v>
      </c>
      <c r="DU23" s="62">
        <f t="shared" si="44"/>
        <v>376.72762011188041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67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84.615384615384613</v>
      </c>
      <c r="EH23" s="13">
        <f>VLOOKUP(A23,'Données projet'!$A$191:$I$211,9,0)</f>
        <v>7.4358974358974361</v>
      </c>
      <c r="EI23" s="13">
        <f t="array" ref="EI23">INDEX(EH:EH,MIN(IF(ISNUMBER(EH23:EH219),ROW(EH23:EH219),"")))</f>
        <v>7.4358974358974361</v>
      </c>
      <c r="EJ23" s="13">
        <f>IF('Données projet'!$A$192&gt;35,EJ22+EI23-ER22,IF(A23&lt;'Données projet'!$A$192,$EG$205^A23,IF(A23='Données projet'!$A$192,'Données projet'!$B$192,EJ22+EI23-ER22)))</f>
        <v>84.615384615384599</v>
      </c>
      <c r="EK23" s="18">
        <f>EJ23*VLOOKUP('Données projet'!$B$15,Paramètres!$A$1:$I$89,3,0)*VLOOKUP('Données projet'!$B$15,Paramètres!$A$1:$I$89,5,0)</f>
        <v>80.519999999999982</v>
      </c>
      <c r="EL23" s="14">
        <f t="shared" si="45"/>
        <v>22.264278849845564</v>
      </c>
      <c r="EM23" s="22">
        <f t="shared" si="19"/>
        <v>179.01595233014768</v>
      </c>
      <c r="EN23" s="62">
        <f t="shared" si="20"/>
        <v>460.12706344125883</v>
      </c>
      <c r="EO23" s="62">
        <f ca="1">AVERAGE(OFFSET($EN$3,0,0,'Données projet'!$E$15+1,1))-AVERAGE(OFFSET($H$3,0,0,'Données projet'!$E$15+1,1))</f>
        <v>406.24139966722936</v>
      </c>
      <c r="EP23" s="62">
        <f t="shared" si="46"/>
        <v>295.95724296920577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73</v>
      </c>
      <c r="FC23" s="13">
        <f>VLOOKUP(A23,'Données projet'!$A$217:$I$237,9,0)</f>
        <v>3.65</v>
      </c>
      <c r="FD23" s="13">
        <f t="array" ref="FD23">INDEX(FC:FC,MIN(IF(ISNUMBER(FC23:FC219),ROW(FC23:FC219),"")))</f>
        <v>3.65</v>
      </c>
      <c r="FE23" s="13">
        <f>IF('Données projet'!$A$218&gt;35,FE22+FD23-FM22,IF(A23&lt;'Données projet'!$A$218,$FB$205^A23,IF(A23='Données projet'!$A$218,'Données projet'!$B$218,FE22+FD23-FM22)))</f>
        <v>73</v>
      </c>
      <c r="FF23" s="18">
        <f>FE23*VLOOKUP('Données projet'!$B$16,Paramètres!$A$1:$I$89,3,0)*VLOOKUP('Données projet'!$B$16,Paramètres!$A$1:$I$89,5,0)</f>
        <v>70.605599999999995</v>
      </c>
      <c r="FG23" s="14">
        <f t="shared" si="47"/>
        <v>19.823773913828742</v>
      </c>
      <c r="FH23" s="22">
        <f t="shared" si="22"/>
        <v>157.49782623325171</v>
      </c>
      <c r="FI23" s="62">
        <f t="shared" si="23"/>
        <v>438.60893734436286</v>
      </c>
      <c r="FJ23" s="62">
        <f ca="1">AVERAGE(OFFSET($FI$3,0,0,'Données projet'!$E$16+1,1))-AVERAGE(OFFSET($H$3,0,0,'Données projet'!$E$16+1,1))</f>
        <v>540.83352418045502</v>
      </c>
      <c r="FK23" s="62">
        <f t="shared" si="48"/>
        <v>294.45557293177131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88</v>
      </c>
      <c r="FX23" s="13">
        <f>VLOOKUP(A23,'Données projet'!$A$243:$I$263,9,0)</f>
        <v>9.6</v>
      </c>
      <c r="FY23" s="13">
        <f t="array" ref="FY23">INDEX(FX:FX,MIN(IF(ISNUMBER(FX23:FX219),ROW(FX23:FX219),"")))</f>
        <v>9.6</v>
      </c>
      <c r="FZ23" s="13">
        <f>IF('Données projet'!$A$244&gt;35,FZ22+FY23-GH22,IF(A23&lt;'Données projet'!$A$244,$FW$205^A23,IF(A23='Données projet'!$A$244,'Données projet'!$B$244,FZ22+FY23-GH22)))</f>
        <v>87.999999999999986</v>
      </c>
      <c r="GA23" s="18">
        <f>FZ23*VLOOKUP('Données projet'!$B$17,Paramètres!$A$1:$I$89,3,0)*VLOOKUP('Données projet'!$B$17,Paramètres!$A$1:$I$89,5,0)</f>
        <v>68.639999999999986</v>
      </c>
      <c r="GB23" s="14">
        <f t="shared" si="49"/>
        <v>19.335336956640202</v>
      </c>
      <c r="GC23" s="22">
        <f t="shared" si="25"/>
        <v>153.22371186614834</v>
      </c>
      <c r="GD23" s="62">
        <f t="shared" si="26"/>
        <v>434.33482297725948</v>
      </c>
      <c r="GE23" s="62">
        <f ca="1">AVERAGE(OFFSET($GD$3,0,0,'Données projet'!$E$17+1,1))-AVERAGE(OFFSET($H$3,0,0,'Données projet'!$E$17+1,1))</f>
        <v>292.57482726862594</v>
      </c>
      <c r="GF23" s="62">
        <f t="shared" si="50"/>
        <v>283.48738729114024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95.512820512820511</v>
      </c>
      <c r="GS23" s="13">
        <f>VLOOKUP(A23,'Données projet'!$A$269:$I$289,9,0)</f>
        <v>9.3589743589743595</v>
      </c>
      <c r="GT23" s="13">
        <f t="array" ref="GT23">INDEX(GS:GS,MIN(IF(ISNUMBER(GS23:GS219),ROW(GS23:GS219),"")))</f>
        <v>9.3589743589743595</v>
      </c>
      <c r="GU23" s="13">
        <f>IF('Données projet'!$A$270&gt;35,GU22+GT23-HC22,IF(A23&lt;'Données projet'!$A$270,$GR$205^A23,IF(A23='Données projet'!$A$270,'Données projet'!$B$270,GU22+GT23-HC22)))</f>
        <v>95.512820512820539</v>
      </c>
      <c r="GV23" s="18">
        <f>GU23*VLOOKUP('Données projet'!$B$18,Paramètres!$A$1:$I$89,3,0)*VLOOKUP('Données projet'!$B$18,Paramètres!$A$1:$I$89,5,0)</f>
        <v>64.070000000000022</v>
      </c>
      <c r="GW23" s="14">
        <f t="shared" si="51"/>
        <v>18.193329243637638</v>
      </c>
      <c r="GX23" s="22">
        <f t="shared" si="28"/>
        <v>143.27529843266893</v>
      </c>
      <c r="GY23" s="62">
        <f t="shared" si="29"/>
        <v>424.38640954378008</v>
      </c>
      <c r="GZ23" s="62">
        <f ca="1">AVERAGE(OFFSET($GY$3,0,0,'Données projet'!$E$18+1,1))-AVERAGE(OFFSET($H$3,0,0,'Données projet'!$E$18+1,1))</f>
        <v>343.33067866534634</v>
      </c>
      <c r="HA23" s="62">
        <f t="shared" si="52"/>
        <v>261.91036689641402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444.08896575162873</v>
      </c>
      <c r="S24" s="62">
        <f ca="1">AVERAGE(OFFSET($R$3,0,0,'Données projet'!$E$9+1,1))-AVERAGE(OFFSET($H$3,0,0,'Données projet'!$E$9+1,1))</f>
        <v>508.77990078889337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projet'!$B$10,Paramètres!$A$1:$I$89,3,0)*VLOOKUP('Données projet'!$B$10,Paramètres!$A$1:$I$89,5,0)</f>
        <v>81.322800000000001</v>
      </c>
      <c r="AK24" s="14">
        <f t="shared" si="35"/>
        <v>22.460306254032997</v>
      </c>
      <c r="AL24" s="22">
        <f t="shared" si="4"/>
        <v>180.75557672577415</v>
      </c>
      <c r="AM24" s="62">
        <f t="shared" si="5"/>
        <v>463.08891005910743</v>
      </c>
      <c r="AN24" s="62">
        <f ca="1">AVERAGE(OFFSET($AM$3,0,0,'Données projet'!$E$10+1,1))-AVERAGE(OFFSET($H$3,0,0,'Données projet'!$E$10+1,1))</f>
        <v>564.84596170333884</v>
      </c>
      <c r="AO24" s="62">
        <f t="shared" si="36"/>
        <v>306.61893266146666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</v>
      </c>
      <c r="BD24" s="13">
        <f>IF('Données projet'!$A$88&gt;35,BD23+BC24-BL23,IF(A24&lt;'Données projet'!$A$88,$BA$205^A24,IF(A24='Données projet'!$A$88,'Données projet'!$B$88,BD23+BC24-BL23)))</f>
        <v>81.800000000000011</v>
      </c>
      <c r="BE24" s="14">
        <f>BD24*VLOOKUP('Données projet'!$B$11,Paramètres!$A$1:$I$89,3,0)*VLOOKUP('Données projet'!$B$11,Paramètres!$A$1:$I$89,5,0)</f>
        <v>65.080080000000009</v>
      </c>
      <c r="BF24" s="14">
        <f t="shared" si="37"/>
        <v>18.44653442602603</v>
      </c>
      <c r="BG24" s="22">
        <f t="shared" si="7"/>
        <v>145.47552012532867</v>
      </c>
      <c r="BH24" s="62">
        <f t="shared" si="8"/>
        <v>427.80885345866199</v>
      </c>
      <c r="BI24" s="62">
        <f ca="1">AVERAGE(OFFSET($BH$3,0,0,'Données projet'!$E$11+1,1))-AVERAGE(OFFSET($H$3,0,0,'Données projet'!$E$11+1,1))</f>
        <v>370.79299728190904</v>
      </c>
      <c r="BJ24" s="62">
        <f t="shared" si="38"/>
        <v>404.95703400805775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14.8</v>
      </c>
      <c r="BY24" s="13">
        <f>IF('Données projet'!$A$114&gt;35,BY23+BX24-CG23,IF(A24&lt;'Données projet'!$A$114,$BV$205^A24,IF(A24='Données projet'!$A$114,'Données projet'!$B$114,BY23+BX24-CG23)))</f>
        <v>81.800000000000011</v>
      </c>
      <c r="BZ24" s="14">
        <f>BY24*VLOOKUP('Données projet'!$B$12,Paramètres!$A$1:$I$89,3,0)*VLOOKUP('Données projet'!$B$12,Paramètres!$A$1:$I$89,5,0)</f>
        <v>65.080080000000009</v>
      </c>
      <c r="CA24" s="14">
        <f t="shared" si="39"/>
        <v>18.44653442602603</v>
      </c>
      <c r="CB24" s="22">
        <f t="shared" si="10"/>
        <v>145.47552012532867</v>
      </c>
      <c r="CC24" s="62">
        <f t="shared" si="11"/>
        <v>427.80885345866199</v>
      </c>
      <c r="CD24" s="62">
        <f ca="1">AVERAGE(OFFSET($CC$3,0,0,'Données projet'!$E$12+1,1))-AVERAGE(OFFSET($H$3,0,0,'Données projet'!$E$12+1,1))</f>
        <v>370.79299728190904</v>
      </c>
      <c r="CE24" s="62">
        <f t="shared" si="40"/>
        <v>404.95703400805775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12.6</v>
      </c>
      <c r="CT24" s="13">
        <f>IF('Données projet'!$A$140&gt;35,CT23+CS24-DB23,IF(A24&lt;'Données projet'!$A$140,$CQ$205^A24,IF(A24='Données projet'!$A$140,'Données projet'!$B$140,CT23+CS24-DB23)))</f>
        <v>64.59999999999998</v>
      </c>
      <c r="CU24" s="18">
        <f>CT24*VLOOKUP('Données projet'!$B$13,Paramètres!$A$1:$I$89,3,0)*VLOOKUP('Données projet'!$B$13,Paramètres!$A$1:$I$89,5,0)</f>
        <v>56.434559999999991</v>
      </c>
      <c r="CV24" s="14">
        <f t="shared" si="41"/>
        <v>16.26362505907256</v>
      </c>
      <c r="CW24" s="22">
        <f t="shared" si="13"/>
        <v>126.61600564455136</v>
      </c>
      <c r="CX24" s="62">
        <f t="shared" si="14"/>
        <v>408.94933897788468</v>
      </c>
      <c r="CY24" s="62">
        <f ca="1">AVERAGE(OFFSET($CX$3,0,0,'Données projet'!$E$13+1,1))-AVERAGE(OFFSET($H$3,0,0,'Données projet'!$E$13+1,1))</f>
        <v>339.58437495284466</v>
      </c>
      <c r="CZ24" s="62">
        <f t="shared" si="42"/>
        <v>371.26234252426531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14.8</v>
      </c>
      <c r="DO24" s="13">
        <f>IF('Données projet'!$A$166&gt;35,DO23+DN24-DW23,IF(A24&lt;'Données projet'!$A$166,$DL$205^A24,IF(A24='Données projet'!$A$166,'Données projet'!$B$166,DO23+DN24-DW23)))</f>
        <v>81.800000000000011</v>
      </c>
      <c r="DP24" s="18">
        <f>DO24*VLOOKUP('Données projet'!$B$14,Paramètres!$A$1:$I$89,3,0)*VLOOKUP('Données projet'!$B$14,Paramètres!$A$1:$I$89,5,0)</f>
        <v>59.975760000000008</v>
      </c>
      <c r="DQ24" s="14">
        <f t="shared" si="43"/>
        <v>17.162140235844557</v>
      </c>
      <c r="DR24" s="22">
        <f t="shared" si="16"/>
        <v>134.34850957742927</v>
      </c>
      <c r="DS24" s="62">
        <f t="shared" si="17"/>
        <v>416.68184291076261</v>
      </c>
      <c r="DT24" s="62">
        <f ca="1">AVERAGE(OFFSET($DS$3,0,0,'Données projet'!$E$14+1,1))-AVERAGE(OFFSET($H$3,0,0,'Données projet'!$E$14+1,1))</f>
        <v>344.63665697794022</v>
      </c>
      <c r="DU24" s="62">
        <f t="shared" si="44"/>
        <v>376.72762011188041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7.5641025641025639</v>
      </c>
      <c r="EJ24" s="13">
        <f>IF('Données projet'!$A$192&gt;35,EJ23+EI24-ER23,IF(A24&lt;'Données projet'!$A$192,$EG$205^A24,IF(A24='Données projet'!$A$192,'Données projet'!$B$192,EJ23+EI24-ER23)))</f>
        <v>92.179487179487168</v>
      </c>
      <c r="EK24" s="18">
        <f>EJ24*VLOOKUP('Données projet'!$B$15,Paramètres!$A$1:$I$89,3,0)*VLOOKUP('Données projet'!$B$15,Paramètres!$A$1:$I$89,5,0)</f>
        <v>87.717999999999989</v>
      </c>
      <c r="EL24" s="14">
        <f t="shared" si="45"/>
        <v>24.014041608889237</v>
      </c>
      <c r="EM24" s="22">
        <f t="shared" si="19"/>
        <v>194.59997246881539</v>
      </c>
      <c r="EN24" s="62">
        <f t="shared" si="20"/>
        <v>476.93330580214871</v>
      </c>
      <c r="EO24" s="62">
        <f ca="1">AVERAGE(OFFSET($EN$3,0,0,'Données projet'!$E$15+1,1))-AVERAGE(OFFSET($H$3,0,0,'Données projet'!$E$15+1,1))</f>
        <v>406.24139966722936</v>
      </c>
      <c r="EP24" s="62">
        <f t="shared" si="46"/>
        <v>295.95724296920577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7.2</v>
      </c>
      <c r="FE24" s="13">
        <f>IF('Données projet'!$A$218&gt;35,FE23+FD24-FM23,IF(A24&lt;'Données projet'!$A$218,$FB$205^A24,IF(A24='Données projet'!$A$218,'Données projet'!$B$218,FE23+FD24-FM23)))</f>
        <v>80.2</v>
      </c>
      <c r="FF24" s="18">
        <f>FE24*VLOOKUP('Données projet'!$B$16,Paramètres!$A$1:$I$89,3,0)*VLOOKUP('Données projet'!$B$16,Paramètres!$A$1:$I$89,5,0)</f>
        <v>77.569440000000014</v>
      </c>
      <c r="FG24" s="14">
        <f t="shared" si="47"/>
        <v>21.541836664136856</v>
      </c>
      <c r="FH24" s="22">
        <f t="shared" si="22"/>
        <v>172.61880685670505</v>
      </c>
      <c r="FI24" s="62">
        <f t="shared" si="23"/>
        <v>454.95214019003834</v>
      </c>
      <c r="FJ24" s="62">
        <f ca="1">AVERAGE(OFFSET($FI$3,0,0,'Données projet'!$E$16+1,1))-AVERAGE(OFFSET($H$3,0,0,'Données projet'!$E$16+1,1))</f>
        <v>540.83352418045502</v>
      </c>
      <c r="FK24" s="62">
        <f t="shared" si="48"/>
        <v>294.45557293177131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10.6</v>
      </c>
      <c r="FZ24" s="13">
        <f>IF('Données projet'!$A$244&gt;35,FZ23+FY24-GH23,IF(A24&lt;'Données projet'!$A$244,$FW$205^A24,IF(A24='Données projet'!$A$244,'Données projet'!$B$244,FZ23+FY24-GH23)))</f>
        <v>98.59999999999998</v>
      </c>
      <c r="GA24" s="18">
        <f>FZ24*VLOOKUP('Données projet'!$B$17,Paramètres!$A$1:$I$89,3,0)*VLOOKUP('Données projet'!$B$17,Paramètres!$A$1:$I$89,5,0)</f>
        <v>76.907999999999987</v>
      </c>
      <c r="GB24" s="14">
        <f t="shared" si="49"/>
        <v>21.379448490435635</v>
      </c>
      <c r="GC24" s="22">
        <f t="shared" si="25"/>
        <v>171.18397278750868</v>
      </c>
      <c r="GD24" s="62">
        <f t="shared" si="26"/>
        <v>453.51730612084202</v>
      </c>
      <c r="GE24" s="62">
        <f ca="1">AVERAGE(OFFSET($GD$3,0,0,'Données projet'!$E$17+1,1))-AVERAGE(OFFSET($H$3,0,0,'Données projet'!$E$17+1,1))</f>
        <v>292.57482726862594</v>
      </c>
      <c r="GF24" s="62">
        <f t="shared" si="50"/>
        <v>283.48738729114024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9.2307692307692299</v>
      </c>
      <c r="GU24" s="13">
        <f>IF('Données projet'!$A$270&gt;35,GU23+GT24-HC23,IF(A24&lt;'Données projet'!$A$270,$GR$205^A24,IF(A24='Données projet'!$A$270,'Données projet'!$B$270,GU23+GT24-HC23)))</f>
        <v>104.74358974358977</v>
      </c>
      <c r="GV24" s="18">
        <f>GU24*VLOOKUP('Données projet'!$B$18,Paramètres!$A$1:$I$89,3,0)*VLOOKUP('Données projet'!$B$18,Paramètres!$A$1:$I$89,5,0)</f>
        <v>70.262000000000015</v>
      </c>
      <c r="GW24" s="14">
        <f t="shared" si="51"/>
        <v>19.738507251987695</v>
      </c>
      <c r="GX24" s="22">
        <f t="shared" si="28"/>
        <v>156.75088346387858</v>
      </c>
      <c r="GY24" s="62">
        <f t="shared" si="29"/>
        <v>439.08421679721187</v>
      </c>
      <c r="GZ24" s="62">
        <f ca="1">AVERAGE(OFFSET($GY$3,0,0,'Données projet'!$E$18+1,1))-AVERAGE(OFFSET($H$3,0,0,'Données projet'!$E$18+1,1))</f>
        <v>343.33067866534634</v>
      </c>
      <c r="HA24" s="62">
        <f t="shared" si="52"/>
        <v>261.91036689641402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459.44906838783072</v>
      </c>
      <c r="S25" s="62">
        <f ca="1">AVERAGE(OFFSET($R$3,0,0,'Données projet'!$E$9+1,1))-AVERAGE(OFFSET($H$3,0,0,'Données projet'!$E$9+1,1))</f>
        <v>508.77990078889337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projet'!$B$10,Paramètres!$A$1:$I$89,3,0)*VLOOKUP('Données projet'!$B$10,Paramètres!$A$1:$I$89,5,0)</f>
        <v>88.62360000000001</v>
      </c>
      <c r="AK25" s="14">
        <f t="shared" si="35"/>
        <v>24.232973298845781</v>
      </c>
      <c r="AL25" s="22">
        <f t="shared" si="4"/>
        <v>196.55853182882308</v>
      </c>
      <c r="AM25" s="62">
        <f t="shared" si="5"/>
        <v>480.11408738437865</v>
      </c>
      <c r="AN25" s="62">
        <f ca="1">AVERAGE(OFFSET($AM$3,0,0,'Données projet'!$E$10+1,1))-AVERAGE(OFFSET($H$3,0,0,'Données projet'!$E$10+1,1))</f>
        <v>564.84596170333884</v>
      </c>
      <c r="AO25" s="62">
        <f t="shared" si="36"/>
        <v>306.61893266146666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</v>
      </c>
      <c r="BD25" s="13">
        <f>IF('Données projet'!$A$88&gt;35,BD24+BC25-BL24,IF(A25&lt;'Données projet'!$A$88,$BA$205^A25,IF(A25='Données projet'!$A$88,'Données projet'!$B$88,BD24+BC25-BL24)))</f>
        <v>96.600000000000009</v>
      </c>
      <c r="BE25" s="14">
        <f>BD25*VLOOKUP('Données projet'!$B$11,Paramètres!$A$1:$I$89,3,0)*VLOOKUP('Données projet'!$B$11,Paramètres!$A$1:$I$89,5,0)</f>
        <v>76.854960000000005</v>
      </c>
      <c r="BF25" s="14">
        <f t="shared" si="37"/>
        <v>21.366419773799993</v>
      </c>
      <c r="BG25" s="22">
        <f t="shared" si="7"/>
        <v>171.06890310603498</v>
      </c>
      <c r="BH25" s="62">
        <f t="shared" si="8"/>
        <v>454.62445866159055</v>
      </c>
      <c r="BI25" s="62">
        <f ca="1">AVERAGE(OFFSET($BH$3,0,0,'Données projet'!$E$11+1,1))-AVERAGE(OFFSET($H$3,0,0,'Données projet'!$E$11+1,1))</f>
        <v>370.79299728190904</v>
      </c>
      <c r="BJ25" s="62">
        <f t="shared" si="38"/>
        <v>404.95703400805775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14.8</v>
      </c>
      <c r="BY25" s="13">
        <f>IF('Données projet'!$A$114&gt;35,BY24+BX25-CG24,IF(A25&lt;'Données projet'!$A$114,$BV$205^A25,IF(A25='Données projet'!$A$114,'Données projet'!$B$114,BY24+BX25-CG24)))</f>
        <v>96.600000000000009</v>
      </c>
      <c r="BZ25" s="14">
        <f>BY25*VLOOKUP('Données projet'!$B$12,Paramètres!$A$1:$I$89,3,0)*VLOOKUP('Données projet'!$B$12,Paramètres!$A$1:$I$89,5,0)</f>
        <v>76.854960000000005</v>
      </c>
      <c r="CA25" s="14">
        <f t="shared" si="39"/>
        <v>21.366419773799993</v>
      </c>
      <c r="CB25" s="22">
        <f t="shared" si="10"/>
        <v>171.06890310603498</v>
      </c>
      <c r="CC25" s="62">
        <f t="shared" si="11"/>
        <v>454.62445866159055</v>
      </c>
      <c r="CD25" s="62">
        <f ca="1">AVERAGE(OFFSET($CC$3,0,0,'Données projet'!$E$12+1,1))-AVERAGE(OFFSET($H$3,0,0,'Données projet'!$E$12+1,1))</f>
        <v>370.79299728190904</v>
      </c>
      <c r="CE25" s="62">
        <f t="shared" si="40"/>
        <v>404.95703400805775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12.6</v>
      </c>
      <c r="CT25" s="13">
        <f>IF('Données projet'!$A$140&gt;35,CT24+CS25-DB24,IF(A25&lt;'Données projet'!$A$140,$CQ$205^A25,IF(A25='Données projet'!$A$140,'Données projet'!$B$140,CT24+CS25-DB24)))</f>
        <v>77.199999999999974</v>
      </c>
      <c r="CU25" s="18">
        <f>CT25*VLOOKUP('Données projet'!$B$13,Paramètres!$A$1:$I$89,3,0)*VLOOKUP('Données projet'!$B$13,Paramètres!$A$1:$I$89,5,0)</f>
        <v>67.441919999999996</v>
      </c>
      <c r="CV25" s="14">
        <f t="shared" si="41"/>
        <v>19.036826299015036</v>
      </c>
      <c r="CW25" s="22">
        <f t="shared" si="13"/>
        <v>150.61714980411784</v>
      </c>
      <c r="CX25" s="62">
        <f t="shared" si="14"/>
        <v>434.17270535967339</v>
      </c>
      <c r="CY25" s="62">
        <f ca="1">AVERAGE(OFFSET($CX$3,0,0,'Données projet'!$E$13+1,1))-AVERAGE(OFFSET($H$3,0,0,'Données projet'!$E$13+1,1))</f>
        <v>339.58437495284466</v>
      </c>
      <c r="CZ25" s="62">
        <f t="shared" si="42"/>
        <v>371.26234252426531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14.8</v>
      </c>
      <c r="DO25" s="13">
        <f>IF('Données projet'!$A$166&gt;35,DO24+DN25-DW24,IF(A25&lt;'Données projet'!$A$166,$DL$205^A25,IF(A25='Données projet'!$A$166,'Données projet'!$B$166,DO24+DN25-DW24)))</f>
        <v>96.600000000000009</v>
      </c>
      <c r="DP25" s="18">
        <f>DO25*VLOOKUP('Données projet'!$B$14,Paramètres!$A$1:$I$89,3,0)*VLOOKUP('Données projet'!$B$14,Paramètres!$A$1:$I$89,5,0)</f>
        <v>70.827120000000008</v>
      </c>
      <c r="DQ25" s="14">
        <f t="shared" si="43"/>
        <v>19.878719982140034</v>
      </c>
      <c r="DR25" s="22">
        <f t="shared" si="16"/>
        <v>157.97933796889393</v>
      </c>
      <c r="DS25" s="62">
        <f t="shared" si="17"/>
        <v>441.53489352444944</v>
      </c>
      <c r="DT25" s="62">
        <f ca="1">AVERAGE(OFFSET($DS$3,0,0,'Données projet'!$E$14+1,1))-AVERAGE(OFFSET($H$3,0,0,'Données projet'!$E$14+1,1))</f>
        <v>344.63665697794022</v>
      </c>
      <c r="DU25" s="62">
        <f t="shared" si="44"/>
        <v>376.72762011188041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7.5641025641025639</v>
      </c>
      <c r="EJ25" s="13">
        <f>IF('Données projet'!$A$192&gt;35,EJ24+EI25-ER24,IF(A25&lt;'Données projet'!$A$192,$EG$205^A25,IF(A25='Données projet'!$A$192,'Données projet'!$B$192,EJ24+EI25-ER24)))</f>
        <v>99.743589743589737</v>
      </c>
      <c r="EK25" s="18">
        <f>EJ25*VLOOKUP('Données projet'!$B$15,Paramètres!$A$1:$I$89,3,0)*VLOOKUP('Données projet'!$B$15,Paramètres!$A$1:$I$89,5,0)</f>
        <v>94.915999999999997</v>
      </c>
      <c r="EL25" s="14">
        <f t="shared" si="45"/>
        <v>25.747151184602235</v>
      </c>
      <c r="EM25" s="22">
        <f t="shared" si="19"/>
        <v>210.1549883131822</v>
      </c>
      <c r="EN25" s="62">
        <f t="shared" si="20"/>
        <v>493.71054386873777</v>
      </c>
      <c r="EO25" s="62">
        <f ca="1">AVERAGE(OFFSET($EN$3,0,0,'Données projet'!$E$15+1,1))-AVERAGE(OFFSET($H$3,0,0,'Données projet'!$E$15+1,1))</f>
        <v>406.24139966722936</v>
      </c>
      <c r="EP25" s="62">
        <f t="shared" si="46"/>
        <v>295.95724296920577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7.2</v>
      </c>
      <c r="FE25" s="13">
        <f>IF('Données projet'!$A$218&gt;35,FE24+FD25-FM24,IF(A25&lt;'Données projet'!$A$218,$FB$205^A25,IF(A25='Données projet'!$A$218,'Données projet'!$B$218,FE24+FD25-FM24)))</f>
        <v>87.4</v>
      </c>
      <c r="FF25" s="18">
        <f>FE25*VLOOKUP('Données projet'!$B$16,Paramètres!$A$1:$I$89,3,0)*VLOOKUP('Données projet'!$B$16,Paramètres!$A$1:$I$89,5,0)</f>
        <v>84.533280000000005</v>
      </c>
      <c r="FG25" s="14">
        <f t="shared" si="47"/>
        <v>23.242014012893971</v>
      </c>
      <c r="FH25" s="22">
        <f t="shared" si="22"/>
        <v>187.70863707245701</v>
      </c>
      <c r="FI25" s="62">
        <f t="shared" si="23"/>
        <v>471.26419262801255</v>
      </c>
      <c r="FJ25" s="62">
        <f ca="1">AVERAGE(OFFSET($FI$3,0,0,'Données projet'!$E$16+1,1))-AVERAGE(OFFSET($H$3,0,0,'Données projet'!$E$16+1,1))</f>
        <v>540.83352418045502</v>
      </c>
      <c r="FK25" s="62">
        <f t="shared" si="48"/>
        <v>294.45557293177131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10.6</v>
      </c>
      <c r="FZ25" s="13">
        <f>IF('Données projet'!$A$244&gt;35,FZ24+FY25-GH24,IF(A25&lt;'Données projet'!$A$244,$FW$205^A25,IF(A25='Données projet'!$A$244,'Données projet'!$B$244,FZ24+FY25-GH24)))</f>
        <v>109.19999999999997</v>
      </c>
      <c r="GA25" s="18">
        <f>FZ25*VLOOKUP('Données projet'!$B$17,Paramètres!$A$1:$I$89,3,0)*VLOOKUP('Données projet'!$B$17,Paramètres!$A$1:$I$89,5,0)</f>
        <v>85.175999999999988</v>
      </c>
      <c r="GB25" s="14">
        <f t="shared" si="49"/>
        <v>23.398088487656434</v>
      </c>
      <c r="GC25" s="22">
        <f t="shared" si="25"/>
        <v>189.09987078266826</v>
      </c>
      <c r="GD25" s="62">
        <f t="shared" si="26"/>
        <v>472.65542633822383</v>
      </c>
      <c r="GE25" s="62">
        <f ca="1">AVERAGE(OFFSET($GD$3,0,0,'Données projet'!$E$17+1,1))-AVERAGE(OFFSET($H$3,0,0,'Données projet'!$E$17+1,1))</f>
        <v>292.57482726862594</v>
      </c>
      <c r="GF25" s="62">
        <f t="shared" si="50"/>
        <v>283.48738729114024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9.2307692307692299</v>
      </c>
      <c r="GU25" s="13">
        <f>IF('Données projet'!$A$270&gt;35,GU24+GT25-HC24,IF(A25&lt;'Données projet'!$A$270,$GR$205^A25,IF(A25='Données projet'!$A$270,'Données projet'!$B$270,GU24+GT25-HC24)))</f>
        <v>113.97435897435899</v>
      </c>
      <c r="GV25" s="18">
        <f>GU25*VLOOKUP('Données projet'!$B$18,Paramètres!$A$1:$I$89,3,0)*VLOOKUP('Données projet'!$B$18,Paramètres!$A$1:$I$89,5,0)</f>
        <v>76.454000000000008</v>
      </c>
      <c r="GW25" s="14">
        <f t="shared" si="51"/>
        <v>21.267894258297272</v>
      </c>
      <c r="GX25" s="22">
        <f t="shared" si="28"/>
        <v>170.1989658332011</v>
      </c>
      <c r="GY25" s="62">
        <f t="shared" si="29"/>
        <v>453.75452138875664</v>
      </c>
      <c r="GZ25" s="62">
        <f ca="1">AVERAGE(OFFSET($GY$3,0,0,'Données projet'!$E$18+1,1))-AVERAGE(OFFSET($H$3,0,0,'Données projet'!$E$18+1,1))</f>
        <v>343.33067866534634</v>
      </c>
      <c r="HA25" s="62">
        <f t="shared" si="52"/>
        <v>261.91036689641402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474.78249759155403</v>
      </c>
      <c r="S26" s="62">
        <f ca="1">AVERAGE(OFFSET($R$3,0,0,'Données projet'!$E$9+1,1))-AVERAGE(OFFSET($H$3,0,0,'Données projet'!$E$9+1,1))</f>
        <v>508.77990078889337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projet'!$B$10,Paramètres!$A$1:$I$89,3,0)*VLOOKUP('Données projet'!$B$10,Paramètres!$A$1:$I$89,5,0)</f>
        <v>95.92440000000002</v>
      </c>
      <c r="AK26" s="14">
        <f t="shared" si="35"/>
        <v>25.988703240473907</v>
      </c>
      <c r="AL26" s="22">
        <f t="shared" si="4"/>
        <v>212.33198814382544</v>
      </c>
      <c r="AM26" s="62">
        <f t="shared" si="5"/>
        <v>497.10976592160318</v>
      </c>
      <c r="AN26" s="62">
        <f ca="1">AVERAGE(OFFSET($AM$3,0,0,'Données projet'!$E$10+1,1))-AVERAGE(OFFSET($H$3,0,0,'Données projet'!$E$10+1,1))</f>
        <v>564.84596170333884</v>
      </c>
      <c r="AO26" s="62">
        <f t="shared" si="36"/>
        <v>306.61893266146666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</v>
      </c>
      <c r="BD26" s="13">
        <f>IF('Données projet'!$A$88&gt;35,BD25+BC26-BL25,IF(A26&lt;'Données projet'!$A$88,$BA$205^A26,IF(A26='Données projet'!$A$88,'Données projet'!$B$88,BD25+BC26-BL25)))</f>
        <v>111.4</v>
      </c>
      <c r="BE26" s="14">
        <f>BD26*VLOOKUP('Données projet'!$B$11,Paramètres!$A$1:$I$89,3,0)*VLOOKUP('Données projet'!$B$11,Paramètres!$A$1:$I$89,5,0)</f>
        <v>88.629840000000016</v>
      </c>
      <c r="BF26" s="14">
        <f t="shared" si="37"/>
        <v>24.234480932534542</v>
      </c>
      <c r="BG26" s="22">
        <f t="shared" si="7"/>
        <v>196.57202562416433</v>
      </c>
      <c r="BH26" s="62">
        <f t="shared" si="8"/>
        <v>481.3498034019421</v>
      </c>
      <c r="BI26" s="62">
        <f ca="1">AVERAGE(OFFSET($BH$3,0,0,'Données projet'!$E$11+1,1))-AVERAGE(OFFSET($H$3,0,0,'Données projet'!$E$11+1,1))</f>
        <v>370.79299728190904</v>
      </c>
      <c r="BJ26" s="62">
        <f t="shared" si="38"/>
        <v>404.95703400805775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14.8</v>
      </c>
      <c r="BY26" s="13">
        <f>IF('Données projet'!$A$114&gt;35,BY25+BX26-CG25,IF(A26&lt;'Données projet'!$A$114,$BV$205^A26,IF(A26='Données projet'!$A$114,'Données projet'!$B$114,BY25+BX26-CG25)))</f>
        <v>111.4</v>
      </c>
      <c r="BZ26" s="14">
        <f>BY26*VLOOKUP('Données projet'!$B$12,Paramètres!$A$1:$I$89,3,0)*VLOOKUP('Données projet'!$B$12,Paramètres!$A$1:$I$89,5,0)</f>
        <v>88.629840000000016</v>
      </c>
      <c r="CA26" s="14">
        <f t="shared" si="39"/>
        <v>24.234480932534542</v>
      </c>
      <c r="CB26" s="22">
        <f t="shared" si="10"/>
        <v>196.57202562416433</v>
      </c>
      <c r="CC26" s="62">
        <f t="shared" si="11"/>
        <v>481.3498034019421</v>
      </c>
      <c r="CD26" s="62">
        <f ca="1">AVERAGE(OFFSET($CC$3,0,0,'Données projet'!$E$12+1,1))-AVERAGE(OFFSET($H$3,0,0,'Données projet'!$E$12+1,1))</f>
        <v>370.79299728190904</v>
      </c>
      <c r="CE26" s="62">
        <f t="shared" si="40"/>
        <v>404.95703400805775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12.6</v>
      </c>
      <c r="CT26" s="13">
        <f>IF('Données projet'!$A$140&gt;35,CT25+CS26-DB25,IF(A26&lt;'Données projet'!$A$140,$CQ$205^A26,IF(A26='Données projet'!$A$140,'Données projet'!$B$140,CT25+CS26-DB25)))</f>
        <v>89.799999999999969</v>
      </c>
      <c r="CU26" s="18">
        <f>CT26*VLOOKUP('Données projet'!$B$13,Paramètres!$A$1:$I$89,3,0)*VLOOKUP('Données projet'!$B$13,Paramètres!$A$1:$I$89,5,0)</f>
        <v>78.449279999999987</v>
      </c>
      <c r="CV26" s="14">
        <f t="shared" si="41"/>
        <v>21.757594161482565</v>
      </c>
      <c r="CW26" s="22">
        <f t="shared" si="13"/>
        <v>174.52697249791541</v>
      </c>
      <c r="CX26" s="62">
        <f t="shared" si="14"/>
        <v>459.30475027569321</v>
      </c>
      <c r="CY26" s="62">
        <f ca="1">AVERAGE(OFFSET($CX$3,0,0,'Données projet'!$E$13+1,1))-AVERAGE(OFFSET($H$3,0,0,'Données projet'!$E$13+1,1))</f>
        <v>339.58437495284466</v>
      </c>
      <c r="CZ26" s="62">
        <f t="shared" si="42"/>
        <v>371.26234252426531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14.8</v>
      </c>
      <c r="DO26" s="13">
        <f>IF('Données projet'!$A$166&gt;35,DO25+DN26-DW25,IF(A26&lt;'Données projet'!$A$166,$DL$205^A26,IF(A26='Données projet'!$A$166,'Données projet'!$B$166,DO25+DN26-DW25)))</f>
        <v>111.4</v>
      </c>
      <c r="DP26" s="18">
        <f>DO26*VLOOKUP('Données projet'!$B$14,Paramètres!$A$1:$I$89,3,0)*VLOOKUP('Données projet'!$B$14,Paramètres!$A$1:$I$89,5,0)</f>
        <v>81.678479999999993</v>
      </c>
      <c r="DQ26" s="14">
        <f t="shared" si="43"/>
        <v>22.547083950915322</v>
      </c>
      <c r="DR26" s="22">
        <f t="shared" si="16"/>
        <v>181.52619054784418</v>
      </c>
      <c r="DS26" s="62">
        <f t="shared" si="17"/>
        <v>466.30396832562195</v>
      </c>
      <c r="DT26" s="62">
        <f ca="1">AVERAGE(OFFSET($DS$3,0,0,'Données projet'!$E$14+1,1))-AVERAGE(OFFSET($H$3,0,0,'Données projet'!$E$14+1,1))</f>
        <v>344.63665697794022</v>
      </c>
      <c r="DU26" s="62">
        <f t="shared" si="44"/>
        <v>376.72762011188041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7.5641025641025639</v>
      </c>
      <c r="EJ26" s="13">
        <f>IF('Données projet'!$A$192&gt;35,EJ25+EI26-ER25,IF(A26&lt;'Données projet'!$A$192,$EG$205^A26,IF(A26='Données projet'!$A$192,'Données projet'!$B$192,EJ25+EI26-ER25)))</f>
        <v>107.30769230769231</v>
      </c>
      <c r="EK26" s="18">
        <f>EJ26*VLOOKUP('Données projet'!$B$15,Paramètres!$A$1:$I$89,3,0)*VLOOKUP('Données projet'!$B$15,Paramètres!$A$1:$I$89,5,0)</f>
        <v>102.114</v>
      </c>
      <c r="EL26" s="14">
        <f t="shared" si="45"/>
        <v>27.465014076024996</v>
      </c>
      <c r="EM26" s="22">
        <f t="shared" si="19"/>
        <v>225.68344951574352</v>
      </c>
      <c r="EN26" s="62">
        <f t="shared" si="20"/>
        <v>510.46122729352129</v>
      </c>
      <c r="EO26" s="62">
        <f ca="1">AVERAGE(OFFSET($EN$3,0,0,'Données projet'!$E$15+1,1))-AVERAGE(OFFSET($H$3,0,0,'Données projet'!$E$15+1,1))</f>
        <v>406.24139966722936</v>
      </c>
      <c r="EP26" s="62">
        <f t="shared" si="46"/>
        <v>295.95724296920577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7.2</v>
      </c>
      <c r="FE26" s="13">
        <f>IF('Données projet'!$A$218&gt;35,FE25+FD26-FM25,IF(A26&lt;'Données projet'!$A$218,$FB$205^A26,IF(A26='Données projet'!$A$218,'Données projet'!$B$218,FE25+FD26-FM25)))</f>
        <v>94.600000000000009</v>
      </c>
      <c r="FF26" s="18">
        <f>FE26*VLOOKUP('Données projet'!$B$16,Paramètres!$A$1:$I$89,3,0)*VLOOKUP('Données projet'!$B$16,Paramètres!$A$1:$I$89,5,0)</f>
        <v>91.49712000000001</v>
      </c>
      <c r="FG26" s="14">
        <f t="shared" si="47"/>
        <v>24.925946867642839</v>
      </c>
      <c r="FH26" s="22">
        <f t="shared" si="22"/>
        <v>202.77017479447795</v>
      </c>
      <c r="FI26" s="62">
        <f t="shared" si="23"/>
        <v>487.54795257225572</v>
      </c>
      <c r="FJ26" s="62">
        <f ca="1">AVERAGE(OFFSET($FI$3,0,0,'Données projet'!$E$16+1,1))-AVERAGE(OFFSET($H$3,0,0,'Données projet'!$E$16+1,1))</f>
        <v>540.83352418045502</v>
      </c>
      <c r="FK26" s="62">
        <f t="shared" si="48"/>
        <v>294.45557293177131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10.6</v>
      </c>
      <c r="FZ26" s="13">
        <f>IF('Données projet'!$A$244&gt;35,FZ25+FY26-GH25,IF(A26&lt;'Données projet'!$A$244,$FW$205^A26,IF(A26='Données projet'!$A$244,'Données projet'!$B$244,FZ25+FY26-GH25)))</f>
        <v>119.79999999999997</v>
      </c>
      <c r="GA26" s="18">
        <f>FZ26*VLOOKUP('Données projet'!$B$17,Paramètres!$A$1:$I$89,3,0)*VLOOKUP('Données projet'!$B$17,Paramètres!$A$1:$I$89,5,0)</f>
        <v>93.443999999999974</v>
      </c>
      <c r="GB26" s="14">
        <f t="shared" si="49"/>
        <v>25.394010816431489</v>
      </c>
      <c r="GC26" s="22">
        <f t="shared" si="25"/>
        <v>206.97620217195148</v>
      </c>
      <c r="GD26" s="62">
        <f t="shared" si="26"/>
        <v>491.75397994972923</v>
      </c>
      <c r="GE26" s="62">
        <f ca="1">AVERAGE(OFFSET($GD$3,0,0,'Données projet'!$E$17+1,1))-AVERAGE(OFFSET($H$3,0,0,'Données projet'!$E$17+1,1))</f>
        <v>292.57482726862594</v>
      </c>
      <c r="GF26" s="62">
        <f t="shared" si="50"/>
        <v>283.48738729114024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9.2307692307692299</v>
      </c>
      <c r="GU26" s="13">
        <f>IF('Données projet'!$A$270&gt;35,GU25+GT26-HC25,IF(A26&lt;'Données projet'!$A$270,$GR$205^A26,IF(A26='Données projet'!$A$270,'Données projet'!$B$270,GU25+GT26-HC25)))</f>
        <v>123.20512820512822</v>
      </c>
      <c r="GV26" s="18">
        <f>GU26*VLOOKUP('Données projet'!$B$18,Paramètres!$A$1:$I$89,3,0)*VLOOKUP('Données projet'!$B$18,Paramètres!$A$1:$I$89,5,0)</f>
        <v>82.646000000000015</v>
      </c>
      <c r="GW26" s="14">
        <f t="shared" si="51"/>
        <v>22.78291457325621</v>
      </c>
      <c r="GX26" s="22">
        <f t="shared" si="28"/>
        <v>183.62202621508791</v>
      </c>
      <c r="GY26" s="62">
        <f t="shared" si="29"/>
        <v>468.39980399286571</v>
      </c>
      <c r="GZ26" s="62">
        <f ca="1">AVERAGE(OFFSET($GY$3,0,0,'Données projet'!$E$18+1,1))-AVERAGE(OFFSET($H$3,0,0,'Données projet'!$E$18+1,1))</f>
        <v>343.33067866534634</v>
      </c>
      <c r="HA26" s="62">
        <f t="shared" si="52"/>
        <v>261.91036689641402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490.09151430529414</v>
      </c>
      <c r="S27" s="62">
        <f ca="1">AVERAGE(OFFSET($R$3,0,0,'Données projet'!$E$9+1,1))-AVERAGE(OFFSET($H$3,0,0,'Données projet'!$E$9+1,1))</f>
        <v>508.77990078889337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projet'!$B$10,Paramètres!$A$1:$I$89,3,0)*VLOOKUP('Données projet'!$B$10,Paramètres!$A$1:$I$89,5,0)</f>
        <v>103.22520000000003</v>
      </c>
      <c r="AK27" s="14">
        <f t="shared" si="35"/>
        <v>27.728931732779014</v>
      </c>
      <c r="AL27" s="22">
        <f t="shared" si="4"/>
        <v>228.07844610125684</v>
      </c>
      <c r="AM27" s="62">
        <f t="shared" si="5"/>
        <v>514.07844610125687</v>
      </c>
      <c r="AN27" s="62">
        <f ca="1">AVERAGE(OFFSET($AM$3,0,0,'Données projet'!$E$10+1,1))-AVERAGE(OFFSET($H$3,0,0,'Données projet'!$E$10+1,1))</f>
        <v>564.84596170333884</v>
      </c>
      <c r="AO27" s="62">
        <f t="shared" si="36"/>
        <v>306.61893266146666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</v>
      </c>
      <c r="BD27" s="13">
        <f>IF('Données projet'!$A$88&gt;35,BD26+BC27-BL26,IF(A27&lt;'Données projet'!$A$88,$BA$205^A27,IF(A27='Données projet'!$A$88,'Données projet'!$B$88,BD26+BC27-BL26)))</f>
        <v>126.2</v>
      </c>
      <c r="BE27" s="14">
        <f>BD27*VLOOKUP('Données projet'!$B$11,Paramètres!$A$1:$I$89,3,0)*VLOOKUP('Données projet'!$B$11,Paramètres!$A$1:$I$89,5,0)</f>
        <v>100.40472000000001</v>
      </c>
      <c r="BF27" s="14">
        <f t="shared" si="37"/>
        <v>27.058393830330502</v>
      </c>
      <c r="BG27" s="22">
        <f t="shared" si="7"/>
        <v>221.99825658782564</v>
      </c>
      <c r="BH27" s="62">
        <f t="shared" si="8"/>
        <v>507.99825658782561</v>
      </c>
      <c r="BI27" s="62">
        <f ca="1">AVERAGE(OFFSET($BH$3,0,0,'Données projet'!$E$11+1,1))-AVERAGE(OFFSET($H$3,0,0,'Données projet'!$E$11+1,1))</f>
        <v>370.79299728190904</v>
      </c>
      <c r="BJ27" s="62">
        <f t="shared" si="38"/>
        <v>404.95703400805775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14.8</v>
      </c>
      <c r="BY27" s="13">
        <f>IF('Données projet'!$A$114&gt;35,BY26+BX27-CG26,IF(A27&lt;'Données projet'!$A$114,$BV$205^A27,IF(A27='Données projet'!$A$114,'Données projet'!$B$114,BY26+BX27-CG26)))</f>
        <v>126.2</v>
      </c>
      <c r="BZ27" s="14">
        <f>BY27*VLOOKUP('Données projet'!$B$12,Paramètres!$A$1:$I$89,3,0)*VLOOKUP('Données projet'!$B$12,Paramètres!$A$1:$I$89,5,0)</f>
        <v>100.40472000000001</v>
      </c>
      <c r="CA27" s="14">
        <f t="shared" si="39"/>
        <v>27.058393830330502</v>
      </c>
      <c r="CB27" s="22">
        <f t="shared" si="10"/>
        <v>221.99825658782564</v>
      </c>
      <c r="CC27" s="62">
        <f t="shared" si="11"/>
        <v>507.99825658782561</v>
      </c>
      <c r="CD27" s="62">
        <f ca="1">AVERAGE(OFFSET($CC$3,0,0,'Données projet'!$E$12+1,1))-AVERAGE(OFFSET($H$3,0,0,'Données projet'!$E$12+1,1))</f>
        <v>370.79299728190904</v>
      </c>
      <c r="CE27" s="62">
        <f t="shared" si="40"/>
        <v>404.95703400805775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projet'!$B$13,Paramètres!$A$1:$I$89,3,0)*VLOOKUP('Données projet'!$B$13,Paramètres!$A$1:$I$89,5,0)</f>
        <v>89.456639999999979</v>
      </c>
      <c r="CV27" s="14">
        <f t="shared" si="41"/>
        <v>24.434133496437102</v>
      </c>
      <c r="CW27" s="22">
        <f t="shared" si="13"/>
        <v>198.3597638396279</v>
      </c>
      <c r="CX27" s="62">
        <f t="shared" si="14"/>
        <v>484.35976383962793</v>
      </c>
      <c r="CY27" s="62">
        <f ca="1">AVERAGE(OFFSET($CX$3,0,0,'Données projet'!$E$13+1,1))-AVERAGE(OFFSET($H$3,0,0,'Données projet'!$E$13+1,1))</f>
        <v>339.58437495284466</v>
      </c>
      <c r="CZ27" s="62">
        <f t="shared" si="42"/>
        <v>371.26234252426531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14.8</v>
      </c>
      <c r="DO27" s="13">
        <f>IF('Données projet'!$A$166&gt;35,DO26+DN27-DW26,IF(A27&lt;'Données projet'!$A$166,$DL$205^A27,IF(A27='Données projet'!$A$166,'Données projet'!$B$166,DO26+DN27-DW26)))</f>
        <v>126.2</v>
      </c>
      <c r="DP27" s="18">
        <f>DO27*VLOOKUP('Données projet'!$B$14,Paramètres!$A$1:$I$89,3,0)*VLOOKUP('Données projet'!$B$14,Paramètres!$A$1:$I$89,5,0)</f>
        <v>92.529840000000007</v>
      </c>
      <c r="DQ27" s="14">
        <f t="shared" si="43"/>
        <v>25.17437361121091</v>
      </c>
      <c r="DR27" s="22">
        <f t="shared" si="16"/>
        <v>205.00150537285901</v>
      </c>
      <c r="DS27" s="62">
        <f t="shared" si="17"/>
        <v>491.00150537285901</v>
      </c>
      <c r="DT27" s="62">
        <f ca="1">AVERAGE(OFFSET($DS$3,0,0,'Données projet'!$E$14+1,1))-AVERAGE(OFFSET($H$3,0,0,'Données projet'!$E$14+1,1))</f>
        <v>344.63665697794022</v>
      </c>
      <c r="DU27" s="62">
        <f t="shared" si="44"/>
        <v>376.72762011188041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7.5641025641025639</v>
      </c>
      <c r="EJ27" s="13">
        <f>IF('Données projet'!$A$192&gt;35,EJ26+EI27-ER26,IF(A27&lt;'Données projet'!$A$192,$EG$205^A27,IF(A27='Données projet'!$A$192,'Données projet'!$B$192,EJ26+EI27-ER26)))</f>
        <v>114.87179487179488</v>
      </c>
      <c r="EK27" s="18">
        <f>EJ27*VLOOKUP('Données projet'!$B$15,Paramètres!$A$1:$I$89,3,0)*VLOOKUP('Données projet'!$B$15,Paramètres!$A$1:$I$89,5,0)</f>
        <v>109.31200000000001</v>
      </c>
      <c r="EL27" s="14">
        <f t="shared" si="45"/>
        <v>29.168827262472544</v>
      </c>
      <c r="EM27" s="22">
        <f t="shared" si="19"/>
        <v>241.18744081547302</v>
      </c>
      <c r="EN27" s="62">
        <f t="shared" si="20"/>
        <v>527.187440815473</v>
      </c>
      <c r="EO27" s="62">
        <f ca="1">AVERAGE(OFFSET($EN$3,0,0,'Données projet'!$E$15+1,1))-AVERAGE(OFFSET($H$3,0,0,'Données projet'!$E$15+1,1))</f>
        <v>406.24139966722936</v>
      </c>
      <c r="EP27" s="62">
        <f t="shared" si="46"/>
        <v>295.95724296920577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7.2</v>
      </c>
      <c r="FE27" s="13">
        <f>IF('Données projet'!$A$218&gt;35,FE26+FD27-FM26,IF(A27&lt;'Données projet'!$A$218,$FB$205^A27,IF(A27='Données projet'!$A$218,'Données projet'!$B$218,FE26+FD27-FM26)))</f>
        <v>101.80000000000001</v>
      </c>
      <c r="FF27" s="18">
        <f>FE27*VLOOKUP('Données projet'!$B$16,Paramètres!$A$1:$I$89,3,0)*VLOOKUP('Données projet'!$B$16,Paramètres!$A$1:$I$89,5,0)</f>
        <v>98.460960000000014</v>
      </c>
      <c r="FG27" s="14">
        <f t="shared" si="47"/>
        <v>26.595012174033403</v>
      </c>
      <c r="FH27" s="22">
        <f t="shared" si="22"/>
        <v>217.80581820310817</v>
      </c>
      <c r="FI27" s="62">
        <f t="shared" si="23"/>
        <v>503.80581820310817</v>
      </c>
      <c r="FJ27" s="62">
        <f ca="1">AVERAGE(OFFSET($FI$3,0,0,'Données projet'!$E$16+1,1))-AVERAGE(OFFSET($H$3,0,0,'Données projet'!$E$16+1,1))</f>
        <v>540.83352418045502</v>
      </c>
      <c r="FK27" s="62">
        <f t="shared" si="48"/>
        <v>294.45557293177131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10.6</v>
      </c>
      <c r="FZ27" s="13">
        <f>IF('Données projet'!$A$244&gt;35,FZ26+FY27-GH26,IF(A27&lt;'Données projet'!$A$244,$FW$205^A27,IF(A27='Données projet'!$A$244,'Données projet'!$B$244,FZ26+FY27-GH26)))</f>
        <v>130.39999999999998</v>
      </c>
      <c r="GA27" s="18">
        <f>FZ27*VLOOKUP('Données projet'!$B$17,Paramètres!$A$1:$I$89,3,0)*VLOOKUP('Données projet'!$B$17,Paramètres!$A$1:$I$89,5,0)</f>
        <v>101.71199999999999</v>
      </c>
      <c r="GB27" s="14">
        <f t="shared" si="49"/>
        <v>27.369454120725656</v>
      </c>
      <c r="GC27" s="22">
        <f t="shared" si="25"/>
        <v>224.81686592693052</v>
      </c>
      <c r="GD27" s="62">
        <f t="shared" si="26"/>
        <v>510.81686592693052</v>
      </c>
      <c r="GE27" s="62">
        <f ca="1">AVERAGE(OFFSET($GD$3,0,0,'Données projet'!$E$17+1,1))-AVERAGE(OFFSET($H$3,0,0,'Données projet'!$E$17+1,1))</f>
        <v>292.57482726862594</v>
      </c>
      <c r="GF27" s="62">
        <f t="shared" si="50"/>
        <v>283.48738729114024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9.2307692307692299</v>
      </c>
      <c r="GU27" s="13">
        <f>IF('Données projet'!$A$270&gt;35,GU26+GT27-HC26,IF(A27&lt;'Données projet'!$A$270,$GR$205^A27,IF(A27='Données projet'!$A$270,'Données projet'!$B$270,GU26+GT27-HC26)))</f>
        <v>132.43589743589746</v>
      </c>
      <c r="GV27" s="18">
        <f>GU27*VLOOKUP('Données projet'!$B$18,Paramètres!$A$1:$I$89,3,0)*VLOOKUP('Données projet'!$B$18,Paramètres!$A$1:$I$89,5,0)</f>
        <v>88.838000000000022</v>
      </c>
      <c r="GW27" s="14">
        <f t="shared" si="51"/>
        <v>24.284766971422886</v>
      </c>
      <c r="GX27" s="22">
        <f t="shared" si="28"/>
        <v>197.02215247522824</v>
      </c>
      <c r="GY27" s="62">
        <f t="shared" si="29"/>
        <v>483.02215247522827</v>
      </c>
      <c r="GZ27" s="62">
        <f ca="1">AVERAGE(OFFSET($GY$3,0,0,'Données projet'!$E$18+1,1))-AVERAGE(OFFSET($H$3,0,0,'Données projet'!$E$18+1,1))</f>
        <v>343.33067866534634</v>
      </c>
      <c r="HA27" s="62">
        <f t="shared" si="52"/>
        <v>261.91036689641402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505.37804153496802</v>
      </c>
      <c r="S28" s="62">
        <f ca="1">AVERAGE(OFFSET($R$3,0,0,'Données projet'!$E$9+1,1))-AVERAGE(OFFSET($H$3,0,0,'Données projet'!$E$9+1,1))</f>
        <v>508.77990078889337</v>
      </c>
      <c r="T28" s="62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projet'!$B$10,Paramètres!$A$1:$I$89,3,0)*VLOOKUP('Données projet'!$B$10,Paramètres!$A$1:$I$89,5,0)</f>
        <v>110.52600000000001</v>
      </c>
      <c r="AK28" s="14">
        <f t="shared" si="35"/>
        <v>29.454879846564946</v>
      </c>
      <c r="AL28" s="22">
        <f t="shared" si="4"/>
        <v>243.80003239943395</v>
      </c>
      <c r="AM28" s="62">
        <f t="shared" si="5"/>
        <v>531.0222546216562</v>
      </c>
      <c r="AN28" s="62">
        <f ca="1">AVERAGE(OFFSET($AM$3,0,0,'Données projet'!$E$10+1,1))-AVERAGE(OFFSET($H$3,0,0,'Données projet'!$E$10+1,1))</f>
        <v>564.84596170333884</v>
      </c>
      <c r="AO28" s="62">
        <f t="shared" si="36"/>
        <v>306.61893266146666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141</v>
      </c>
      <c r="BB28" s="13">
        <f>VLOOKUP(A28,'Données projet'!$A$87:$I$107,9,0)</f>
        <v>14.8</v>
      </c>
      <c r="BC28" s="13">
        <f t="array" ref="BC28">INDEX(BB:BB,MIN(IF(ISNUMBER(BB28:BB224),ROW(BB28:BB224),"")))</f>
        <v>14.8</v>
      </c>
      <c r="BD28" s="13">
        <f>IF('Données projet'!$A$88&gt;35,BD27+BC28-BL27,IF(A28&lt;'Données projet'!$A$88,$BA$205^A28,IF(A28='Données projet'!$A$88,'Données projet'!$B$88,BD27+BC28-BL27)))</f>
        <v>141</v>
      </c>
      <c r="BE28" s="14">
        <f>BD28*VLOOKUP('Données projet'!$B$11,Paramètres!$A$1:$I$89,3,0)*VLOOKUP('Données projet'!$B$11,Paramètres!$A$1:$I$89,5,0)</f>
        <v>112.17959999999999</v>
      </c>
      <c r="BF28" s="14">
        <f t="shared" si="37"/>
        <v>29.8439274472838</v>
      </c>
      <c r="BG28" s="22">
        <f t="shared" si="7"/>
        <v>247.35764363735257</v>
      </c>
      <c r="BH28" s="62">
        <f t="shared" si="8"/>
        <v>534.57986585957474</v>
      </c>
      <c r="BI28" s="62">
        <f ca="1">AVERAGE(OFFSET($BH$3,0,0,'Données projet'!$E$11+1,1))-AVERAGE(OFFSET($H$3,0,0,'Données projet'!$E$11+1,1))</f>
        <v>370.79299728190904</v>
      </c>
      <c r="BJ28" s="62">
        <f t="shared" si="38"/>
        <v>404.95703400805775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141</v>
      </c>
      <c r="BW28" s="13">
        <f>VLOOKUP(A28,'Données projet'!$A$113:$I$133,9,0)</f>
        <v>14.8</v>
      </c>
      <c r="BX28" s="13">
        <f t="array" ref="BX28">INDEX(BW:BW,MIN(IF(ISNUMBER(BW28:BW224),ROW(BW28:BW224),"")))</f>
        <v>14.8</v>
      </c>
      <c r="BY28" s="13">
        <f>IF('Données projet'!$A$114&gt;35,BY27+BX28-CG27,IF(A28&lt;'Données projet'!$A$114,$BV$205^A28,IF(A28='Données projet'!$A$114,'Données projet'!$B$114,BY27+BX28-CG27)))</f>
        <v>141</v>
      </c>
      <c r="BZ28" s="14">
        <f>BY28*VLOOKUP('Données projet'!$B$12,Paramètres!$A$1:$I$89,3,0)*VLOOKUP('Données projet'!$B$12,Paramètres!$A$1:$I$89,5,0)</f>
        <v>112.17959999999999</v>
      </c>
      <c r="CA28" s="14">
        <f t="shared" si="39"/>
        <v>29.8439274472838</v>
      </c>
      <c r="CB28" s="22">
        <f t="shared" si="10"/>
        <v>247.35764363735257</v>
      </c>
      <c r="CC28" s="62">
        <f t="shared" si="11"/>
        <v>534.57986585957474</v>
      </c>
      <c r="CD28" s="62">
        <f ca="1">AVERAGE(OFFSET($CC$3,0,0,'Données projet'!$E$12+1,1))-AVERAGE(OFFSET($H$3,0,0,'Données projet'!$E$12+1,1))</f>
        <v>370.79299728190904</v>
      </c>
      <c r="CE28" s="62">
        <f t="shared" si="40"/>
        <v>404.95703400805775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115</v>
      </c>
      <c r="CR28" s="13">
        <f>VLOOKUP(A28,'Données projet'!$A$139:$I$159,9,0)</f>
        <v>12.6</v>
      </c>
      <c r="CS28" s="13">
        <f t="array" ref="CS28">INDEX(CR:CR,MIN(IF(ISNUMBER(CR28:CR224),ROW(CR28:CR224),"")))</f>
        <v>12.6</v>
      </c>
      <c r="CT28" s="13">
        <f>IF('Données projet'!$A$140&gt;35,CT27+CS28-DB27,IF(A28&lt;'Données projet'!$A$140,$CQ$205^A28,IF(A28='Données projet'!$A$140,'Données projet'!$B$140,CT27+CS28-DB27)))</f>
        <v>114.99999999999996</v>
      </c>
      <c r="CU28" s="18">
        <f>CT28*VLOOKUP('Données projet'!$B$13,Paramètres!$A$1:$I$89,3,0)*VLOOKUP('Données projet'!$B$13,Paramètres!$A$1:$I$89,5,0)</f>
        <v>100.46399999999997</v>
      </c>
      <c r="CV28" s="14">
        <f t="shared" si="41"/>
        <v>27.072509349827456</v>
      </c>
      <c r="CW28" s="22">
        <f t="shared" si="13"/>
        <v>222.12608711761609</v>
      </c>
      <c r="CX28" s="62">
        <f t="shared" si="14"/>
        <v>509.34830933983835</v>
      </c>
      <c r="CY28" s="62">
        <f ca="1">AVERAGE(OFFSET($CX$3,0,0,'Données projet'!$E$13+1,1))-AVERAGE(OFFSET($H$3,0,0,'Données projet'!$E$13+1,1))</f>
        <v>339.58437495284466</v>
      </c>
      <c r="CZ28" s="62">
        <f t="shared" si="42"/>
        <v>371.26234252426531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141</v>
      </c>
      <c r="DM28" s="13">
        <f>VLOOKUP(A28,'Données projet'!$A$165:$I$185,9,0)</f>
        <v>14.8</v>
      </c>
      <c r="DN28" s="13">
        <f t="array" ref="DN28">INDEX(DM:DM,MIN(IF(ISNUMBER(DM28:DM224),ROW(DM28:DM224),"")))</f>
        <v>14.8</v>
      </c>
      <c r="DO28" s="13">
        <f>IF('Données projet'!$A$166&gt;35,DO27+DN28-DW27,IF(A28&lt;'Données projet'!$A$166,$DL$205^A28,IF(A28='Données projet'!$A$166,'Données projet'!$B$166,DO27+DN28-DW27)))</f>
        <v>141</v>
      </c>
      <c r="DP28" s="18">
        <f>DO28*VLOOKUP('Données projet'!$B$14,Paramètres!$A$1:$I$89,3,0)*VLOOKUP('Données projet'!$B$14,Paramètres!$A$1:$I$89,5,0)</f>
        <v>103.38119999999999</v>
      </c>
      <c r="DQ28" s="14">
        <f t="shared" si="43"/>
        <v>27.765956260923325</v>
      </c>
      <c r="DR28" s="22">
        <f t="shared" si="16"/>
        <v>228.41463048777476</v>
      </c>
      <c r="DS28" s="62">
        <f t="shared" si="17"/>
        <v>515.63685270999702</v>
      </c>
      <c r="DT28" s="62">
        <f ca="1">AVERAGE(OFFSET($DS$3,0,0,'Données projet'!$E$14+1,1))-AVERAGE(OFFSET($H$3,0,0,'Données projet'!$E$14+1,1))</f>
        <v>344.63665697794022</v>
      </c>
      <c r="DU28" s="62">
        <f t="shared" si="44"/>
        <v>376.72762011188041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122.43589743589743</v>
      </c>
      <c r="EH28" s="13">
        <f>VLOOKUP(A28,'Données projet'!$A$191:$I$211,9,0)</f>
        <v>7.5641025641025639</v>
      </c>
      <c r="EI28" s="13">
        <f t="array" ref="EI28">INDEX(EH:EH,MIN(IF(ISNUMBER(EH28:EH224),ROW(EH28:EH224),"")))</f>
        <v>7.5641025641025639</v>
      </c>
      <c r="EJ28" s="13">
        <f>IF('Données projet'!$A$192&gt;35,EJ27+EI28-ER27,IF(A28&lt;'Données projet'!$A$192,$EG$205^A28,IF(A28='Données projet'!$A$192,'Données projet'!$B$192,EJ27+EI28-ER27)))</f>
        <v>122.43589743589745</v>
      </c>
      <c r="EK28" s="18">
        <f>EJ28*VLOOKUP('Données projet'!$B$15,Paramètres!$A$1:$I$89,3,0)*VLOOKUP('Données projet'!$B$15,Paramètres!$A$1:$I$89,5,0)</f>
        <v>116.51000000000002</v>
      </c>
      <c r="EL28" s="14">
        <f t="shared" si="45"/>
        <v>30.859621169021747</v>
      </c>
      <c r="EM28" s="22">
        <f t="shared" si="19"/>
        <v>256.66875686937959</v>
      </c>
      <c r="EN28" s="62">
        <f t="shared" si="20"/>
        <v>543.89097909160182</v>
      </c>
      <c r="EO28" s="62">
        <f ca="1">AVERAGE(OFFSET($EN$3,0,0,'Données projet'!$E$15+1,1))-AVERAGE(OFFSET($H$3,0,0,'Données projet'!$E$15+1,1))</f>
        <v>406.24139966722936</v>
      </c>
      <c r="EP28" s="62">
        <f t="shared" si="46"/>
        <v>295.95724296920577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35.897435897435898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109</v>
      </c>
      <c r="FC28" s="13">
        <f>VLOOKUP(A28,'Données projet'!$A$217:$I$237,9,0)</f>
        <v>7.2</v>
      </c>
      <c r="FD28" s="13">
        <f t="array" ref="FD28">INDEX(FC:FC,MIN(IF(ISNUMBER(FC28:FC224),ROW(FC28:FC224),"")))</f>
        <v>7.2</v>
      </c>
      <c r="FE28" s="13">
        <f>IF('Données projet'!$A$218&gt;35,FE27+FD28-FM27,IF(A28&lt;'Données projet'!$A$218,$FB$205^A28,IF(A28='Données projet'!$A$218,'Données projet'!$B$218,FE27+FD28-FM27)))</f>
        <v>109.00000000000001</v>
      </c>
      <c r="FF28" s="18">
        <f>FE28*VLOOKUP('Données projet'!$B$16,Paramètres!$A$1:$I$89,3,0)*VLOOKUP('Données projet'!$B$16,Paramètres!$A$1:$I$89,5,0)</f>
        <v>105.42480000000002</v>
      </c>
      <c r="FG28" s="14">
        <f t="shared" si="47"/>
        <v>28.250381069605584</v>
      </c>
      <c r="FH28" s="22">
        <f t="shared" si="22"/>
        <v>232.81760702956308</v>
      </c>
      <c r="FI28" s="62">
        <f t="shared" si="23"/>
        <v>520.03982925178525</v>
      </c>
      <c r="FJ28" s="62">
        <f ca="1">AVERAGE(OFFSET($FI$3,0,0,'Données projet'!$E$16+1,1))-AVERAGE(OFFSET($H$3,0,0,'Données projet'!$E$16+1,1))</f>
        <v>540.83352418045502</v>
      </c>
      <c r="FK28" s="62">
        <f t="shared" si="48"/>
        <v>294.45557293177131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34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141</v>
      </c>
      <c r="FX28" s="13">
        <f>VLOOKUP(A28,'Données projet'!$A$243:$I$263,9,0)</f>
        <v>10.6</v>
      </c>
      <c r="FY28" s="13">
        <f t="array" ref="FY28">INDEX(FX:FX,MIN(IF(ISNUMBER(FX28:FX224),ROW(FX28:FX224),"")))</f>
        <v>10.6</v>
      </c>
      <c r="FZ28" s="13">
        <f>IF('Données projet'!$A$244&gt;35,FZ27+FY28-GH27,IF(A28&lt;'Données projet'!$A$244,$FW$205^A28,IF(A28='Données projet'!$A$244,'Données projet'!$B$244,FZ27+FY28-GH27)))</f>
        <v>140.99999999999997</v>
      </c>
      <c r="GA28" s="18">
        <f>FZ28*VLOOKUP('Données projet'!$B$17,Paramètres!$A$1:$I$89,3,0)*VLOOKUP('Données projet'!$B$17,Paramètres!$A$1:$I$89,5,0)</f>
        <v>109.97999999999998</v>
      </c>
      <c r="GB28" s="14">
        <f t="shared" si="49"/>
        <v>29.326272366698234</v>
      </c>
      <c r="GC28" s="22">
        <f t="shared" si="25"/>
        <v>242.62509103866606</v>
      </c>
      <c r="GD28" s="62">
        <f t="shared" si="26"/>
        <v>529.84731326088831</v>
      </c>
      <c r="GE28" s="62">
        <f ca="1">AVERAGE(OFFSET($GD$3,0,0,'Données projet'!$E$17+1,1))-AVERAGE(OFFSET($H$3,0,0,'Données projet'!$E$17+1,1))</f>
        <v>292.57482726862594</v>
      </c>
      <c r="GF28" s="62">
        <f t="shared" si="50"/>
        <v>283.48738729114024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55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141.66666666666666</v>
      </c>
      <c r="GS28" s="13">
        <f>VLOOKUP(A28,'Données projet'!$A$269:$I$289,9,0)</f>
        <v>9.2307692307692299</v>
      </c>
      <c r="GT28" s="13">
        <f t="array" ref="GT28">INDEX(GS:GS,MIN(IF(ISNUMBER(GS28:GS224),ROW(GS28:GS224),"")))</f>
        <v>9.2307692307692299</v>
      </c>
      <c r="GU28" s="13">
        <f>IF('Données projet'!$A$270&gt;35,GU27+GT28-HC27,IF(A28&lt;'Données projet'!$A$270,$GR$205^A28,IF(A28='Données projet'!$A$270,'Données projet'!$B$270,GU27+GT28-HC27)))</f>
        <v>141.66666666666669</v>
      </c>
      <c r="GV28" s="18">
        <f>GU28*VLOOKUP('Données projet'!$B$18,Paramètres!$A$1:$I$89,3,0)*VLOOKUP('Données projet'!$B$18,Paramètres!$A$1:$I$89,5,0)</f>
        <v>95.030000000000015</v>
      </c>
      <c r="GW28" s="14">
        <f t="shared" si="51"/>
        <v>25.774473655280186</v>
      </c>
      <c r="GX28" s="22">
        <f t="shared" si="28"/>
        <v>210.40112494961298</v>
      </c>
      <c r="GY28" s="62">
        <f t="shared" si="29"/>
        <v>497.62334717183523</v>
      </c>
      <c r="GZ28" s="62">
        <f ca="1">AVERAGE(OFFSET($GY$3,0,0,'Données projet'!$E$18+1,1))-AVERAGE(OFFSET($H$3,0,0,'Données projet'!$E$18+1,1))</f>
        <v>343.33067866534634</v>
      </c>
      <c r="HA28" s="62">
        <f t="shared" si="52"/>
        <v>261.91036689641402</v>
      </c>
      <c r="HB28" s="16">
        <f>IF(ISNA(VLOOKUP(A28,'Données projet'!$A$269:$I$289,3,0)),0,VLOOKUP(A28,'Données projet'!$A$269:$I$289,3,0))</f>
        <v>2</v>
      </c>
      <c r="HC28" s="16">
        <f>IF(ISNA(VLOOKUP(A28,'Données projet'!$A$269:$I$289,4,0)),0,VLOOKUP(A28,'Données projet'!$A$269:$I$289,4,0))</f>
        <v>33.974358974358971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508.77990078889337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85.378800000000027</v>
      </c>
      <c r="AK29" s="14">
        <f t="shared" si="35"/>
        <v>23.447306793896516</v>
      </c>
      <c r="AL29" s="22">
        <f t="shared" si="4"/>
        <v>189.53880266603645</v>
      </c>
      <c r="AM29" s="62">
        <f t="shared" si="5"/>
        <v>477.98324711048087</v>
      </c>
      <c r="AN29" s="62">
        <f ca="1">AVERAGE(OFFSET($AM$3,0,0,'Données projet'!$E$10+1,1))-AVERAGE(OFFSET($H$3,0,0,'Données projet'!$E$10+1,1))</f>
        <v>564.84596170333884</v>
      </c>
      <c r="AO29" s="62">
        <f t="shared" si="36"/>
        <v>306.61893266146666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155.19999999999999</v>
      </c>
      <c r="BE29" s="14">
        <f>BD29*VLOOKUP('Données projet'!$B$11,Paramètres!$A$1:$I$89,3,0)*VLOOKUP('Données projet'!$B$11,Paramètres!$A$1:$I$89,5,0)</f>
        <v>123.47712</v>
      </c>
      <c r="BF29" s="14">
        <f t="shared" si="37"/>
        <v>32.484627317240388</v>
      </c>
      <c r="BG29" s="22">
        <f t="shared" si="7"/>
        <v>271.63337657752703</v>
      </c>
      <c r="BH29" s="62">
        <f t="shared" si="8"/>
        <v>560.07782102197143</v>
      </c>
      <c r="BI29" s="62">
        <f ca="1">AVERAGE(OFFSET($BH$3,0,0,'Données projet'!$E$11+1,1))-AVERAGE(OFFSET($H$3,0,0,'Données projet'!$E$11+1,1))</f>
        <v>370.79299728190904</v>
      </c>
      <c r="BJ29" s="62">
        <f t="shared" si="38"/>
        <v>404.95703400805775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</v>
      </c>
      <c r="BY29" s="13">
        <f>IF('Données projet'!$A$114&gt;35,BY28+BX29-CG28,IF(A29&lt;'Données projet'!$A$114,$BV$205^A29,IF(A29='Données projet'!$A$114,'Données projet'!$B$114,BY28+BX29-CG28)))</f>
        <v>155.19999999999999</v>
      </c>
      <c r="BZ29" s="14">
        <f>BY29*VLOOKUP('Données projet'!$B$12,Paramètres!$A$1:$I$89,3,0)*VLOOKUP('Données projet'!$B$12,Paramètres!$A$1:$I$89,5,0)</f>
        <v>123.47712</v>
      </c>
      <c r="CA29" s="14">
        <f t="shared" si="39"/>
        <v>32.484627317240388</v>
      </c>
      <c r="CB29" s="22">
        <f t="shared" si="10"/>
        <v>271.63337657752703</v>
      </c>
      <c r="CC29" s="62">
        <f t="shared" si="11"/>
        <v>560.07782102197143</v>
      </c>
      <c r="CD29" s="62">
        <f ca="1">AVERAGE(OFFSET($CC$3,0,0,'Données projet'!$E$12+1,1))-AVERAGE(OFFSET($H$3,0,0,'Données projet'!$E$12+1,1))</f>
        <v>370.79299728190904</v>
      </c>
      <c r="CE29" s="62">
        <f t="shared" si="40"/>
        <v>404.95703400805775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</v>
      </c>
      <c r="CT29" s="13">
        <f>IF('Données projet'!$A$140&gt;35,CT28+CS29-DB28,IF(A29&lt;'Données projet'!$A$140,$CQ$205^A29,IF(A29='Données projet'!$A$140,'Données projet'!$B$140,CT28+CS29-DB28)))</f>
        <v>126.99999999999996</v>
      </c>
      <c r="CU29" s="18">
        <f>CT29*VLOOKUP('Données projet'!$B$13,Paramètres!$A$1:$I$89,3,0)*VLOOKUP('Données projet'!$B$13,Paramètres!$A$1:$I$89,5,0)</f>
        <v>110.94719999999997</v>
      </c>
      <c r="CV29" s="14">
        <f t="shared" si="41"/>
        <v>29.554040795615606</v>
      </c>
      <c r="CW29" s="22">
        <f t="shared" si="13"/>
        <v>244.70632771903044</v>
      </c>
      <c r="CX29" s="62">
        <f t="shared" si="14"/>
        <v>533.15077216347493</v>
      </c>
      <c r="CY29" s="62">
        <f ca="1">AVERAGE(OFFSET($CX$3,0,0,'Données projet'!$E$13+1,1))-AVERAGE(OFFSET($H$3,0,0,'Données projet'!$E$13+1,1))</f>
        <v>339.58437495284466</v>
      </c>
      <c r="CZ29" s="62">
        <f t="shared" si="42"/>
        <v>371.26234252426531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</v>
      </c>
      <c r="DO29" s="13">
        <f>IF('Données projet'!$A$166&gt;35,DO28+DN29-DW28,IF(A29&lt;'Données projet'!$A$166,$DL$205^A29,IF(A29='Données projet'!$A$166,'Données projet'!$B$166,DO28+DN29-DW28)))</f>
        <v>155.19999999999999</v>
      </c>
      <c r="DP29" s="18">
        <f>DO29*VLOOKUP('Données projet'!$B$14,Paramètres!$A$1:$I$89,3,0)*VLOOKUP('Données projet'!$B$14,Paramètres!$A$1:$I$89,5,0)</f>
        <v>113.79263999999999</v>
      </c>
      <c r="DQ29" s="14">
        <f t="shared" si="43"/>
        <v>30.222789639068861</v>
      </c>
      <c r="DR29" s="22">
        <f t="shared" si="16"/>
        <v>250.82687328804494</v>
      </c>
      <c r="DS29" s="62">
        <f t="shared" si="17"/>
        <v>539.27131773248936</v>
      </c>
      <c r="DT29" s="62">
        <f ca="1">AVERAGE(OFFSET($DS$3,0,0,'Données projet'!$E$14+1,1))-AVERAGE(OFFSET($H$3,0,0,'Données projet'!$E$14+1,1))</f>
        <v>344.63665697794022</v>
      </c>
      <c r="DU29" s="62">
        <f t="shared" si="44"/>
        <v>376.72762011188041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7.4358974358974361</v>
      </c>
      <c r="EJ29" s="13">
        <f>IF('Données projet'!$A$192&gt;35,EJ28+EI29-ER28,IF(A29&lt;'Données projet'!$A$192,$EG$205^A29,IF(A29='Données projet'!$A$192,'Données projet'!$B$192,EJ28+EI29-ER28)))</f>
        <v>93.974358974358992</v>
      </c>
      <c r="EK29" s="18">
        <f>EJ29*VLOOKUP('Données projet'!$B$15,Paramètres!$A$1:$I$89,3,0)*VLOOKUP('Données projet'!$B$15,Paramètres!$A$1:$I$89,5,0)</f>
        <v>89.426000000000016</v>
      </c>
      <c r="EL29" s="14">
        <f t="shared" si="45"/>
        <v>24.426738508211891</v>
      </c>
      <c r="EM29" s="22">
        <f t="shared" si="19"/>
        <v>198.29351956846904</v>
      </c>
      <c r="EN29" s="62">
        <f t="shared" si="20"/>
        <v>486.73796401291349</v>
      </c>
      <c r="EO29" s="62">
        <f ca="1">AVERAGE(OFFSET($EN$3,0,0,'Données projet'!$E$15+1,1))-AVERAGE(OFFSET($H$3,0,0,'Données projet'!$E$15+1,1))</f>
        <v>406.24139966722936</v>
      </c>
      <c r="EP29" s="62">
        <f t="shared" si="46"/>
        <v>295.95724296920577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9.1999999999999993</v>
      </c>
      <c r="FE29" s="13">
        <f>IF('Données projet'!$A$218&gt;35,FE28+FD29-FM28,IF(A29&lt;'Données projet'!$A$218,$FB$205^A29,IF(A29='Données projet'!$A$218,'Données projet'!$B$218,FE28+FD29-FM28)))</f>
        <v>84.200000000000017</v>
      </c>
      <c r="FF29" s="18">
        <f>FE29*VLOOKUP('Données projet'!$B$16,Paramètres!$A$1:$I$89,3,0)*VLOOKUP('Données projet'!$B$16,Paramètres!$A$1:$I$89,5,0)</f>
        <v>81.438240000000022</v>
      </c>
      <c r="FG29" s="14">
        <f t="shared" si="47"/>
        <v>22.488475778344696</v>
      </c>
      <c r="FH29" s="22">
        <f t="shared" si="22"/>
        <v>181.00569664728371</v>
      </c>
      <c r="FI29" s="62">
        <f t="shared" si="23"/>
        <v>469.45014109172814</v>
      </c>
      <c r="FJ29" s="62">
        <f ca="1">AVERAGE(OFFSET($FI$3,0,0,'Données projet'!$E$16+1,1))-AVERAGE(OFFSET($H$3,0,0,'Données projet'!$E$16+1,1))</f>
        <v>540.83352418045502</v>
      </c>
      <c r="FK29" s="62">
        <f t="shared" si="48"/>
        <v>294.45557293177131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11.5</v>
      </c>
      <c r="FZ29" s="13">
        <f>IF('Données projet'!$A$244&gt;35,FZ28+FY29-GH28,IF(A29&lt;'Données projet'!$A$244,$FW$205^A29,IF(A29='Données projet'!$A$244,'Données projet'!$B$244,FZ28+FY29-GH28)))</f>
        <v>97.499999999999972</v>
      </c>
      <c r="GA29" s="18">
        <f>FZ29*VLOOKUP('Données projet'!$B$17,Paramètres!$A$1:$I$89,3,0)*VLOOKUP('Données projet'!$B$17,Paramètres!$A$1:$I$89,5,0)</f>
        <v>76.049999999999983</v>
      </c>
      <c r="GB29" s="14">
        <f t="shared" si="49"/>
        <v>21.168560890749262</v>
      </c>
      <c r="GC29" s="22">
        <f t="shared" si="25"/>
        <v>169.32232688472158</v>
      </c>
      <c r="GD29" s="62">
        <f t="shared" si="26"/>
        <v>457.76677132916603</v>
      </c>
      <c r="GE29" s="62">
        <f ca="1">AVERAGE(OFFSET($GD$3,0,0,'Données projet'!$E$17+1,1))-AVERAGE(OFFSET($H$3,0,0,'Données projet'!$E$17+1,1))</f>
        <v>292.57482726862594</v>
      </c>
      <c r="GF29" s="62">
        <f t="shared" si="50"/>
        <v>283.48738729114024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8.8461538461538449</v>
      </c>
      <c r="GU29" s="13">
        <f>IF('Données projet'!$A$270&gt;35,GU28+GT29-HC28,IF(A29&lt;'Données projet'!$A$270,$GR$205^A29,IF(A29='Données projet'!$A$270,'Données projet'!$B$270,GU28+GT29-HC28)))</f>
        <v>116.53846153846155</v>
      </c>
      <c r="GV29" s="18">
        <f>GU29*VLOOKUP('Données projet'!$B$18,Paramètres!$A$1:$I$89,3,0)*VLOOKUP('Données projet'!$B$18,Paramètres!$A$1:$I$89,5,0)</f>
        <v>78.174000000000007</v>
      </c>
      <c r="GW29" s="14">
        <f t="shared" si="51"/>
        <v>21.690119443632522</v>
      </c>
      <c r="GX29" s="22">
        <f t="shared" si="28"/>
        <v>173.93000803099332</v>
      </c>
      <c r="GY29" s="62">
        <f t="shared" si="29"/>
        <v>462.37445247543781</v>
      </c>
      <c r="GZ29" s="62">
        <f ca="1">AVERAGE(OFFSET($GY$3,0,0,'Données projet'!$E$18+1,1))-AVERAGE(OFFSET($H$3,0,0,'Données projet'!$E$18+1,1))</f>
        <v>343.33067866534634</v>
      </c>
      <c r="HA29" s="62">
        <f t="shared" si="52"/>
        <v>261.91036689641402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508.77990078889337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94.707600000000028</v>
      </c>
      <c r="AK30" s="14">
        <f t="shared" si="35"/>
        <v>25.697193912523566</v>
      </c>
      <c r="AL30" s="22">
        <f t="shared" si="4"/>
        <v>209.70501606431188</v>
      </c>
      <c r="AM30" s="62">
        <f t="shared" si="5"/>
        <v>499.37168273097859</v>
      </c>
      <c r="AN30" s="62">
        <f ca="1">AVERAGE(OFFSET($AM$3,0,0,'Données projet'!$E$10+1,1))-AVERAGE(OFFSET($H$3,0,0,'Données projet'!$E$10+1,1))</f>
        <v>564.84596170333884</v>
      </c>
      <c r="AO30" s="62">
        <f t="shared" si="36"/>
        <v>306.61893266146666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169.39999999999998</v>
      </c>
      <c r="BE30" s="14">
        <f>BD30*VLOOKUP('Données projet'!$B$11,Paramètres!$A$1:$I$89,3,0)*VLOOKUP('Données projet'!$B$11,Paramètres!$A$1:$I$89,5,0)</f>
        <v>134.77464000000001</v>
      </c>
      <c r="BF30" s="14">
        <f t="shared" si="37"/>
        <v>35.097311734235603</v>
      </c>
      <c r="BG30" s="22">
        <f t="shared" si="7"/>
        <v>295.86031593712704</v>
      </c>
      <c r="BH30" s="62">
        <f t="shared" si="8"/>
        <v>585.52698260379373</v>
      </c>
      <c r="BI30" s="62">
        <f ca="1">AVERAGE(OFFSET($BH$3,0,0,'Données projet'!$E$11+1,1))-AVERAGE(OFFSET($H$3,0,0,'Données projet'!$E$11+1,1))</f>
        <v>370.79299728190904</v>
      </c>
      <c r="BJ30" s="62">
        <f t="shared" si="38"/>
        <v>404.95703400805775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</v>
      </c>
      <c r="BY30" s="13">
        <f>IF('Données projet'!$A$114&gt;35,BY29+BX30-CG29,IF(A30&lt;'Données projet'!$A$114,$BV$205^A30,IF(A30='Données projet'!$A$114,'Données projet'!$B$114,BY29+BX30-CG29)))</f>
        <v>169.39999999999998</v>
      </c>
      <c r="BZ30" s="14">
        <f>BY30*VLOOKUP('Données projet'!$B$12,Paramètres!$A$1:$I$89,3,0)*VLOOKUP('Données projet'!$B$12,Paramètres!$A$1:$I$89,5,0)</f>
        <v>134.77464000000001</v>
      </c>
      <c r="CA30" s="14">
        <f t="shared" si="39"/>
        <v>35.097311734235603</v>
      </c>
      <c r="CB30" s="22">
        <f t="shared" si="10"/>
        <v>295.86031593712704</v>
      </c>
      <c r="CC30" s="62">
        <f t="shared" si="11"/>
        <v>585.52698260379373</v>
      </c>
      <c r="CD30" s="62">
        <f ca="1">AVERAGE(OFFSET($CC$3,0,0,'Données projet'!$E$12+1,1))-AVERAGE(OFFSET($H$3,0,0,'Données projet'!$E$12+1,1))</f>
        <v>370.79299728190904</v>
      </c>
      <c r="CE30" s="62">
        <f t="shared" si="40"/>
        <v>404.95703400805775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</v>
      </c>
      <c r="CT30" s="13">
        <f>IF('Données projet'!$A$140&gt;35,CT29+CS30-DB29,IF(A30&lt;'Données projet'!$A$140,$CQ$205^A30,IF(A30='Données projet'!$A$140,'Données projet'!$B$140,CT29+CS30-DB29)))</f>
        <v>138.99999999999994</v>
      </c>
      <c r="CU30" s="18">
        <f>CT30*VLOOKUP('Données projet'!$B$13,Paramètres!$A$1:$I$89,3,0)*VLOOKUP('Données projet'!$B$13,Paramètres!$A$1:$I$89,5,0)</f>
        <v>121.43039999999996</v>
      </c>
      <c r="CV30" s="14">
        <f t="shared" si="41"/>
        <v>32.008386179504456</v>
      </c>
      <c r="CW30" s="22">
        <f t="shared" si="13"/>
        <v>267.23921926263682</v>
      </c>
      <c r="CX30" s="62">
        <f t="shared" si="14"/>
        <v>556.90588592930351</v>
      </c>
      <c r="CY30" s="62">
        <f ca="1">AVERAGE(OFFSET($CX$3,0,0,'Données projet'!$E$13+1,1))-AVERAGE(OFFSET($H$3,0,0,'Données projet'!$E$13+1,1))</f>
        <v>339.58437495284466</v>
      </c>
      <c r="CZ30" s="62">
        <f t="shared" si="42"/>
        <v>371.26234252426531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</v>
      </c>
      <c r="DO30" s="13">
        <f>IF('Données projet'!$A$166&gt;35,DO29+DN30-DW29,IF(A30&lt;'Données projet'!$A$166,$DL$205^A30,IF(A30='Données projet'!$A$166,'Données projet'!$B$166,DO29+DN30-DW29)))</f>
        <v>169.39999999999998</v>
      </c>
      <c r="DP30" s="18">
        <f>DO30*VLOOKUP('Données projet'!$B$14,Paramètres!$A$1:$I$89,3,0)*VLOOKUP('Données projet'!$B$14,Paramètres!$A$1:$I$89,5,0)</f>
        <v>124.20407999999998</v>
      </c>
      <c r="DQ30" s="14">
        <f t="shared" si="43"/>
        <v>32.653558222527792</v>
      </c>
      <c r="DR30" s="22">
        <f t="shared" si="16"/>
        <v>273.19371990423588</v>
      </c>
      <c r="DS30" s="62">
        <f t="shared" si="17"/>
        <v>562.86038657090262</v>
      </c>
      <c r="DT30" s="62">
        <f ca="1">AVERAGE(OFFSET($DS$3,0,0,'Données projet'!$E$14+1,1))-AVERAGE(OFFSET($H$3,0,0,'Données projet'!$E$14+1,1))</f>
        <v>344.63665697794022</v>
      </c>
      <c r="DU30" s="62">
        <f t="shared" si="44"/>
        <v>376.72762011188041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7.4358974358974361</v>
      </c>
      <c r="EJ30" s="13">
        <f>IF('Données projet'!$A$192&gt;35,EJ29+EI30-ER29,IF(A30&lt;'Données projet'!$A$192,$EG$205^A30,IF(A30='Données projet'!$A$192,'Données projet'!$B$192,EJ29+EI30-ER29)))</f>
        <v>101.41025641025642</v>
      </c>
      <c r="EK30" s="18">
        <f>EJ30*VLOOKUP('Données projet'!$B$15,Paramètres!$A$1:$I$89,3,0)*VLOOKUP('Données projet'!$B$15,Paramètres!$A$1:$I$89,5,0)</f>
        <v>96.50200000000001</v>
      </c>
      <c r="EL30" s="14">
        <f t="shared" si="45"/>
        <v>26.126928217693919</v>
      </c>
      <c r="EM30" s="22">
        <f t="shared" si="19"/>
        <v>213.57871664581691</v>
      </c>
      <c r="EN30" s="62">
        <f t="shared" si="20"/>
        <v>503.24538331248357</v>
      </c>
      <c r="EO30" s="62">
        <f ca="1">AVERAGE(OFFSET($EN$3,0,0,'Données projet'!$E$15+1,1))-AVERAGE(OFFSET($H$3,0,0,'Données projet'!$E$15+1,1))</f>
        <v>406.24139966722936</v>
      </c>
      <c r="EP30" s="62">
        <f t="shared" si="46"/>
        <v>295.95724296920577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9.1999999999999993</v>
      </c>
      <c r="FE30" s="13">
        <f>IF('Données projet'!$A$218&gt;35,FE29+FD30-FM29,IF(A30&lt;'Données projet'!$A$218,$FB$205^A30,IF(A30='Données projet'!$A$218,'Données projet'!$B$218,FE29+FD30-FM29)))</f>
        <v>93.40000000000002</v>
      </c>
      <c r="FF30" s="18">
        <f>FE30*VLOOKUP('Données projet'!$B$16,Paramètres!$A$1:$I$89,3,0)*VLOOKUP('Données projet'!$B$16,Paramètres!$A$1:$I$89,5,0)</f>
        <v>90.336480000000023</v>
      </c>
      <c r="FG30" s="14">
        <f t="shared" si="47"/>
        <v>24.646358234355564</v>
      </c>
      <c r="FH30" s="22">
        <f t="shared" si="22"/>
        <v>200.26177659150264</v>
      </c>
      <c r="FI30" s="62">
        <f t="shared" si="23"/>
        <v>489.9284432581693</v>
      </c>
      <c r="FJ30" s="62">
        <f ca="1">AVERAGE(OFFSET($FI$3,0,0,'Données projet'!$E$16+1,1))-AVERAGE(OFFSET($H$3,0,0,'Données projet'!$E$16+1,1))</f>
        <v>540.83352418045502</v>
      </c>
      <c r="FK30" s="62">
        <f t="shared" si="48"/>
        <v>294.45557293177131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11.5</v>
      </c>
      <c r="FZ30" s="13">
        <f>IF('Données projet'!$A$244&gt;35,FZ29+FY30-GH29,IF(A30&lt;'Données projet'!$A$244,$FW$205^A30,IF(A30='Données projet'!$A$244,'Données projet'!$B$244,FZ29+FY30-GH29)))</f>
        <v>108.99999999999997</v>
      </c>
      <c r="GA30" s="18">
        <f>FZ30*VLOOKUP('Données projet'!$B$17,Paramètres!$A$1:$I$89,3,0)*VLOOKUP('Données projet'!$B$17,Paramètres!$A$1:$I$89,5,0)</f>
        <v>85.019999999999982</v>
      </c>
      <c r="GB30" s="14">
        <f t="shared" si="49"/>
        <v>23.360218970693108</v>
      </c>
      <c r="GC30" s="22">
        <f t="shared" si="25"/>
        <v>188.76221470729047</v>
      </c>
      <c r="GD30" s="62">
        <f t="shared" si="26"/>
        <v>478.42888137395715</v>
      </c>
      <c r="GE30" s="62">
        <f ca="1">AVERAGE(OFFSET($GD$3,0,0,'Données projet'!$E$17+1,1))-AVERAGE(OFFSET($H$3,0,0,'Données projet'!$E$17+1,1))</f>
        <v>292.57482726862594</v>
      </c>
      <c r="GF30" s="62">
        <f t="shared" si="50"/>
        <v>283.48738729114024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8.8461538461538449</v>
      </c>
      <c r="GU30" s="13">
        <f>IF('Données projet'!$A$270&gt;35,GU29+GT30-HC29,IF(A30&lt;'Données projet'!$A$270,$GR$205^A30,IF(A30='Données projet'!$A$270,'Données projet'!$B$270,GU29+GT30-HC29)))</f>
        <v>125.38461538461539</v>
      </c>
      <c r="GV30" s="18">
        <f>GU30*VLOOKUP('Données projet'!$B$18,Paramètres!$A$1:$I$89,3,0)*VLOOKUP('Données projet'!$B$18,Paramètres!$A$1:$I$89,5,0)</f>
        <v>84.108000000000004</v>
      </c>
      <c r="GW30" s="14">
        <f t="shared" si="51"/>
        <v>23.1386655347386</v>
      </c>
      <c r="GX30" s="22">
        <f t="shared" si="28"/>
        <v>186.78794247300308</v>
      </c>
      <c r="GY30" s="62">
        <f t="shared" si="29"/>
        <v>476.45460913966974</v>
      </c>
      <c r="GZ30" s="62">
        <f ca="1">AVERAGE(OFFSET($GY$3,0,0,'Données projet'!$E$18+1,1))-AVERAGE(OFFSET($H$3,0,0,'Données projet'!$E$18+1,1))</f>
        <v>343.33067866534634</v>
      </c>
      <c r="HA30" s="62">
        <f t="shared" si="52"/>
        <v>261.91036689641402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508.77990078889337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104.03640000000003</v>
      </c>
      <c r="AK31" s="14">
        <f t="shared" si="35"/>
        <v>27.921388397820998</v>
      </c>
      <c r="AL31" s="22">
        <f t="shared" si="4"/>
        <v>229.82648145953826</v>
      </c>
      <c r="AM31" s="62">
        <f t="shared" si="5"/>
        <v>520.71537034842709</v>
      </c>
      <c r="AN31" s="62">
        <f ca="1">AVERAGE(OFFSET($AM$3,0,0,'Données projet'!$E$10+1,1))-AVERAGE(OFFSET($H$3,0,0,'Données projet'!$E$10+1,1))</f>
        <v>564.84596170333884</v>
      </c>
      <c r="AO31" s="62">
        <f t="shared" si="36"/>
        <v>306.61893266146666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183.59999999999997</v>
      </c>
      <c r="BE31" s="14">
        <f>BD31*VLOOKUP('Données projet'!$B$11,Paramètres!$A$1:$I$89,3,0)*VLOOKUP('Données projet'!$B$11,Paramètres!$A$1:$I$89,5,0)</f>
        <v>146.07215999999997</v>
      </c>
      <c r="BF31" s="14">
        <f t="shared" si="37"/>
        <v>37.684596095571003</v>
      </c>
      <c r="BG31" s="22">
        <f t="shared" si="7"/>
        <v>320.04301686645277</v>
      </c>
      <c r="BH31" s="62">
        <f t="shared" si="8"/>
        <v>610.93190575534163</v>
      </c>
      <c r="BI31" s="62">
        <f ca="1">AVERAGE(OFFSET($BH$3,0,0,'Données projet'!$E$11+1,1))-AVERAGE(OFFSET($H$3,0,0,'Données projet'!$E$11+1,1))</f>
        <v>370.79299728190904</v>
      </c>
      <c r="BJ31" s="62">
        <f t="shared" si="38"/>
        <v>404.95703400805775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</v>
      </c>
      <c r="BY31" s="13">
        <f>IF('Données projet'!$A$114&gt;35,BY30+BX31-CG30,IF(A31&lt;'Données projet'!$A$114,$BV$205^A31,IF(A31='Données projet'!$A$114,'Données projet'!$B$114,BY30+BX31-CG30)))</f>
        <v>183.59999999999997</v>
      </c>
      <c r="BZ31" s="14">
        <f>BY31*VLOOKUP('Données projet'!$B$12,Paramètres!$A$1:$I$89,3,0)*VLOOKUP('Données projet'!$B$12,Paramètres!$A$1:$I$89,5,0)</f>
        <v>146.07215999999997</v>
      </c>
      <c r="CA31" s="14">
        <f t="shared" si="39"/>
        <v>37.684596095571003</v>
      </c>
      <c r="CB31" s="22">
        <f t="shared" si="10"/>
        <v>320.04301686645277</v>
      </c>
      <c r="CC31" s="62">
        <f t="shared" si="11"/>
        <v>610.93190575534163</v>
      </c>
      <c r="CD31" s="62">
        <f ca="1">AVERAGE(OFFSET($CC$3,0,0,'Données projet'!$E$12+1,1))-AVERAGE(OFFSET($H$3,0,0,'Données projet'!$E$12+1,1))</f>
        <v>370.79299728190904</v>
      </c>
      <c r="CE31" s="62">
        <f t="shared" si="40"/>
        <v>404.95703400805775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</v>
      </c>
      <c r="CT31" s="13">
        <f>IF('Données projet'!$A$140&gt;35,CT30+CS31-DB30,IF(A31&lt;'Données projet'!$A$140,$CQ$205^A31,IF(A31='Données projet'!$A$140,'Données projet'!$B$140,CT30+CS31-DB30)))</f>
        <v>150.99999999999994</v>
      </c>
      <c r="CU31" s="18">
        <f>CT31*VLOOKUP('Données projet'!$B$13,Paramètres!$A$1:$I$89,3,0)*VLOOKUP('Données projet'!$B$13,Paramètres!$A$1:$I$89,5,0)</f>
        <v>131.91359999999997</v>
      </c>
      <c r="CV31" s="14">
        <f t="shared" si="41"/>
        <v>34.438159352115974</v>
      </c>
      <c r="CW31" s="22">
        <f t="shared" si="13"/>
        <v>289.72931420493524</v>
      </c>
      <c r="CX31" s="62">
        <f t="shared" si="14"/>
        <v>580.61820309382415</v>
      </c>
      <c r="CY31" s="62">
        <f ca="1">AVERAGE(OFFSET($CX$3,0,0,'Données projet'!$E$13+1,1))-AVERAGE(OFFSET($H$3,0,0,'Données projet'!$E$13+1,1))</f>
        <v>339.58437495284466</v>
      </c>
      <c r="CZ31" s="62">
        <f t="shared" si="42"/>
        <v>371.26234252426531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</v>
      </c>
      <c r="DO31" s="13">
        <f>IF('Données projet'!$A$166&gt;35,DO30+DN31-DW30,IF(A31&lt;'Données projet'!$A$166,$DL$205^A31,IF(A31='Données projet'!$A$166,'Données projet'!$B$166,DO30+DN31-DW30)))</f>
        <v>183.59999999999997</v>
      </c>
      <c r="DP31" s="18">
        <f>DO31*VLOOKUP('Données projet'!$B$14,Paramètres!$A$1:$I$89,3,0)*VLOOKUP('Données projet'!$B$14,Paramètres!$A$1:$I$89,5,0)</f>
        <v>134.61551999999998</v>
      </c>
      <c r="DQ31" s="14">
        <f t="shared" si="43"/>
        <v>35.060695303875569</v>
      </c>
      <c r="DR31" s="22">
        <f t="shared" si="16"/>
        <v>295.51940832091657</v>
      </c>
      <c r="DS31" s="62">
        <f t="shared" si="17"/>
        <v>586.40829720980537</v>
      </c>
      <c r="DT31" s="62">
        <f ca="1">AVERAGE(OFFSET($DS$3,0,0,'Données projet'!$E$14+1,1))-AVERAGE(OFFSET($H$3,0,0,'Données projet'!$E$14+1,1))</f>
        <v>344.63665697794022</v>
      </c>
      <c r="DU31" s="62">
        <f t="shared" si="44"/>
        <v>376.72762011188041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7.4358974358974361</v>
      </c>
      <c r="EJ31" s="13">
        <f>IF('Données projet'!$A$192&gt;35,EJ30+EI31-ER30,IF(A31&lt;'Données projet'!$A$192,$EG$205^A31,IF(A31='Données projet'!$A$192,'Données projet'!$B$192,EJ30+EI31-ER30)))</f>
        <v>108.84615384615385</v>
      </c>
      <c r="EK31" s="18">
        <f>EJ31*VLOOKUP('Données projet'!$B$15,Paramètres!$A$1:$I$89,3,0)*VLOOKUP('Données projet'!$B$15,Paramètres!$A$1:$I$89,5,0)</f>
        <v>103.57800000000002</v>
      </c>
      <c r="EL31" s="14">
        <f t="shared" si="45"/>
        <v>27.812654852530578</v>
      </c>
      <c r="EM31" s="22">
        <f t="shared" si="19"/>
        <v>228.83872386815744</v>
      </c>
      <c r="EN31" s="62">
        <f t="shared" si="20"/>
        <v>519.72761275704624</v>
      </c>
      <c r="EO31" s="62">
        <f ca="1">AVERAGE(OFFSET($EN$3,0,0,'Données projet'!$E$15+1,1))-AVERAGE(OFFSET($H$3,0,0,'Données projet'!$E$15+1,1))</f>
        <v>406.24139966722936</v>
      </c>
      <c r="EP31" s="62">
        <f t="shared" si="46"/>
        <v>295.95724296920577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9.1999999999999993</v>
      </c>
      <c r="FE31" s="13">
        <f>IF('Données projet'!$A$218&gt;35,FE30+FD31-FM30,IF(A31&lt;'Données projet'!$A$218,$FB$205^A31,IF(A31='Données projet'!$A$218,'Données projet'!$B$218,FE30+FD31-FM30)))</f>
        <v>102.60000000000002</v>
      </c>
      <c r="FF31" s="18">
        <f>FE31*VLOOKUP('Données projet'!$B$16,Paramètres!$A$1:$I$89,3,0)*VLOOKUP('Données projet'!$B$16,Paramètres!$A$1:$I$89,5,0)</f>
        <v>99.234720000000024</v>
      </c>
      <c r="FG31" s="14">
        <f t="shared" si="47"/>
        <v>26.779598706219044</v>
      </c>
      <c r="FH31" s="22">
        <f t="shared" si="22"/>
        <v>219.47493841333153</v>
      </c>
      <c r="FI31" s="62">
        <f t="shared" si="23"/>
        <v>510.36382730222039</v>
      </c>
      <c r="FJ31" s="62">
        <f ca="1">AVERAGE(OFFSET($FI$3,0,0,'Données projet'!$E$16+1,1))-AVERAGE(OFFSET($H$3,0,0,'Données projet'!$E$16+1,1))</f>
        <v>540.83352418045502</v>
      </c>
      <c r="FK31" s="62">
        <f t="shared" si="48"/>
        <v>294.45557293177131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11.5</v>
      </c>
      <c r="FZ31" s="13">
        <f>IF('Données projet'!$A$244&gt;35,FZ30+FY31-GH30,IF(A31&lt;'Données projet'!$A$244,$FW$205^A31,IF(A31='Données projet'!$A$244,'Données projet'!$B$244,FZ30+FY31-GH30)))</f>
        <v>120.49999999999997</v>
      </c>
      <c r="GA31" s="18">
        <f>FZ31*VLOOKUP('Données projet'!$B$17,Paramètres!$A$1:$I$89,3,0)*VLOOKUP('Données projet'!$B$17,Paramètres!$A$1:$I$89,5,0)</f>
        <v>93.989999999999981</v>
      </c>
      <c r="GB31" s="14">
        <f t="shared" si="49"/>
        <v>25.525074036970079</v>
      </c>
      <c r="GC31" s="22">
        <f t="shared" si="25"/>
        <v>208.15542061438953</v>
      </c>
      <c r="GD31" s="62">
        <f t="shared" si="26"/>
        <v>499.04430950327838</v>
      </c>
      <c r="GE31" s="62">
        <f ca="1">AVERAGE(OFFSET($GD$3,0,0,'Données projet'!$E$17+1,1))-AVERAGE(OFFSET($H$3,0,0,'Données projet'!$E$17+1,1))</f>
        <v>292.57482726862594</v>
      </c>
      <c r="GF31" s="62">
        <f t="shared" si="50"/>
        <v>283.48738729114024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8.8461538461538449</v>
      </c>
      <c r="GU31" s="13">
        <f>IF('Données projet'!$A$270&gt;35,GU30+GT31-HC30,IF(A31&lt;'Données projet'!$A$270,$GR$205^A31,IF(A31='Données projet'!$A$270,'Données projet'!$B$270,GU30+GT31-HC30)))</f>
        <v>134.23076923076923</v>
      </c>
      <c r="GV31" s="18">
        <f>GU31*VLOOKUP('Données projet'!$B$18,Paramètres!$A$1:$I$89,3,0)*VLOOKUP('Données projet'!$B$18,Paramètres!$A$1:$I$89,5,0)</f>
        <v>90.042000000000002</v>
      </c>
      <c r="GW31" s="14">
        <f t="shared" si="51"/>
        <v>24.575354107485161</v>
      </c>
      <c r="GX31" s="22">
        <f t="shared" si="28"/>
        <v>199.62522507053666</v>
      </c>
      <c r="GY31" s="62">
        <f t="shared" si="29"/>
        <v>490.51411395942552</v>
      </c>
      <c r="GZ31" s="62">
        <f ca="1">AVERAGE(OFFSET($GY$3,0,0,'Données projet'!$E$18+1,1))-AVERAGE(OFFSET($H$3,0,0,'Données projet'!$E$18+1,1))</f>
        <v>343.33067866534634</v>
      </c>
      <c r="HA31" s="62">
        <f t="shared" si="52"/>
        <v>261.91036689641402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508.77990078889337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113.36520000000003</v>
      </c>
      <c r="AK32" s="14">
        <f t="shared" si="35"/>
        <v>30.122456058687614</v>
      </c>
      <c r="AL32" s="22">
        <f t="shared" si="4"/>
        <v>249.9076676355476</v>
      </c>
      <c r="AM32" s="62">
        <f t="shared" si="5"/>
        <v>542.01877874665877</v>
      </c>
      <c r="AN32" s="62">
        <f ca="1">AVERAGE(OFFSET($AM$3,0,0,'Données projet'!$E$10+1,1))-AVERAGE(OFFSET($H$3,0,0,'Données projet'!$E$10+1,1))</f>
        <v>564.84596170333884</v>
      </c>
      <c r="AO32" s="62">
        <f t="shared" si="36"/>
        <v>306.61893266146666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197.79999999999995</v>
      </c>
      <c r="BE32" s="14">
        <f>BD32*VLOOKUP('Données projet'!$B$11,Paramètres!$A$1:$I$89,3,0)*VLOOKUP('Données projet'!$B$11,Paramètres!$A$1:$I$89,5,0)</f>
        <v>157.36967999999996</v>
      </c>
      <c r="BF32" s="14">
        <f t="shared" si="37"/>
        <v>40.248668251494934</v>
      </c>
      <c r="BG32" s="22">
        <f t="shared" si="7"/>
        <v>344.18528987135363</v>
      </c>
      <c r="BH32" s="62">
        <f t="shared" si="8"/>
        <v>636.29640098246477</v>
      </c>
      <c r="BI32" s="62">
        <f ca="1">AVERAGE(OFFSET($BH$3,0,0,'Données projet'!$E$11+1,1))-AVERAGE(OFFSET($H$3,0,0,'Données projet'!$E$11+1,1))</f>
        <v>370.79299728190904</v>
      </c>
      <c r="BJ32" s="62">
        <f t="shared" si="38"/>
        <v>404.95703400805775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</v>
      </c>
      <c r="BY32" s="13">
        <f>IF('Données projet'!$A$114&gt;35,BY31+BX32-CG31,IF(A32&lt;'Données projet'!$A$114,$BV$205^A32,IF(A32='Données projet'!$A$114,'Données projet'!$B$114,BY31+BX32-CG31)))</f>
        <v>197.79999999999995</v>
      </c>
      <c r="BZ32" s="14">
        <f>BY32*VLOOKUP('Données projet'!$B$12,Paramètres!$A$1:$I$89,3,0)*VLOOKUP('Données projet'!$B$12,Paramètres!$A$1:$I$89,5,0)</f>
        <v>157.36967999999996</v>
      </c>
      <c r="CA32" s="14">
        <f t="shared" si="39"/>
        <v>40.248668251494934</v>
      </c>
      <c r="CB32" s="22">
        <f t="shared" si="10"/>
        <v>344.18528987135363</v>
      </c>
      <c r="CC32" s="62">
        <f t="shared" si="11"/>
        <v>636.29640098246477</v>
      </c>
      <c r="CD32" s="62">
        <f ca="1">AVERAGE(OFFSET($CC$3,0,0,'Données projet'!$E$12+1,1))-AVERAGE(OFFSET($H$3,0,0,'Données projet'!$E$12+1,1))</f>
        <v>370.79299728190904</v>
      </c>
      <c r="CE32" s="62">
        <f t="shared" si="40"/>
        <v>404.95703400805775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</v>
      </c>
      <c r="CT32" s="13">
        <f>IF('Données projet'!$A$140&gt;35,CT31+CS32-DB31,IF(A32&lt;'Données projet'!$A$140,$CQ$205^A32,IF(A32='Données projet'!$A$140,'Données projet'!$B$140,CT31+CS32-DB31)))</f>
        <v>162.99999999999994</v>
      </c>
      <c r="CU32" s="18">
        <f>CT32*VLOOKUP('Données projet'!$B$13,Paramètres!$A$1:$I$89,3,0)*VLOOKUP('Données projet'!$B$13,Paramètres!$A$1:$I$89,5,0)</f>
        <v>142.39679999999996</v>
      </c>
      <c r="CV32" s="14">
        <f t="shared" si="41"/>
        <v>36.84553508447695</v>
      </c>
      <c r="CW32" s="22">
        <f t="shared" si="13"/>
        <v>312.18040027213061</v>
      </c>
      <c r="CX32" s="62">
        <f t="shared" si="14"/>
        <v>604.29151138324175</v>
      </c>
      <c r="CY32" s="62">
        <f ca="1">AVERAGE(OFFSET($CX$3,0,0,'Données projet'!$E$13+1,1))-AVERAGE(OFFSET($H$3,0,0,'Données projet'!$E$13+1,1))</f>
        <v>339.58437495284466</v>
      </c>
      <c r="CZ32" s="62">
        <f t="shared" si="42"/>
        <v>371.26234252426531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</v>
      </c>
      <c r="DO32" s="13">
        <f>IF('Données projet'!$A$166&gt;35,DO31+DN32-DW31,IF(A32&lt;'Données projet'!$A$166,$DL$205^A32,IF(A32='Données projet'!$A$166,'Données projet'!$B$166,DO31+DN32-DW31)))</f>
        <v>197.79999999999995</v>
      </c>
      <c r="DP32" s="18">
        <f>DO32*VLOOKUP('Données projet'!$B$14,Paramètres!$A$1:$I$89,3,0)*VLOOKUP('Données projet'!$B$14,Paramètres!$A$1:$I$89,5,0)</f>
        <v>145.02695999999997</v>
      </c>
      <c r="DQ32" s="14">
        <f t="shared" si="43"/>
        <v>37.446236397854975</v>
      </c>
      <c r="DR32" s="22">
        <f t="shared" si="16"/>
        <v>317.80748372626402</v>
      </c>
      <c r="DS32" s="62">
        <f t="shared" si="17"/>
        <v>609.91859483737517</v>
      </c>
      <c r="DT32" s="62">
        <f ca="1">AVERAGE(OFFSET($DS$3,0,0,'Données projet'!$E$14+1,1))-AVERAGE(OFFSET($H$3,0,0,'Données projet'!$E$14+1,1))</f>
        <v>344.63665697794022</v>
      </c>
      <c r="DU32" s="62">
        <f t="shared" si="44"/>
        <v>376.72762011188041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7.4358974358974361</v>
      </c>
      <c r="EJ32" s="13">
        <f>IF('Données projet'!$A$192&gt;35,EJ31+EI32-ER31,IF(A32&lt;'Données projet'!$A$192,$EG$205^A32,IF(A32='Données projet'!$A$192,'Données projet'!$B$192,EJ31+EI32-ER31)))</f>
        <v>116.28205128205128</v>
      </c>
      <c r="EK32" s="18">
        <f>EJ32*VLOOKUP('Données projet'!$B$15,Paramètres!$A$1:$I$89,3,0)*VLOOKUP('Données projet'!$B$15,Paramètres!$A$1:$I$89,5,0)</f>
        <v>110.654</v>
      </c>
      <c r="EL32" s="14">
        <f t="shared" si="45"/>
        <v>29.48501887296996</v>
      </c>
      <c r="EM32" s="22">
        <f t="shared" si="19"/>
        <v>244.0754578704227</v>
      </c>
      <c r="EN32" s="62">
        <f t="shared" si="20"/>
        <v>536.18656898153381</v>
      </c>
      <c r="EO32" s="62">
        <f ca="1">AVERAGE(OFFSET($EN$3,0,0,'Données projet'!$E$15+1,1))-AVERAGE(OFFSET($H$3,0,0,'Données projet'!$E$15+1,1))</f>
        <v>406.24139966722936</v>
      </c>
      <c r="EP32" s="62">
        <f t="shared" si="46"/>
        <v>295.95724296920577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9.1999999999999993</v>
      </c>
      <c r="FE32" s="13">
        <f>IF('Données projet'!$A$218&gt;35,FE31+FD32-FM31,IF(A32&lt;'Données projet'!$A$218,$FB$205^A32,IF(A32='Données projet'!$A$218,'Données projet'!$B$218,FE31+FD32-FM31)))</f>
        <v>111.80000000000003</v>
      </c>
      <c r="FF32" s="18">
        <f>FE32*VLOOKUP('Données projet'!$B$16,Paramètres!$A$1:$I$89,3,0)*VLOOKUP('Données projet'!$B$16,Paramètres!$A$1:$I$89,5,0)</f>
        <v>108.13296000000003</v>
      </c>
      <c r="FG32" s="14">
        <f t="shared" si="47"/>
        <v>28.890658079177882</v>
      </c>
      <c r="FH32" s="22">
        <f t="shared" si="22"/>
        <v>238.64946815456821</v>
      </c>
      <c r="FI32" s="62">
        <f t="shared" si="23"/>
        <v>530.76057926567933</v>
      </c>
      <c r="FJ32" s="62">
        <f ca="1">AVERAGE(OFFSET($FI$3,0,0,'Données projet'!$E$16+1,1))-AVERAGE(OFFSET($H$3,0,0,'Données projet'!$E$16+1,1))</f>
        <v>540.83352418045502</v>
      </c>
      <c r="FK32" s="62">
        <f t="shared" si="48"/>
        <v>294.45557293177131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11.5</v>
      </c>
      <c r="FZ32" s="13">
        <f>IF('Données projet'!$A$244&gt;35,FZ31+FY32-GH31,IF(A32&lt;'Données projet'!$A$244,$FW$205^A32,IF(A32='Données projet'!$A$244,'Données projet'!$B$244,FZ31+FY32-GH31)))</f>
        <v>131.99999999999997</v>
      </c>
      <c r="GA32" s="18">
        <f>FZ32*VLOOKUP('Données projet'!$B$17,Paramètres!$A$1:$I$89,3,0)*VLOOKUP('Données projet'!$B$17,Paramètres!$A$1:$I$89,5,0)</f>
        <v>102.95999999999998</v>
      </c>
      <c r="GB32" s="14">
        <f t="shared" si="49"/>
        <v>27.665975080374633</v>
      </c>
      <c r="GC32" s="22">
        <f t="shared" si="25"/>
        <v>227.50690659831912</v>
      </c>
      <c r="GD32" s="62">
        <f t="shared" si="26"/>
        <v>519.61801770943021</v>
      </c>
      <c r="GE32" s="62">
        <f ca="1">AVERAGE(OFFSET($GD$3,0,0,'Données projet'!$E$17+1,1))-AVERAGE(OFFSET($H$3,0,0,'Données projet'!$E$17+1,1))</f>
        <v>292.57482726862594</v>
      </c>
      <c r="GF32" s="62">
        <f t="shared" si="50"/>
        <v>283.48738729114024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8.8461538461538449</v>
      </c>
      <c r="GU32" s="13">
        <f>IF('Données projet'!$A$270&gt;35,GU31+GT32-HC31,IF(A32&lt;'Données projet'!$A$270,$GR$205^A32,IF(A32='Données projet'!$A$270,'Données projet'!$B$270,GU31+GT32-HC31)))</f>
        <v>143.07692307692307</v>
      </c>
      <c r="GV32" s="18">
        <f>GU32*VLOOKUP('Données projet'!$B$18,Paramètres!$A$1:$I$89,3,0)*VLOOKUP('Données projet'!$B$18,Paramètres!$A$1:$I$89,5,0)</f>
        <v>95.975999999999985</v>
      </c>
      <c r="GW32" s="14">
        <f t="shared" si="51"/>
        <v>26.001055526327377</v>
      </c>
      <c r="GX32" s="22">
        <f t="shared" si="28"/>
        <v>212.44337170835345</v>
      </c>
      <c r="GY32" s="62">
        <f t="shared" si="29"/>
        <v>504.55448281946462</v>
      </c>
      <c r="GZ32" s="62">
        <f ca="1">AVERAGE(OFFSET($GY$3,0,0,'Données projet'!$E$18+1,1))-AVERAGE(OFFSET($H$3,0,0,'Données projet'!$E$18+1,1))</f>
        <v>343.33067866534634</v>
      </c>
      <c r="HA32" s="62">
        <f t="shared" si="52"/>
        <v>261.91036689641402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508.77990078889337</v>
      </c>
      <c r="T33" s="62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122.69400000000003</v>
      </c>
      <c r="AK33" s="14">
        <f t="shared" si="35"/>
        <v>32.302516360650685</v>
      </c>
      <c r="AL33" s="22">
        <f t="shared" si="4"/>
        <v>269.95226599480003</v>
      </c>
      <c r="AM33" s="62">
        <f t="shared" si="5"/>
        <v>563.28559932813334</v>
      </c>
      <c r="AN33" s="62">
        <f ca="1">AVERAGE(OFFSET($AM$3,0,0,'Données projet'!$E$10+1,1))-AVERAGE(OFFSET($H$3,0,0,'Données projet'!$E$10+1,1))</f>
        <v>564.84596170333884</v>
      </c>
      <c r="AO33" s="62">
        <f t="shared" si="36"/>
        <v>306.61893266146666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212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211.99999999999994</v>
      </c>
      <c r="BE33" s="14">
        <f>BD33*VLOOKUP('Données projet'!$B$11,Paramètres!$A$1:$I$89,3,0)*VLOOKUP('Données projet'!$B$11,Paramètres!$A$1:$I$89,5,0)</f>
        <v>168.66719999999998</v>
      </c>
      <c r="BF33" s="14">
        <f t="shared" si="37"/>
        <v>42.791384119459089</v>
      </c>
      <c r="BG33" s="22">
        <f t="shared" si="7"/>
        <v>368.29036734139117</v>
      </c>
      <c r="BH33" s="62">
        <f t="shared" si="8"/>
        <v>661.62370067472443</v>
      </c>
      <c r="BI33" s="62">
        <f ca="1">AVERAGE(OFFSET($BH$3,0,0,'Données projet'!$E$11+1,1))-AVERAGE(OFFSET($H$3,0,0,'Données projet'!$E$11+1,1))</f>
        <v>370.79299728190904</v>
      </c>
      <c r="BJ33" s="62">
        <f t="shared" si="38"/>
        <v>404.95703400805775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70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212</v>
      </c>
      <c r="BW33" s="13">
        <f>VLOOKUP(A33,'Données projet'!$A$113:$I$133,9,0)</f>
        <v>14.2</v>
      </c>
      <c r="BX33" s="13">
        <f t="array" ref="BX33">INDEX(BW:BW,MIN(IF(ISNUMBER(BW33:BW229),ROW(BW33:BW229),"")))</f>
        <v>14.2</v>
      </c>
      <c r="BY33" s="13">
        <f>IF('Données projet'!$A$114&gt;35,BY32+BX33-CG32,IF(A33&lt;'Données projet'!$A$114,$BV$205^A33,IF(A33='Données projet'!$A$114,'Données projet'!$B$114,BY32+BX33-CG32)))</f>
        <v>211.99999999999994</v>
      </c>
      <c r="BZ33" s="14">
        <f>BY33*VLOOKUP('Données projet'!$B$12,Paramètres!$A$1:$I$89,3,0)*VLOOKUP('Données projet'!$B$12,Paramètres!$A$1:$I$89,5,0)</f>
        <v>168.66719999999998</v>
      </c>
      <c r="CA33" s="14">
        <f t="shared" si="39"/>
        <v>42.791384119459089</v>
      </c>
      <c r="CB33" s="22">
        <f t="shared" si="10"/>
        <v>368.29036734139117</v>
      </c>
      <c r="CC33" s="62">
        <f t="shared" si="11"/>
        <v>661.62370067472443</v>
      </c>
      <c r="CD33" s="62">
        <f ca="1">AVERAGE(OFFSET($CC$3,0,0,'Données projet'!$E$12+1,1))-AVERAGE(OFFSET($H$3,0,0,'Données projet'!$E$12+1,1))</f>
        <v>370.79299728190904</v>
      </c>
      <c r="CE33" s="62">
        <f t="shared" si="40"/>
        <v>404.95703400805775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70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175</v>
      </c>
      <c r="CR33" s="13">
        <f>VLOOKUP(A33,'Données projet'!$A$139:$I$159,9,0)</f>
        <v>12</v>
      </c>
      <c r="CS33" s="13">
        <f t="array" ref="CS33">INDEX(CR:CR,MIN(IF(ISNUMBER(CR33:CR229),ROW(CR33:CR229),"")))</f>
        <v>12</v>
      </c>
      <c r="CT33" s="13">
        <f>IF('Données projet'!$A$140&gt;35,CT32+CS33-DB32,IF(A33&lt;'Données projet'!$A$140,$CQ$205^A33,IF(A33='Données projet'!$A$140,'Données projet'!$B$140,CT32+CS33-DB32)))</f>
        <v>174.99999999999994</v>
      </c>
      <c r="CU33" s="18">
        <f>CT33*VLOOKUP('Données projet'!$B$13,Paramètres!$A$1:$I$89,3,0)*VLOOKUP('Données projet'!$B$13,Paramètres!$A$1:$I$89,5,0)</f>
        <v>152.87999999999997</v>
      </c>
      <c r="CV33" s="14">
        <f t="shared" si="41"/>
        <v>39.232349774697852</v>
      </c>
      <c r="CW33" s="22">
        <f t="shared" si="13"/>
        <v>334.59567585759868</v>
      </c>
      <c r="CX33" s="62">
        <f t="shared" si="14"/>
        <v>627.92900919093199</v>
      </c>
      <c r="CY33" s="62">
        <f ca="1">AVERAGE(OFFSET($CX$3,0,0,'Données projet'!$E$13+1,1))-AVERAGE(OFFSET($H$3,0,0,'Données projet'!$E$13+1,1))</f>
        <v>339.58437495284466</v>
      </c>
      <c r="CZ33" s="62">
        <f t="shared" si="42"/>
        <v>371.26234252426531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56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212</v>
      </c>
      <c r="DM33" s="13">
        <f>VLOOKUP(A33,'Données projet'!$A$165:$I$185,9,0)</f>
        <v>14.2</v>
      </c>
      <c r="DN33" s="13">
        <f t="array" ref="DN33">INDEX(DM:DM,MIN(IF(ISNUMBER(DM33:DM229),ROW(DM33:DM229),"")))</f>
        <v>14.2</v>
      </c>
      <c r="DO33" s="13">
        <f>IF('Données projet'!$A$166&gt;35,DO32+DN33-DW32,IF(A33&lt;'Données projet'!$A$166,$DL$205^A33,IF(A33='Données projet'!$A$166,'Données projet'!$B$166,DO32+DN33-DW32)))</f>
        <v>211.99999999999994</v>
      </c>
      <c r="DP33" s="18">
        <f>DO33*VLOOKUP('Données projet'!$B$14,Paramètres!$A$1:$I$89,3,0)*VLOOKUP('Données projet'!$B$14,Paramètres!$A$1:$I$89,5,0)</f>
        <v>155.43839999999997</v>
      </c>
      <c r="DQ33" s="14">
        <f t="shared" si="43"/>
        <v>39.811908198208918</v>
      </c>
      <c r="DR33" s="22">
        <f t="shared" si="16"/>
        <v>340.06095344521378</v>
      </c>
      <c r="DS33" s="62">
        <f t="shared" si="17"/>
        <v>633.3942867785471</v>
      </c>
      <c r="DT33" s="62">
        <f ca="1">AVERAGE(OFFSET($DS$3,0,0,'Données projet'!$E$14+1,1))-AVERAGE(OFFSET($H$3,0,0,'Données projet'!$E$14+1,1))</f>
        <v>344.63665697794022</v>
      </c>
      <c r="DU33" s="62">
        <f t="shared" si="44"/>
        <v>376.72762011188041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70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123.71794871794872</v>
      </c>
      <c r="EH33" s="13">
        <f>VLOOKUP(A33,'Données projet'!$A$191:$I$211,9,0)</f>
        <v>7.4358974358974361</v>
      </c>
      <c r="EI33" s="13">
        <f t="array" ref="EI33">INDEX(EH:EH,MIN(IF(ISNUMBER(EH33:EH229),ROW(EH33:EH229),"")))</f>
        <v>7.4358974358974361</v>
      </c>
      <c r="EJ33" s="13">
        <f>IF('Données projet'!$A$192&gt;35,EJ32+EI33-ER32,IF(A33&lt;'Données projet'!$A$192,$EG$205^A33,IF(A33='Données projet'!$A$192,'Données projet'!$B$192,EJ32+EI33-ER32)))</f>
        <v>123.71794871794872</v>
      </c>
      <c r="EK33" s="18">
        <f>EJ33*VLOOKUP('Données projet'!$B$15,Paramètres!$A$1:$I$89,3,0)*VLOOKUP('Données projet'!$B$15,Paramètres!$A$1:$I$89,5,0)</f>
        <v>117.73</v>
      </c>
      <c r="EL33" s="14">
        <f t="shared" si="45"/>
        <v>31.144972039735432</v>
      </c>
      <c r="EM33" s="22">
        <f t="shared" si="19"/>
        <v>259.29057630253919</v>
      </c>
      <c r="EN33" s="62">
        <f t="shared" si="20"/>
        <v>552.62390963587245</v>
      </c>
      <c r="EO33" s="62">
        <f ca="1">AVERAGE(OFFSET($EN$3,0,0,'Données projet'!$E$15+1,1))-AVERAGE(OFFSET($H$3,0,0,'Données projet'!$E$15+1,1))</f>
        <v>406.24139966722936</v>
      </c>
      <c r="EP33" s="62">
        <f t="shared" si="46"/>
        <v>295.95724296920577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121</v>
      </c>
      <c r="FC33" s="13">
        <f>VLOOKUP(A33,'Données projet'!$A$217:$I$237,9,0)</f>
        <v>9.1999999999999993</v>
      </c>
      <c r="FD33" s="13">
        <f t="array" ref="FD33">INDEX(FC:FC,MIN(IF(ISNUMBER(FC33:FC229),ROW(FC33:FC229),"")))</f>
        <v>9.1999999999999993</v>
      </c>
      <c r="FE33" s="13">
        <f>IF('Données projet'!$A$218&gt;35,FE32+FD33-FM32,IF(A33&lt;'Données projet'!$A$218,$FB$205^A33,IF(A33='Données projet'!$A$218,'Données projet'!$B$218,FE32+FD33-FM32)))</f>
        <v>121.00000000000003</v>
      </c>
      <c r="FF33" s="18">
        <f>FE33*VLOOKUP('Données projet'!$B$16,Paramètres!$A$1:$I$89,3,0)*VLOOKUP('Données projet'!$B$16,Paramètres!$A$1:$I$89,5,0)</f>
        <v>117.03120000000003</v>
      </c>
      <c r="FG33" s="14">
        <f t="shared" si="47"/>
        <v>30.981569147428555</v>
      </c>
      <c r="FH33" s="22">
        <f t="shared" si="22"/>
        <v>257.78890626510474</v>
      </c>
      <c r="FI33" s="62">
        <f t="shared" si="23"/>
        <v>551.122239598438</v>
      </c>
      <c r="FJ33" s="62">
        <f ca="1">AVERAGE(OFFSET($FI$3,0,0,'Données projet'!$E$16+1,1))-AVERAGE(OFFSET($H$3,0,0,'Données projet'!$E$16+1,1))</f>
        <v>540.83352418045502</v>
      </c>
      <c r="FK33" s="62">
        <f t="shared" si="48"/>
        <v>294.45557293177131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11.5</v>
      </c>
      <c r="FZ33" s="13">
        <f>IF('Données projet'!$A$244&gt;35,FZ32+FY33-GH32,IF(A33&lt;'Données projet'!$A$244,$FW$205^A33,IF(A33='Données projet'!$A$244,'Données projet'!$B$244,FZ32+FY33-GH32)))</f>
        <v>143.49999999999997</v>
      </c>
      <c r="GA33" s="18">
        <f>FZ33*VLOOKUP('Données projet'!$B$17,Paramètres!$A$1:$I$89,3,0)*VLOOKUP('Données projet'!$B$17,Paramètres!$A$1:$I$89,5,0)</f>
        <v>111.92999999999998</v>
      </c>
      <c r="GB33" s="14">
        <f t="shared" si="49"/>
        <v>29.785246291563833</v>
      </c>
      <c r="GC33" s="22">
        <f t="shared" si="25"/>
        <v>246.82072062447358</v>
      </c>
      <c r="GD33" s="62">
        <f t="shared" si="26"/>
        <v>540.15405395780692</v>
      </c>
      <c r="GE33" s="62">
        <f ca="1">AVERAGE(OFFSET($GD$3,0,0,'Données projet'!$E$17+1,1))-AVERAGE(OFFSET($H$3,0,0,'Données projet'!$E$17+1,1))</f>
        <v>292.57482726862594</v>
      </c>
      <c r="GF33" s="62">
        <f t="shared" si="50"/>
        <v>283.48738729114024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151.92307692307691</v>
      </c>
      <c r="GS33" s="13">
        <f>VLOOKUP(A33,'Données projet'!$A$269:$I$289,9,0)</f>
        <v>8.8461538461538449</v>
      </c>
      <c r="GT33" s="13">
        <f t="array" ref="GT33">INDEX(GS:GS,MIN(IF(ISNUMBER(GS33:GS229),ROW(GS33:GS229),"")))</f>
        <v>8.8461538461538449</v>
      </c>
      <c r="GU33" s="13">
        <f>IF('Données projet'!$A$270&gt;35,GU32+GT33-HC32,IF(A33&lt;'Données projet'!$A$270,$GR$205^A33,IF(A33='Données projet'!$A$270,'Données projet'!$B$270,GU32+GT33-HC32)))</f>
        <v>151.92307692307691</v>
      </c>
      <c r="GV33" s="18">
        <f>GU33*VLOOKUP('Données projet'!$B$18,Paramètres!$A$1:$I$89,3,0)*VLOOKUP('Données projet'!$B$18,Paramètres!$A$1:$I$89,5,0)</f>
        <v>101.90999999999998</v>
      </c>
      <c r="GW33" s="14">
        <f t="shared" si="51"/>
        <v>27.416526447701855</v>
      </c>
      <c r="GX33" s="22">
        <f t="shared" si="28"/>
        <v>225.24370022974736</v>
      </c>
      <c r="GY33" s="62">
        <f t="shared" si="29"/>
        <v>518.5770335630807</v>
      </c>
      <c r="GZ33" s="62">
        <f ca="1">AVERAGE(OFFSET($GY$3,0,0,'Données projet'!$E$18+1,1))-AVERAGE(OFFSET($H$3,0,0,'Données projet'!$E$18+1,1))</f>
        <v>343.33067866534634</v>
      </c>
      <c r="HA33" s="62">
        <f t="shared" si="52"/>
        <v>261.91036689641402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555.8952725195021</v>
      </c>
      <c r="S34" s="62">
        <f ca="1">AVERAGE(OFFSET($R$3,0,0,'Données projet'!$E$9+1,1))-AVERAGE(OFFSET($H$3,0,0,'Données projet'!$E$9+1,1))</f>
        <v>508.77990078889337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projet'!$B$10,Paramètres!$A$1:$I$89,3,0)*VLOOKUP('Données projet'!$B$10,Paramètres!$A$1:$I$89,5,0)</f>
        <v>133.64520000000005</v>
      </c>
      <c r="AK34" s="14">
        <f t="shared" si="35"/>
        <v>34.837297589797402</v>
      </c>
      <c r="AL34" s="22">
        <f t="shared" si="4"/>
        <v>293.44034996889724</v>
      </c>
      <c r="AM34" s="62">
        <f t="shared" si="5"/>
        <v>586.77368330223055</v>
      </c>
      <c r="AN34" s="62">
        <f ca="1">AVERAGE(OFFSET($AM$3,0,0,'Données projet'!$E$10+1,1))-AVERAGE(OFFSET($H$3,0,0,'Données projet'!$E$10+1,1))</f>
        <v>564.84596170333884</v>
      </c>
      <c r="AO34" s="62">
        <f t="shared" si="36"/>
        <v>306.61893266146666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</v>
      </c>
      <c r="BD34" s="13">
        <f>IF('Données projet'!$A$88&gt;35,BD33+BC34-BL33,IF(A34&lt;'Données projet'!$A$88,$BA$205^A34,IF(A34='Données projet'!$A$88,'Données projet'!$B$88,BD33+BC34-BL33)))</f>
        <v>154.79999999999995</v>
      </c>
      <c r="BE34" s="14">
        <f>BD34*VLOOKUP('Données projet'!$B$11,Paramètres!$A$1:$I$89,3,0)*VLOOKUP('Données projet'!$B$11,Paramètres!$A$1:$I$89,5,0)</f>
        <v>123.15887999999997</v>
      </c>
      <c r="BF34" s="14">
        <f t="shared" si="37"/>
        <v>32.410638331814873</v>
      </c>
      <c r="BG34" s="22">
        <f t="shared" si="7"/>
        <v>270.95024442791083</v>
      </c>
      <c r="BH34" s="62">
        <f t="shared" si="8"/>
        <v>564.28357776124415</v>
      </c>
      <c r="BI34" s="62">
        <f ca="1">AVERAGE(OFFSET($BH$3,0,0,'Données projet'!$E$11+1,1))-AVERAGE(OFFSET($H$3,0,0,'Données projet'!$E$11+1,1))</f>
        <v>370.79299728190904</v>
      </c>
      <c r="BJ34" s="62">
        <f t="shared" si="38"/>
        <v>404.95703400805775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12.8</v>
      </c>
      <c r="BY34" s="13">
        <f>IF('Données projet'!$A$114&gt;35,BY33+BX34-CG33,IF(A34&lt;'Données projet'!$A$114,$BV$205^A34,IF(A34='Données projet'!$A$114,'Données projet'!$B$114,BY33+BX34-CG33)))</f>
        <v>154.79999999999995</v>
      </c>
      <c r="BZ34" s="14">
        <f>BY34*VLOOKUP('Données projet'!$B$12,Paramètres!$A$1:$I$89,3,0)*VLOOKUP('Données projet'!$B$12,Paramètres!$A$1:$I$89,5,0)</f>
        <v>123.15887999999997</v>
      </c>
      <c r="CA34" s="14">
        <f t="shared" si="39"/>
        <v>32.410638331814873</v>
      </c>
      <c r="CB34" s="22">
        <f t="shared" si="10"/>
        <v>270.95024442791083</v>
      </c>
      <c r="CC34" s="62">
        <f t="shared" si="11"/>
        <v>564.28357776124415</v>
      </c>
      <c r="CD34" s="62">
        <f ca="1">AVERAGE(OFFSET($CC$3,0,0,'Données projet'!$E$12+1,1))-AVERAGE(OFFSET($H$3,0,0,'Données projet'!$E$12+1,1))</f>
        <v>370.79299728190904</v>
      </c>
      <c r="CE34" s="62">
        <f t="shared" si="40"/>
        <v>404.95703400805775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10.6</v>
      </c>
      <c r="CT34" s="13">
        <f>IF('Données projet'!$A$140&gt;35,CT33+CS34-DB33,IF(A34&lt;'Données projet'!$A$140,$CQ$205^A34,IF(A34='Données projet'!$A$140,'Données projet'!$B$140,CT33+CS34-DB33)))</f>
        <v>129.59999999999994</v>
      </c>
      <c r="CU34" s="18">
        <f>CT34*VLOOKUP('Données projet'!$B$13,Paramètres!$A$1:$I$89,3,0)*VLOOKUP('Données projet'!$B$13,Paramètres!$A$1:$I$89,5,0)</f>
        <v>113.21855999999995</v>
      </c>
      <c r="CV34" s="14">
        <f t="shared" si="41"/>
        <v>30.088024911766361</v>
      </c>
      <c r="CW34" s="22">
        <f t="shared" si="13"/>
        <v>249.59230205465971</v>
      </c>
      <c r="CX34" s="62">
        <f t="shared" si="14"/>
        <v>542.925635387993</v>
      </c>
      <c r="CY34" s="62">
        <f ca="1">AVERAGE(OFFSET($CX$3,0,0,'Données projet'!$E$13+1,1))-AVERAGE(OFFSET($H$3,0,0,'Données projet'!$E$13+1,1))</f>
        <v>339.58437495284466</v>
      </c>
      <c r="CZ34" s="62">
        <f t="shared" si="42"/>
        <v>371.26234252426531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12.8</v>
      </c>
      <c r="DO34" s="13">
        <f>IF('Données projet'!$A$166&gt;35,DO33+DN34-DW33,IF(A34&lt;'Données projet'!$A$166,$DL$205^A34,IF(A34='Données projet'!$A$166,'Données projet'!$B$166,DO33+DN34-DW33)))</f>
        <v>154.79999999999995</v>
      </c>
      <c r="DP34" s="18">
        <f>DO34*VLOOKUP('Données projet'!$B$14,Paramètres!$A$1:$I$89,3,0)*VLOOKUP('Données projet'!$B$14,Paramètres!$A$1:$I$89,5,0)</f>
        <v>113.49935999999995</v>
      </c>
      <c r="DQ34" s="14">
        <f t="shared" si="43"/>
        <v>30.153952354273027</v>
      </c>
      <c r="DR34" s="22">
        <f t="shared" si="16"/>
        <v>250.19618568369205</v>
      </c>
      <c r="DS34" s="62">
        <f t="shared" si="17"/>
        <v>543.52951901702534</v>
      </c>
      <c r="DT34" s="62">
        <f ca="1">AVERAGE(OFFSET($DS$3,0,0,'Données projet'!$E$14+1,1))-AVERAGE(OFFSET($H$3,0,0,'Données projet'!$E$14+1,1))</f>
        <v>344.63665697794022</v>
      </c>
      <c r="DU34" s="62">
        <f t="shared" si="44"/>
        <v>376.72762011188041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7.1794871794871797</v>
      </c>
      <c r="EJ34" s="13">
        <f>IF('Données projet'!$A$192&gt;35,EJ33+EI34-ER33,IF(A34&lt;'Données projet'!$A$192,$EG$205^A34,IF(A34='Données projet'!$A$192,'Données projet'!$B$192,EJ33+EI34-ER33)))</f>
        <v>130.89743589743588</v>
      </c>
      <c r="EK34" s="18">
        <f>EJ34*VLOOKUP('Données projet'!$B$15,Paramètres!$A$1:$I$89,3,0)*VLOOKUP('Données projet'!$B$15,Paramètres!$A$1:$I$89,5,0)</f>
        <v>124.56199999999998</v>
      </c>
      <c r="EL34" s="14">
        <f t="shared" si="45"/>
        <v>32.736689328514629</v>
      </c>
      <c r="EM34" s="22">
        <f t="shared" si="19"/>
        <v>273.96188391382958</v>
      </c>
      <c r="EN34" s="62">
        <f t="shared" si="20"/>
        <v>567.2952172471629</v>
      </c>
      <c r="EO34" s="62">
        <f ca="1">AVERAGE(OFFSET($EN$3,0,0,'Données projet'!$E$15+1,1))-AVERAGE(OFFSET($H$3,0,0,'Données projet'!$E$15+1,1))</f>
        <v>406.24139966722936</v>
      </c>
      <c r="EP34" s="62">
        <f t="shared" si="46"/>
        <v>295.95724296920577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10.8</v>
      </c>
      <c r="FE34" s="13">
        <f>IF('Données projet'!$A$218&gt;35,FE33+FD34-FM33,IF(A34&lt;'Données projet'!$A$218,$FB$205^A34,IF(A34='Données projet'!$A$218,'Données projet'!$B$218,FE33+FD34-FM33)))</f>
        <v>131.80000000000004</v>
      </c>
      <c r="FF34" s="18">
        <f>FE34*VLOOKUP('Données projet'!$B$16,Paramètres!$A$1:$I$89,3,0)*VLOOKUP('Données projet'!$B$16,Paramètres!$A$1:$I$89,5,0)</f>
        <v>127.47696000000003</v>
      </c>
      <c r="FG34" s="14">
        <f t="shared" si="47"/>
        <v>33.412695535466739</v>
      </c>
      <c r="FH34" s="22">
        <f t="shared" si="22"/>
        <v>280.21615005760458</v>
      </c>
      <c r="FI34" s="62">
        <f t="shared" si="23"/>
        <v>573.54948339093789</v>
      </c>
      <c r="FJ34" s="62">
        <f ca="1">AVERAGE(OFFSET($FI$3,0,0,'Données projet'!$E$16+1,1))-AVERAGE(OFFSET($H$3,0,0,'Données projet'!$E$16+1,1))</f>
        <v>540.83352418045502</v>
      </c>
      <c r="FK34" s="62">
        <f t="shared" si="48"/>
        <v>294.45557293177131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>
        <f>VLOOKUP(A34,'Données projet'!$A$243:$I$263,2,0)</f>
        <v>155</v>
      </c>
      <c r="FX34" s="13">
        <f>VLOOKUP(A34,'Données projet'!$A$243:$I$263,9,0)</f>
        <v>11.5</v>
      </c>
      <c r="FY34" s="13">
        <f t="array" ref="FY34">INDEX(FX:FX,MIN(IF(ISNUMBER(FX34:FX230),ROW(FX34:FX230),"")))</f>
        <v>11.5</v>
      </c>
      <c r="FZ34" s="13">
        <f>IF('Données projet'!$A$244&gt;35,FZ33+FY34-GH33,IF(A34&lt;'Données projet'!$A$244,$FW$205^A34,IF(A34='Données projet'!$A$244,'Données projet'!$B$244,FZ33+FY34-GH33)))</f>
        <v>154.99999999999997</v>
      </c>
      <c r="GA34" s="18">
        <f>FZ34*VLOOKUP('Données projet'!$B$17,Paramètres!$A$1:$I$89,3,0)*VLOOKUP('Données projet'!$B$17,Paramètres!$A$1:$I$89,5,0)</f>
        <v>120.89999999999998</v>
      </c>
      <c r="GB34" s="14">
        <f t="shared" si="49"/>
        <v>31.884818143351602</v>
      </c>
      <c r="GC34" s="22">
        <f t="shared" si="25"/>
        <v>266.10022493300397</v>
      </c>
      <c r="GD34" s="62">
        <f t="shared" si="26"/>
        <v>559.43355826633729</v>
      </c>
      <c r="GE34" s="62">
        <f ca="1">AVERAGE(OFFSET($GD$3,0,0,'Données projet'!$E$17+1,1))-AVERAGE(OFFSET($H$3,0,0,'Données projet'!$E$17+1,1))</f>
        <v>292.57482726862594</v>
      </c>
      <c r="GF34" s="62">
        <f t="shared" si="50"/>
        <v>283.48738729114024</v>
      </c>
      <c r="GG34" s="16">
        <f>IF(ISNA(VLOOKUP(A34,'Données projet'!$A$243:$I$263,3,0)),0,VLOOKUP(A34,'Données projet'!$A$243:$I$263,3,0))</f>
        <v>2</v>
      </c>
      <c r="GH34" s="16">
        <f>IF(ISNA(VLOOKUP(A34,'Données projet'!$A$243:$I$263,4,0)),0,VLOOKUP(A34,'Données projet'!$A$243:$I$263,4,0))</f>
        <v>36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8.3333333333333375</v>
      </c>
      <c r="GU34" s="13">
        <f>IF('Données projet'!$A$270&gt;35,GU33+GT34-HC33,IF(A34&lt;'Données projet'!$A$270,$GR$205^A34,IF(A34='Données projet'!$A$270,'Données projet'!$B$270,GU33+GT34-HC33)))</f>
        <v>160.25641025641025</v>
      </c>
      <c r="GV34" s="18">
        <f>GU34*VLOOKUP('Données projet'!$B$18,Paramètres!$A$1:$I$89,3,0)*VLOOKUP('Données projet'!$B$18,Paramètres!$A$1:$I$89,5,0)</f>
        <v>107.5</v>
      </c>
      <c r="GW34" s="14">
        <f t="shared" si="51"/>
        <v>28.741179291345453</v>
      </c>
      <c r="GX34" s="22">
        <f t="shared" si="28"/>
        <v>237.28672059909331</v>
      </c>
      <c r="GY34" s="62">
        <f t="shared" si="29"/>
        <v>530.62005393242657</v>
      </c>
      <c r="GZ34" s="62">
        <f ca="1">AVERAGE(OFFSET($GY$3,0,0,'Données projet'!$E$18+1,1))-AVERAGE(OFFSET($H$3,0,0,'Données projet'!$E$18+1,1))</f>
        <v>343.33067866534634</v>
      </c>
      <c r="HA34" s="62">
        <f t="shared" si="52"/>
        <v>261.91036689641402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576.86852712790665</v>
      </c>
      <c r="S35" s="62">
        <f ca="1">AVERAGE(OFFSET($R$3,0,0,'Données projet'!$E$9+1,1))-AVERAGE(OFFSET($H$3,0,0,'Données projet'!$E$9+1,1))</f>
        <v>508.77990078889337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projet'!$B$10,Paramètres!$A$1:$I$89,3,0)*VLOOKUP('Données projet'!$B$10,Paramètres!$A$1:$I$89,5,0)</f>
        <v>144.59640000000007</v>
      </c>
      <c r="AK35" s="14">
        <f t="shared" si="35"/>
        <v>37.347988348805558</v>
      </c>
      <c r="AL35" s="22">
        <f t="shared" si="4"/>
        <v>316.88647637416977</v>
      </c>
      <c r="AM35" s="62">
        <f t="shared" si="5"/>
        <v>610.21980970750315</v>
      </c>
      <c r="AN35" s="62">
        <f ca="1">AVERAGE(OFFSET($AM$3,0,0,'Données projet'!$E$10+1,1))-AVERAGE(OFFSET($H$3,0,0,'Données projet'!$E$10+1,1))</f>
        <v>564.84596170333884</v>
      </c>
      <c r="AO35" s="62">
        <f t="shared" si="36"/>
        <v>306.61893266146666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</v>
      </c>
      <c r="BD35" s="13">
        <f>IF('Données projet'!$A$88&gt;35,BD34+BC35-BL34,IF(A35&lt;'Données projet'!$A$88,$BA$205^A35,IF(A35='Données projet'!$A$88,'Données projet'!$B$88,BD34+BC35-BL34)))</f>
        <v>167.59999999999997</v>
      </c>
      <c r="BE35" s="14">
        <f>BD35*VLOOKUP('Données projet'!$B$11,Paramètres!$A$1:$I$89,3,0)*VLOOKUP('Données projet'!$B$11,Paramètres!$A$1:$I$89,5,0)</f>
        <v>133.34255999999999</v>
      </c>
      <c r="BF35" s="14">
        <f t="shared" si="37"/>
        <v>34.767581918978188</v>
      </c>
      <c r="BG35" s="22">
        <f t="shared" si="7"/>
        <v>292.79183050888702</v>
      </c>
      <c r="BH35" s="62">
        <f t="shared" si="8"/>
        <v>586.12516384222033</v>
      </c>
      <c r="BI35" s="62">
        <f ca="1">AVERAGE(OFFSET($BH$3,0,0,'Données projet'!$E$11+1,1))-AVERAGE(OFFSET($H$3,0,0,'Données projet'!$E$11+1,1))</f>
        <v>370.79299728190904</v>
      </c>
      <c r="BJ35" s="62">
        <f t="shared" si="38"/>
        <v>404.95703400805775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12.8</v>
      </c>
      <c r="BY35" s="13">
        <f>IF('Données projet'!$A$114&gt;35,BY34+BX35-CG34,IF(A35&lt;'Données projet'!$A$114,$BV$205^A35,IF(A35='Données projet'!$A$114,'Données projet'!$B$114,BY34+BX35-CG34)))</f>
        <v>167.59999999999997</v>
      </c>
      <c r="BZ35" s="14">
        <f>BY35*VLOOKUP('Données projet'!$B$12,Paramètres!$A$1:$I$89,3,0)*VLOOKUP('Données projet'!$B$12,Paramètres!$A$1:$I$89,5,0)</f>
        <v>133.34255999999999</v>
      </c>
      <c r="CA35" s="14">
        <f t="shared" si="39"/>
        <v>34.767581918978188</v>
      </c>
      <c r="CB35" s="22">
        <f t="shared" si="10"/>
        <v>292.79183050888702</v>
      </c>
      <c r="CC35" s="62">
        <f t="shared" si="11"/>
        <v>586.12516384222033</v>
      </c>
      <c r="CD35" s="62">
        <f ca="1">AVERAGE(OFFSET($CC$3,0,0,'Données projet'!$E$12+1,1))-AVERAGE(OFFSET($H$3,0,0,'Données projet'!$E$12+1,1))</f>
        <v>370.79299728190904</v>
      </c>
      <c r="CE35" s="62">
        <f t="shared" si="40"/>
        <v>404.95703400805775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10.6</v>
      </c>
      <c r="CT35" s="13">
        <f>IF('Données projet'!$A$140&gt;35,CT34+CS35-DB34,IF(A35&lt;'Données projet'!$A$140,$CQ$205^A35,IF(A35='Données projet'!$A$140,'Données projet'!$B$140,CT34+CS35-DB34)))</f>
        <v>140.19999999999993</v>
      </c>
      <c r="CU35" s="18">
        <f>CT35*VLOOKUP('Données projet'!$B$13,Paramètres!$A$1:$I$89,3,0)*VLOOKUP('Données projet'!$B$13,Paramètres!$A$1:$I$89,5,0)</f>
        <v>122.47871999999997</v>
      </c>
      <c r="CV35" s="14">
        <f t="shared" si="41"/>
        <v>32.252430308903975</v>
      </c>
      <c r="CW35" s="22">
        <f t="shared" si="13"/>
        <v>269.49008678800766</v>
      </c>
      <c r="CX35" s="62">
        <f t="shared" si="14"/>
        <v>562.82342012134097</v>
      </c>
      <c r="CY35" s="62">
        <f ca="1">AVERAGE(OFFSET($CX$3,0,0,'Données projet'!$E$13+1,1))-AVERAGE(OFFSET($H$3,0,0,'Données projet'!$E$13+1,1))</f>
        <v>339.58437495284466</v>
      </c>
      <c r="CZ35" s="62">
        <f t="shared" si="42"/>
        <v>371.26234252426531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12.8</v>
      </c>
      <c r="DO35" s="13">
        <f>IF('Données projet'!$A$166&gt;35,DO34+DN35-DW34,IF(A35&lt;'Données projet'!$A$166,$DL$205^A35,IF(A35='Données projet'!$A$166,'Données projet'!$B$166,DO34+DN35-DW34)))</f>
        <v>167.59999999999997</v>
      </c>
      <c r="DP35" s="18">
        <f>DO35*VLOOKUP('Données projet'!$B$14,Paramètres!$A$1:$I$89,3,0)*VLOOKUP('Données projet'!$B$14,Paramètres!$A$1:$I$89,5,0)</f>
        <v>122.88431999999997</v>
      </c>
      <c r="DQ35" s="14">
        <f t="shared" si="43"/>
        <v>32.346786815026803</v>
      </c>
      <c r="DR35" s="22">
        <f t="shared" si="16"/>
        <v>270.36084436950495</v>
      </c>
      <c r="DS35" s="62">
        <f t="shared" si="17"/>
        <v>563.69417770283826</v>
      </c>
      <c r="DT35" s="62">
        <f ca="1">AVERAGE(OFFSET($DS$3,0,0,'Données projet'!$E$14+1,1))-AVERAGE(OFFSET($H$3,0,0,'Données projet'!$E$14+1,1))</f>
        <v>344.63665697794022</v>
      </c>
      <c r="DU35" s="62">
        <f t="shared" si="44"/>
        <v>376.72762011188041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7.1794871794871797</v>
      </c>
      <c r="EJ35" s="13">
        <f>IF('Données projet'!$A$192&gt;35,EJ34+EI35-ER34,IF(A35&lt;'Données projet'!$A$192,$EG$205^A35,IF(A35='Données projet'!$A$192,'Données projet'!$B$192,EJ34+EI35-ER34)))</f>
        <v>138.07692307692307</v>
      </c>
      <c r="EK35" s="18">
        <f>EJ35*VLOOKUP('Données projet'!$B$15,Paramètres!$A$1:$I$89,3,0)*VLOOKUP('Données projet'!$B$15,Paramètres!$A$1:$I$89,5,0)</f>
        <v>131.39400000000001</v>
      </c>
      <c r="EL35" s="14">
        <f t="shared" si="45"/>
        <v>34.318271576212204</v>
      </c>
      <c r="EM35" s="22">
        <f t="shared" si="19"/>
        <v>288.61553966190291</v>
      </c>
      <c r="EN35" s="62">
        <f t="shared" si="20"/>
        <v>581.94887299523623</v>
      </c>
      <c r="EO35" s="62">
        <f ca="1">AVERAGE(OFFSET($EN$3,0,0,'Données projet'!$E$15+1,1))-AVERAGE(OFFSET($H$3,0,0,'Données projet'!$E$15+1,1))</f>
        <v>406.24139966722936</v>
      </c>
      <c r="EP35" s="62">
        <f t="shared" si="46"/>
        <v>295.95724296920577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10.8</v>
      </c>
      <c r="FE35" s="13">
        <f>IF('Données projet'!$A$218&gt;35,FE34+FD35-FM34,IF(A35&lt;'Données projet'!$A$218,$FB$205^A35,IF(A35='Données projet'!$A$218,'Données projet'!$B$218,FE34+FD35-FM34)))</f>
        <v>142.60000000000005</v>
      </c>
      <c r="FF35" s="18">
        <f>FE35*VLOOKUP('Données projet'!$B$16,Paramètres!$A$1:$I$89,3,0)*VLOOKUP('Données projet'!$B$16,Paramètres!$A$1:$I$89,5,0)</f>
        <v>137.92272000000006</v>
      </c>
      <c r="FG35" s="14">
        <f t="shared" si="47"/>
        <v>35.82071658526872</v>
      </c>
      <c r="FH35" s="22">
        <f t="shared" si="22"/>
        <v>302.60315205267642</v>
      </c>
      <c r="FI35" s="62">
        <f t="shared" si="23"/>
        <v>595.93648538600974</v>
      </c>
      <c r="FJ35" s="62">
        <f ca="1">AVERAGE(OFFSET($FI$3,0,0,'Données projet'!$E$16+1,1))-AVERAGE(OFFSET($H$3,0,0,'Données projet'!$E$16+1,1))</f>
        <v>540.83352418045502</v>
      </c>
      <c r="FK35" s="62">
        <f t="shared" si="48"/>
        <v>294.45557293177131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11.5</v>
      </c>
      <c r="FZ35" s="13">
        <f>IF('Données projet'!$A$244&gt;35,FZ34+FY35-GH34,IF(A35&lt;'Données projet'!$A$244,$FW$205^A35,IF(A35='Données projet'!$A$244,'Données projet'!$B$244,FZ34+FY35-GH34)))</f>
        <v>130.49999999999997</v>
      </c>
      <c r="GA35" s="18">
        <f>FZ35*VLOOKUP('Données projet'!$B$17,Paramètres!$A$1:$I$89,3,0)*VLOOKUP('Données projet'!$B$17,Paramètres!$A$1:$I$89,5,0)</f>
        <v>101.78999999999998</v>
      </c>
      <c r="GB35" s="14">
        <f t="shared" si="49"/>
        <v>27.38799903683508</v>
      </c>
      <c r="GC35" s="22">
        <f t="shared" si="25"/>
        <v>224.98501498915437</v>
      </c>
      <c r="GD35" s="62">
        <f t="shared" si="26"/>
        <v>518.31834832248774</v>
      </c>
      <c r="GE35" s="62">
        <f ca="1">AVERAGE(OFFSET($GD$3,0,0,'Données projet'!$E$17+1,1))-AVERAGE(OFFSET($H$3,0,0,'Données projet'!$E$17+1,1))</f>
        <v>292.57482726862594</v>
      </c>
      <c r="GF35" s="62">
        <f t="shared" si="50"/>
        <v>283.48738729114024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8.3333333333333375</v>
      </c>
      <c r="GU35" s="13">
        <f>IF('Données projet'!$A$270&gt;35,GU34+GT35-HC34,IF(A35&lt;'Données projet'!$A$270,$GR$205^A35,IF(A35='Données projet'!$A$270,'Données projet'!$B$270,GU34+GT35-HC34)))</f>
        <v>168.58974358974359</v>
      </c>
      <c r="GV35" s="18">
        <f>GU35*VLOOKUP('Données projet'!$B$18,Paramètres!$A$1:$I$89,3,0)*VLOOKUP('Données projet'!$B$18,Paramètres!$A$1:$I$89,5,0)</f>
        <v>113.08999999999999</v>
      </c>
      <c r="GW35" s="14">
        <f t="shared" si="51"/>
        <v>30.057834687710393</v>
      </c>
      <c r="GX35" s="22">
        <f t="shared" si="28"/>
        <v>249.31581208109557</v>
      </c>
      <c r="GY35" s="62">
        <f t="shared" si="29"/>
        <v>542.64914541442886</v>
      </c>
      <c r="GZ35" s="62">
        <f ca="1">AVERAGE(OFFSET($GY$3,0,0,'Données projet'!$E$18+1,1))-AVERAGE(OFFSET($H$3,0,0,'Données projet'!$E$18+1,1))</f>
        <v>343.33067866534634</v>
      </c>
      <c r="HA35" s="62">
        <f t="shared" si="52"/>
        <v>261.91036689641402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597.80704287706772</v>
      </c>
      <c r="S36" s="62">
        <f ca="1">AVERAGE(OFFSET($R$3,0,0,'Données projet'!$E$9+1,1))-AVERAGE(OFFSET($H$3,0,0,'Données projet'!$E$9+1,1))</f>
        <v>508.77990078889337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projet'!$B$10,Paramètres!$A$1:$I$89,3,0)*VLOOKUP('Données projet'!$B$10,Paramètres!$A$1:$I$89,5,0)</f>
        <v>155.54760000000007</v>
      </c>
      <c r="AK36" s="14">
        <f t="shared" si="35"/>
        <v>39.836620617816237</v>
      </c>
      <c r="AL36" s="22">
        <f t="shared" si="4"/>
        <v>340.2941842426967</v>
      </c>
      <c r="AM36" s="62">
        <f t="shared" si="5"/>
        <v>633.62751757602996</v>
      </c>
      <c r="AN36" s="62">
        <f ca="1">AVERAGE(OFFSET($AM$3,0,0,'Données projet'!$E$10+1,1))-AVERAGE(OFFSET($H$3,0,0,'Données projet'!$E$10+1,1))</f>
        <v>564.84596170333884</v>
      </c>
      <c r="AO36" s="62">
        <f t="shared" si="36"/>
        <v>306.61893266146666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</v>
      </c>
      <c r="BD36" s="13">
        <f>IF('Données projet'!$A$88&gt;35,BD35+BC36-BL35,IF(A36&lt;'Données projet'!$A$88,$BA$205^A36,IF(A36='Données projet'!$A$88,'Données projet'!$B$88,BD35+BC36-BL35)))</f>
        <v>180.39999999999998</v>
      </c>
      <c r="BE36" s="14">
        <f>BD36*VLOOKUP('Données projet'!$B$11,Paramètres!$A$1:$I$89,3,0)*VLOOKUP('Données projet'!$B$11,Paramètres!$A$1:$I$89,5,0)</f>
        <v>143.52624</v>
      </c>
      <c r="BF36" s="14">
        <f t="shared" si="37"/>
        <v>37.103644337236275</v>
      </c>
      <c r="BG36" s="22">
        <f t="shared" si="7"/>
        <v>314.59704855401981</v>
      </c>
      <c r="BH36" s="62">
        <f t="shared" si="8"/>
        <v>607.93038188735318</v>
      </c>
      <c r="BI36" s="62">
        <f ca="1">AVERAGE(OFFSET($BH$3,0,0,'Données projet'!$E$11+1,1))-AVERAGE(OFFSET($H$3,0,0,'Données projet'!$E$11+1,1))</f>
        <v>370.79299728190904</v>
      </c>
      <c r="BJ36" s="62">
        <f t="shared" si="38"/>
        <v>404.95703400805775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12.8</v>
      </c>
      <c r="BY36" s="13">
        <f>IF('Données projet'!$A$114&gt;35,BY35+BX36-CG35,IF(A36&lt;'Données projet'!$A$114,$BV$205^A36,IF(A36='Données projet'!$A$114,'Données projet'!$B$114,BY35+BX36-CG35)))</f>
        <v>180.39999999999998</v>
      </c>
      <c r="BZ36" s="14">
        <f>BY36*VLOOKUP('Données projet'!$B$12,Paramètres!$A$1:$I$89,3,0)*VLOOKUP('Données projet'!$B$12,Paramètres!$A$1:$I$89,5,0)</f>
        <v>143.52624</v>
      </c>
      <c r="CA36" s="14">
        <f t="shared" si="39"/>
        <v>37.103644337236275</v>
      </c>
      <c r="CB36" s="22">
        <f t="shared" si="10"/>
        <v>314.59704855401981</v>
      </c>
      <c r="CC36" s="62">
        <f t="shared" si="11"/>
        <v>607.93038188735318</v>
      </c>
      <c r="CD36" s="62">
        <f ca="1">AVERAGE(OFFSET($CC$3,0,0,'Données projet'!$E$12+1,1))-AVERAGE(OFFSET($H$3,0,0,'Données projet'!$E$12+1,1))</f>
        <v>370.79299728190904</v>
      </c>
      <c r="CE36" s="62">
        <f t="shared" si="40"/>
        <v>404.95703400805775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10.6</v>
      </c>
      <c r="CT36" s="13">
        <f>IF('Données projet'!$A$140&gt;35,CT35+CS36-DB35,IF(A36&lt;'Données projet'!$A$140,$CQ$205^A36,IF(A36='Données projet'!$A$140,'Données projet'!$B$140,CT35+CS36-DB35)))</f>
        <v>150.79999999999993</v>
      </c>
      <c r="CU36" s="18">
        <f>CT36*VLOOKUP('Données projet'!$B$13,Paramètres!$A$1:$I$89,3,0)*VLOOKUP('Données projet'!$B$13,Paramètres!$A$1:$I$89,5,0)</f>
        <v>131.73887999999994</v>
      </c>
      <c r="CV36" s="14">
        <f t="shared" si="41"/>
        <v>34.397852193895829</v>
      </c>
      <c r="CW36" s="22">
        <f t="shared" si="13"/>
        <v>289.35480857103511</v>
      </c>
      <c r="CX36" s="62">
        <f t="shared" si="14"/>
        <v>582.68814190436842</v>
      </c>
      <c r="CY36" s="62">
        <f ca="1">AVERAGE(OFFSET($CX$3,0,0,'Données projet'!$E$13+1,1))-AVERAGE(OFFSET($H$3,0,0,'Données projet'!$E$13+1,1))</f>
        <v>339.58437495284466</v>
      </c>
      <c r="CZ36" s="62">
        <f t="shared" si="42"/>
        <v>371.26234252426531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12.8</v>
      </c>
      <c r="DO36" s="13">
        <f>IF('Données projet'!$A$166&gt;35,DO35+DN36-DW35,IF(A36&lt;'Données projet'!$A$166,$DL$205^A36,IF(A36='Données projet'!$A$166,'Données projet'!$B$166,DO35+DN36-DW35)))</f>
        <v>180.39999999999998</v>
      </c>
      <c r="DP36" s="18">
        <f>DO36*VLOOKUP('Données projet'!$B$14,Paramètres!$A$1:$I$89,3,0)*VLOOKUP('Données projet'!$B$14,Paramètres!$A$1:$I$89,5,0)</f>
        <v>132.26927999999998</v>
      </c>
      <c r="DQ36" s="14">
        <f t="shared" si="43"/>
        <v>34.52019401964877</v>
      </c>
      <c r="DR36" s="22">
        <f t="shared" si="16"/>
        <v>290.49166725088827</v>
      </c>
      <c r="DS36" s="62">
        <f t="shared" si="17"/>
        <v>583.82500058422158</v>
      </c>
      <c r="DT36" s="62">
        <f ca="1">AVERAGE(OFFSET($DS$3,0,0,'Données projet'!$E$14+1,1))-AVERAGE(OFFSET($H$3,0,0,'Données projet'!$E$14+1,1))</f>
        <v>344.63665697794022</v>
      </c>
      <c r="DU36" s="62">
        <f t="shared" si="44"/>
        <v>376.72762011188041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7.1794871794871797</v>
      </c>
      <c r="EJ36" s="13">
        <f>IF('Données projet'!$A$192&gt;35,EJ35+EI36-ER35,IF(A36&lt;'Données projet'!$A$192,$EG$205^A36,IF(A36='Données projet'!$A$192,'Données projet'!$B$192,EJ35+EI36-ER35)))</f>
        <v>145.25641025641025</v>
      </c>
      <c r="EK36" s="18">
        <f>EJ36*VLOOKUP('Données projet'!$B$15,Paramètres!$A$1:$I$89,3,0)*VLOOKUP('Données projet'!$B$15,Paramètres!$A$1:$I$89,5,0)</f>
        <v>138.22599999999997</v>
      </c>
      <c r="EL36" s="14">
        <f t="shared" si="45"/>
        <v>35.890305873918834</v>
      </c>
      <c r="EM36" s="22">
        <f t="shared" si="19"/>
        <v>303.25256606374194</v>
      </c>
      <c r="EN36" s="62">
        <f t="shared" si="20"/>
        <v>596.58589939707531</v>
      </c>
      <c r="EO36" s="62">
        <f ca="1">AVERAGE(OFFSET($EN$3,0,0,'Données projet'!$E$15+1,1))-AVERAGE(OFFSET($H$3,0,0,'Données projet'!$E$15+1,1))</f>
        <v>406.24139966722936</v>
      </c>
      <c r="EP36" s="62">
        <f t="shared" si="46"/>
        <v>295.95724296920577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10.8</v>
      </c>
      <c r="FE36" s="13">
        <f>IF('Données projet'!$A$218&gt;35,FE35+FD36-FM35,IF(A36&lt;'Données projet'!$A$218,$FB$205^A36,IF(A36='Données projet'!$A$218,'Données projet'!$B$218,FE35+FD36-FM35)))</f>
        <v>153.40000000000006</v>
      </c>
      <c r="FF36" s="18">
        <f>FE36*VLOOKUP('Données projet'!$B$16,Paramètres!$A$1:$I$89,3,0)*VLOOKUP('Données projet'!$B$16,Paramètres!$A$1:$I$89,5,0)</f>
        <v>148.36848000000006</v>
      </c>
      <c r="FG36" s="14">
        <f t="shared" si="47"/>
        <v>38.207581183185937</v>
      </c>
      <c r="FH36" s="22">
        <f t="shared" si="22"/>
        <v>324.95330656071559</v>
      </c>
      <c r="FI36" s="62">
        <f t="shared" si="23"/>
        <v>618.2866398940489</v>
      </c>
      <c r="FJ36" s="62">
        <f ca="1">AVERAGE(OFFSET($FI$3,0,0,'Données projet'!$E$16+1,1))-AVERAGE(OFFSET($H$3,0,0,'Données projet'!$E$16+1,1))</f>
        <v>540.83352418045502</v>
      </c>
      <c r="FK36" s="62">
        <f t="shared" si="48"/>
        <v>294.45557293177131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11.5</v>
      </c>
      <c r="FZ36" s="13">
        <f>IF('Données projet'!$A$244&gt;35,FZ35+FY36-GH35,IF(A36&lt;'Données projet'!$A$244,$FW$205^A36,IF(A36='Données projet'!$A$244,'Données projet'!$B$244,FZ35+FY36-GH35)))</f>
        <v>141.99999999999997</v>
      </c>
      <c r="GA36" s="18">
        <f>FZ36*VLOOKUP('Données projet'!$B$17,Paramètres!$A$1:$I$89,3,0)*VLOOKUP('Données projet'!$B$17,Paramètres!$A$1:$I$89,5,0)</f>
        <v>110.75999999999998</v>
      </c>
      <c r="GB36" s="14">
        <f t="shared" si="49"/>
        <v>29.509974682362923</v>
      </c>
      <c r="GC36" s="22">
        <f t="shared" si="25"/>
        <v>244.30353923844871</v>
      </c>
      <c r="GD36" s="62">
        <f t="shared" si="26"/>
        <v>537.63687257178208</v>
      </c>
      <c r="GE36" s="62">
        <f ca="1">AVERAGE(OFFSET($GD$3,0,0,'Données projet'!$E$17+1,1))-AVERAGE(OFFSET($H$3,0,0,'Données projet'!$E$17+1,1))</f>
        <v>292.57482726862594</v>
      </c>
      <c r="GF36" s="62">
        <f t="shared" si="50"/>
        <v>283.48738729114024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8.3333333333333375</v>
      </c>
      <c r="GU36" s="13">
        <f>IF('Données projet'!$A$270&gt;35,GU35+GT36-HC35,IF(A36&lt;'Données projet'!$A$270,$GR$205^A36,IF(A36='Données projet'!$A$270,'Données projet'!$B$270,GU35+GT36-HC35)))</f>
        <v>176.92307692307693</v>
      </c>
      <c r="GV36" s="18">
        <f>GU36*VLOOKUP('Données projet'!$B$18,Paramètres!$A$1:$I$89,3,0)*VLOOKUP('Données projet'!$B$18,Paramètres!$A$1:$I$89,5,0)</f>
        <v>118.68</v>
      </c>
      <c r="GW36" s="14">
        <f t="shared" si="51"/>
        <v>31.366933062144053</v>
      </c>
      <c r="GX36" s="22">
        <f t="shared" si="28"/>
        <v>261.33174174990091</v>
      </c>
      <c r="GY36" s="62">
        <f t="shared" si="29"/>
        <v>554.66507508323423</v>
      </c>
      <c r="GZ36" s="62">
        <f ca="1">AVERAGE(OFFSET($GY$3,0,0,'Données projet'!$E$18+1,1))-AVERAGE(OFFSET($H$3,0,0,'Données projet'!$E$18+1,1))</f>
        <v>343.33067866534634</v>
      </c>
      <c r="HA36" s="62">
        <f t="shared" si="52"/>
        <v>261.91036689641402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618.71354371583652</v>
      </c>
      <c r="S37" s="62">
        <f ca="1">AVERAGE(OFFSET($R$3,0,0,'Données projet'!$E$9+1,1))-AVERAGE(OFFSET($H$3,0,0,'Données projet'!$E$9+1,1))</f>
        <v>508.77990078889337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projet'!$B$10,Paramètres!$A$1:$I$89,3,0)*VLOOKUP('Données projet'!$B$10,Paramètres!$A$1:$I$89,5,0)</f>
        <v>166.49880000000007</v>
      </c>
      <c r="AK37" s="14">
        <f t="shared" si="35"/>
        <v>42.304924050589179</v>
      </c>
      <c r="AL37" s="22">
        <f t="shared" si="4"/>
        <v>363.66648605477627</v>
      </c>
      <c r="AM37" s="62">
        <f t="shared" si="5"/>
        <v>656.99981938810959</v>
      </c>
      <c r="AN37" s="62">
        <f ca="1">AVERAGE(OFFSET($AM$3,0,0,'Données projet'!$E$10+1,1))-AVERAGE(OFFSET($H$3,0,0,'Données projet'!$E$10+1,1))</f>
        <v>564.84596170333884</v>
      </c>
      <c r="AO37" s="62">
        <f t="shared" si="36"/>
        <v>306.61893266146666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</v>
      </c>
      <c r="BD37" s="13">
        <f>IF('Données projet'!$A$88&gt;35,BD36+BC37-BL36,IF(A37&lt;'Données projet'!$A$88,$BA$205^A37,IF(A37='Données projet'!$A$88,'Données projet'!$B$88,BD36+BC37-BL36)))</f>
        <v>193.2</v>
      </c>
      <c r="BE37" s="14">
        <f>BD37*VLOOKUP('Données projet'!$B$11,Paramètres!$A$1:$I$89,3,0)*VLOOKUP('Données projet'!$B$11,Paramètres!$A$1:$I$89,5,0)</f>
        <v>153.70992000000001</v>
      </c>
      <c r="BF37" s="14">
        <f t="shared" si="37"/>
        <v>39.420475690379831</v>
      </c>
      <c r="BG37" s="22">
        <f t="shared" si="7"/>
        <v>336.3687724940782</v>
      </c>
      <c r="BH37" s="62">
        <f t="shared" si="8"/>
        <v>629.70210582741151</v>
      </c>
      <c r="BI37" s="62">
        <f ca="1">AVERAGE(OFFSET($BH$3,0,0,'Données projet'!$E$11+1,1))-AVERAGE(OFFSET($H$3,0,0,'Données projet'!$E$11+1,1))</f>
        <v>370.79299728190904</v>
      </c>
      <c r="BJ37" s="62">
        <f t="shared" si="38"/>
        <v>404.95703400805775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12.8</v>
      </c>
      <c r="BY37" s="13">
        <f>IF('Données projet'!$A$114&gt;35,BY36+BX37-CG36,IF(A37&lt;'Données projet'!$A$114,$BV$205^A37,IF(A37='Données projet'!$A$114,'Données projet'!$B$114,BY36+BX37-CG36)))</f>
        <v>193.2</v>
      </c>
      <c r="BZ37" s="14">
        <f>BY37*VLOOKUP('Données projet'!$B$12,Paramètres!$A$1:$I$89,3,0)*VLOOKUP('Données projet'!$B$12,Paramètres!$A$1:$I$89,5,0)</f>
        <v>153.70992000000001</v>
      </c>
      <c r="CA37" s="14">
        <f t="shared" si="39"/>
        <v>39.420475690379831</v>
      </c>
      <c r="CB37" s="22">
        <f t="shared" si="10"/>
        <v>336.3687724940782</v>
      </c>
      <c r="CC37" s="62">
        <f t="shared" si="11"/>
        <v>629.70210582741151</v>
      </c>
      <c r="CD37" s="62">
        <f ca="1">AVERAGE(OFFSET($CC$3,0,0,'Données projet'!$E$12+1,1))-AVERAGE(OFFSET($H$3,0,0,'Données projet'!$E$12+1,1))</f>
        <v>370.79299728190904</v>
      </c>
      <c r="CE37" s="62">
        <f t="shared" si="40"/>
        <v>404.95703400805775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10.6</v>
      </c>
      <c r="CT37" s="13">
        <f>IF('Données projet'!$A$140&gt;35,CT36+CS37-DB36,IF(A37&lt;'Données projet'!$A$140,$CQ$205^A37,IF(A37='Données projet'!$A$140,'Données projet'!$B$140,CT36+CS37-DB36)))</f>
        <v>161.39999999999992</v>
      </c>
      <c r="CU37" s="18">
        <f>CT37*VLOOKUP('Données projet'!$B$13,Paramètres!$A$1:$I$89,3,0)*VLOOKUP('Données projet'!$B$13,Paramètres!$A$1:$I$89,5,0)</f>
        <v>140.99903999999995</v>
      </c>
      <c r="CV37" s="14">
        <f t="shared" si="41"/>
        <v>36.525776729948824</v>
      </c>
      <c r="CW37" s="22">
        <f t="shared" si="13"/>
        <v>309.18905580466077</v>
      </c>
      <c r="CX37" s="62">
        <f t="shared" si="14"/>
        <v>602.52238913799408</v>
      </c>
      <c r="CY37" s="62">
        <f ca="1">AVERAGE(OFFSET($CX$3,0,0,'Données projet'!$E$13+1,1))-AVERAGE(OFFSET($H$3,0,0,'Données projet'!$E$13+1,1))</f>
        <v>339.58437495284466</v>
      </c>
      <c r="CZ37" s="62">
        <f t="shared" si="42"/>
        <v>371.26234252426531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12.8</v>
      </c>
      <c r="DO37" s="13">
        <f>IF('Données projet'!$A$166&gt;35,DO36+DN37-DW36,IF(A37&lt;'Données projet'!$A$166,$DL$205^A37,IF(A37='Données projet'!$A$166,'Données projet'!$B$166,DO36+DN37-DW36)))</f>
        <v>193.2</v>
      </c>
      <c r="DP37" s="18">
        <f>DO37*VLOOKUP('Données projet'!$B$14,Paramètres!$A$1:$I$89,3,0)*VLOOKUP('Données projet'!$B$14,Paramètres!$A$1:$I$89,5,0)</f>
        <v>141.65423999999999</v>
      </c>
      <c r="DQ37" s="14">
        <f t="shared" si="43"/>
        <v>36.675709178601963</v>
      </c>
      <c r="DR37" s="22">
        <f t="shared" si="16"/>
        <v>310.59132815273171</v>
      </c>
      <c r="DS37" s="62">
        <f t="shared" si="17"/>
        <v>603.92466148606502</v>
      </c>
      <c r="DT37" s="62">
        <f ca="1">AVERAGE(OFFSET($DS$3,0,0,'Données projet'!$E$14+1,1))-AVERAGE(OFFSET($H$3,0,0,'Données projet'!$E$14+1,1))</f>
        <v>344.63665697794022</v>
      </c>
      <c r="DU37" s="62">
        <f t="shared" si="44"/>
        <v>376.72762011188041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7.1794871794871797</v>
      </c>
      <c r="EJ37" s="13">
        <f>IF('Données projet'!$A$192&gt;35,EJ36+EI37-ER36,IF(A37&lt;'Données projet'!$A$192,$EG$205^A37,IF(A37='Données projet'!$A$192,'Données projet'!$B$192,EJ36+EI37-ER36)))</f>
        <v>152.43589743589743</v>
      </c>
      <c r="EK37" s="18">
        <f>EJ37*VLOOKUP('Données projet'!$B$15,Paramètres!$A$1:$I$89,3,0)*VLOOKUP('Données projet'!$B$15,Paramètres!$A$1:$I$89,5,0)</f>
        <v>145.05799999999999</v>
      </c>
      <c r="EL37" s="14">
        <f t="shared" si="45"/>
        <v>37.453317998658314</v>
      </c>
      <c r="EM37" s="22">
        <f t="shared" si="19"/>
        <v>317.87387884766321</v>
      </c>
      <c r="EN37" s="62">
        <f t="shared" si="20"/>
        <v>611.20721218099652</v>
      </c>
      <c r="EO37" s="62">
        <f ca="1">AVERAGE(OFFSET($EN$3,0,0,'Données projet'!$E$15+1,1))-AVERAGE(OFFSET($H$3,0,0,'Données projet'!$E$15+1,1))</f>
        <v>406.24139966722936</v>
      </c>
      <c r="EP37" s="62">
        <f t="shared" si="46"/>
        <v>295.95724296920577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10.8</v>
      </c>
      <c r="FE37" s="13">
        <f>IF('Données projet'!$A$218&gt;35,FE36+FD37-FM36,IF(A37&lt;'Données projet'!$A$218,$FB$205^A37,IF(A37='Données projet'!$A$218,'Données projet'!$B$218,FE36+FD37-FM36)))</f>
        <v>164.20000000000007</v>
      </c>
      <c r="FF37" s="18">
        <f>FE37*VLOOKUP('Données projet'!$B$16,Paramètres!$A$1:$I$89,3,0)*VLOOKUP('Données projet'!$B$16,Paramètres!$A$1:$I$89,5,0)</f>
        <v>158.81424000000007</v>
      </c>
      <c r="FG37" s="14">
        <f t="shared" si="47"/>
        <v>40.574948252224658</v>
      </c>
      <c r="FH37" s="22">
        <f t="shared" si="22"/>
        <v>347.26950287262474</v>
      </c>
      <c r="FI37" s="62">
        <f t="shared" si="23"/>
        <v>640.60283620595806</v>
      </c>
      <c r="FJ37" s="62">
        <f ca="1">AVERAGE(OFFSET($FI$3,0,0,'Données projet'!$E$16+1,1))-AVERAGE(OFFSET($H$3,0,0,'Données projet'!$E$16+1,1))</f>
        <v>540.83352418045502</v>
      </c>
      <c r="FK37" s="62">
        <f t="shared" si="48"/>
        <v>294.45557293177131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11.5</v>
      </c>
      <c r="FZ37" s="13">
        <f>IF('Données projet'!$A$244&gt;35,FZ36+FY37-GH36,IF(A37&lt;'Données projet'!$A$244,$FW$205^A37,IF(A37='Données projet'!$A$244,'Données projet'!$B$244,FZ36+FY37-GH36)))</f>
        <v>153.49999999999997</v>
      </c>
      <c r="GA37" s="18">
        <f>FZ37*VLOOKUP('Données projet'!$B$17,Paramètres!$A$1:$I$89,3,0)*VLOOKUP('Données projet'!$B$17,Paramètres!$A$1:$I$89,5,0)</f>
        <v>119.72999999999998</v>
      </c>
      <c r="GB37" s="14">
        <f t="shared" si="49"/>
        <v>31.612017974790529</v>
      </c>
      <c r="GC37" s="22">
        <f t="shared" si="25"/>
        <v>263.58734797276014</v>
      </c>
      <c r="GD37" s="62">
        <f t="shared" si="26"/>
        <v>556.92068130609346</v>
      </c>
      <c r="GE37" s="62">
        <f ca="1">AVERAGE(OFFSET($GD$3,0,0,'Données projet'!$E$17+1,1))-AVERAGE(OFFSET($H$3,0,0,'Données projet'!$E$17+1,1))</f>
        <v>292.57482726862594</v>
      </c>
      <c r="GF37" s="62">
        <f t="shared" si="50"/>
        <v>283.48738729114024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8.3333333333333375</v>
      </c>
      <c r="GU37" s="13">
        <f>IF('Données projet'!$A$270&gt;35,GU36+GT37-HC36,IF(A37&lt;'Données projet'!$A$270,$GR$205^A37,IF(A37='Données projet'!$A$270,'Données projet'!$B$270,GU36+GT37-HC36)))</f>
        <v>185.25641025641028</v>
      </c>
      <c r="GV37" s="18">
        <f>GU37*VLOOKUP('Données projet'!$B$18,Paramètres!$A$1:$I$89,3,0)*VLOOKUP('Données projet'!$B$18,Paramètres!$A$1:$I$89,5,0)</f>
        <v>124.27000000000002</v>
      </c>
      <c r="GW37" s="14">
        <f t="shared" si="51"/>
        <v>32.668871006084437</v>
      </c>
      <c r="GX37" s="22">
        <f t="shared" si="28"/>
        <v>273.33520033559711</v>
      </c>
      <c r="GY37" s="62">
        <f t="shared" si="29"/>
        <v>566.66853366893042</v>
      </c>
      <c r="GZ37" s="62">
        <f ca="1">AVERAGE(OFFSET($GY$3,0,0,'Données projet'!$E$18+1,1))-AVERAGE(OFFSET($H$3,0,0,'Données projet'!$E$18+1,1))</f>
        <v>343.33067866534634</v>
      </c>
      <c r="HA37" s="62">
        <f t="shared" si="52"/>
        <v>261.91036689641402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639.59037499870374</v>
      </c>
      <c r="S38" s="62">
        <f ca="1">AVERAGE(OFFSET($R$3,0,0,'Données projet'!$E$9+1,1))-AVERAGE(OFFSET($H$3,0,0,'Données projet'!$E$9+1,1))</f>
        <v>508.77990078889337</v>
      </c>
      <c r="T38" s="62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projet'!$B$10,Paramètres!$A$1:$I$89,3,0)*VLOOKUP('Données projet'!$B$10,Paramètres!$A$1:$I$89,5,0)</f>
        <v>177.4500000000001</v>
      </c>
      <c r="AK38" s="14">
        <f t="shared" si="35"/>
        <v>44.754387900936791</v>
      </c>
      <c r="AL38" s="22">
        <f t="shared" si="4"/>
        <v>387.00597559413177</v>
      </c>
      <c r="AM38" s="62">
        <f t="shared" si="5"/>
        <v>680.33930892746503</v>
      </c>
      <c r="AN38" s="62">
        <f ca="1">AVERAGE(OFFSET($AM$3,0,0,'Données projet'!$E$10+1,1))-AVERAGE(OFFSET($H$3,0,0,'Données projet'!$E$10+1,1))</f>
        <v>564.84596170333884</v>
      </c>
      <c r="AO38" s="62">
        <f t="shared" si="36"/>
        <v>306.61893266146666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</v>
      </c>
      <c r="BB38" s="13">
        <f>VLOOKUP(A38,'Données projet'!$A$87:$I$107,9,0)</f>
        <v>12.8</v>
      </c>
      <c r="BC38" s="13">
        <f t="array" ref="BC38">INDEX(BB:BB,MIN(IF(ISNUMBER(BB38:BB234),ROW(BB38:BB234),"")))</f>
        <v>12.8</v>
      </c>
      <c r="BD38" s="13">
        <f>IF('Données projet'!$A$88&gt;35,BD37+BC38-BL37,IF(A38&lt;'Données projet'!$A$88,$BA$205^A38,IF(A38='Données projet'!$A$88,'Données projet'!$B$88,BD37+BC38-BL37)))</f>
        <v>206</v>
      </c>
      <c r="BE38" s="14">
        <f>BD38*VLOOKUP('Données projet'!$B$11,Paramètres!$A$1:$I$89,3,0)*VLOOKUP('Données projet'!$B$11,Paramètres!$A$1:$I$89,5,0)</f>
        <v>163.89360000000002</v>
      </c>
      <c r="BF38" s="14">
        <f t="shared" si="37"/>
        <v>41.71949506642347</v>
      </c>
      <c r="BG38" s="22">
        <f t="shared" si="7"/>
        <v>358.10947390735419</v>
      </c>
      <c r="BH38" s="62">
        <f t="shared" si="8"/>
        <v>651.44280724068744</v>
      </c>
      <c r="BI38" s="62">
        <f ca="1">AVERAGE(OFFSET($BH$3,0,0,'Données projet'!$E$11+1,1))-AVERAGE(OFFSET($H$3,0,0,'Données projet'!$E$11+1,1))</f>
        <v>370.79299728190904</v>
      </c>
      <c r="BJ38" s="62">
        <f t="shared" si="38"/>
        <v>404.95703400805775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</v>
      </c>
      <c r="BW38" s="13">
        <f>VLOOKUP(A38,'Données projet'!$A$113:$I$133,9,0)</f>
        <v>12.8</v>
      </c>
      <c r="BX38" s="13">
        <f t="array" ref="BX38">INDEX(BW:BW,MIN(IF(ISNUMBER(BW38:BW234),ROW(BW38:BW234),"")))</f>
        <v>12.8</v>
      </c>
      <c r="BY38" s="13">
        <f>IF('Données projet'!$A$114&gt;35,BY37+BX38-CG37,IF(A38&lt;'Données projet'!$A$114,$BV$205^A38,IF(A38='Données projet'!$A$114,'Données projet'!$B$114,BY37+BX38-CG37)))</f>
        <v>206</v>
      </c>
      <c r="BZ38" s="14">
        <f>BY38*VLOOKUP('Données projet'!$B$12,Paramètres!$A$1:$I$89,3,0)*VLOOKUP('Données projet'!$B$12,Paramètres!$A$1:$I$89,5,0)</f>
        <v>163.89360000000002</v>
      </c>
      <c r="CA38" s="14">
        <f t="shared" si="39"/>
        <v>41.71949506642347</v>
      </c>
      <c r="CB38" s="22">
        <f t="shared" si="10"/>
        <v>358.10947390735419</v>
      </c>
      <c r="CC38" s="62">
        <f t="shared" si="11"/>
        <v>651.44280724068744</v>
      </c>
      <c r="CD38" s="62">
        <f ca="1">AVERAGE(OFFSET($CC$3,0,0,'Données projet'!$E$12+1,1))-AVERAGE(OFFSET($H$3,0,0,'Données projet'!$E$12+1,1))</f>
        <v>370.79299728190904</v>
      </c>
      <c r="CE38" s="62">
        <f t="shared" si="40"/>
        <v>404.95703400805775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172</v>
      </c>
      <c r="CR38" s="13">
        <f>VLOOKUP(A38,'Données projet'!$A$139:$I$159,9,0)</f>
        <v>10.6</v>
      </c>
      <c r="CS38" s="13">
        <f t="array" ref="CS38">INDEX(CR:CR,MIN(IF(ISNUMBER(CR38:CR234),ROW(CR38:CR234),"")))</f>
        <v>10.6</v>
      </c>
      <c r="CT38" s="13">
        <f>IF('Données projet'!$A$140&gt;35,CT37+CS38-DB37,IF(A38&lt;'Données projet'!$A$140,$CQ$205^A38,IF(A38='Données projet'!$A$140,'Données projet'!$B$140,CT37+CS38-DB37)))</f>
        <v>171.99999999999991</v>
      </c>
      <c r="CU38" s="18">
        <f>CT38*VLOOKUP('Données projet'!$B$13,Paramètres!$A$1:$I$89,3,0)*VLOOKUP('Données projet'!$B$13,Paramètres!$A$1:$I$89,5,0)</f>
        <v>150.25919999999996</v>
      </c>
      <c r="CV38" s="14">
        <f t="shared" si="41"/>
        <v>38.637483830798729</v>
      </c>
      <c r="CW38" s="22">
        <f t="shared" si="13"/>
        <v>328.99505767197434</v>
      </c>
      <c r="CX38" s="62">
        <f t="shared" si="14"/>
        <v>622.32839100530759</v>
      </c>
      <c r="CY38" s="62">
        <f ca="1">AVERAGE(OFFSET($CX$3,0,0,'Données projet'!$E$13+1,1))-AVERAGE(OFFSET($H$3,0,0,'Données projet'!$E$13+1,1))</f>
        <v>339.58437495284466</v>
      </c>
      <c r="CZ38" s="62">
        <f t="shared" si="42"/>
        <v>371.26234252426531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206</v>
      </c>
      <c r="DM38" s="13">
        <f>VLOOKUP(A38,'Données projet'!$A$165:$I$185,9,0)</f>
        <v>12.8</v>
      </c>
      <c r="DN38" s="13">
        <f t="array" ref="DN38">INDEX(DM:DM,MIN(IF(ISNUMBER(DM38:DM234),ROW(DM38:DM234),"")))</f>
        <v>12.8</v>
      </c>
      <c r="DO38" s="13">
        <f>IF('Données projet'!$A$166&gt;35,DO37+DN38-DW37,IF(A38&lt;'Données projet'!$A$166,$DL$205^A38,IF(A38='Données projet'!$A$166,'Données projet'!$B$166,DO37+DN38-DW37)))</f>
        <v>206</v>
      </c>
      <c r="DP38" s="18">
        <f>DO38*VLOOKUP('Données projet'!$B$14,Paramètres!$A$1:$I$89,3,0)*VLOOKUP('Données projet'!$B$14,Paramètres!$A$1:$I$89,5,0)</f>
        <v>151.03919999999999</v>
      </c>
      <c r="DQ38" s="14">
        <f t="shared" si="43"/>
        <v>38.814652571726079</v>
      </c>
      <c r="DR38" s="22">
        <f t="shared" si="16"/>
        <v>330.66212656242288</v>
      </c>
      <c r="DS38" s="62">
        <f t="shared" si="17"/>
        <v>623.9954598957562</v>
      </c>
      <c r="DT38" s="62">
        <f ca="1">AVERAGE(OFFSET($DS$3,0,0,'Données projet'!$E$14+1,1))-AVERAGE(OFFSET($H$3,0,0,'Données projet'!$E$14+1,1))</f>
        <v>344.63665697794022</v>
      </c>
      <c r="DU38" s="62">
        <f t="shared" si="44"/>
        <v>376.72762011188041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159.61538461538461</v>
      </c>
      <c r="EH38" s="13">
        <f>VLOOKUP(A38,'Données projet'!$A$191:$I$211,9,0)</f>
        <v>7.1794871794871797</v>
      </c>
      <c r="EI38" s="13">
        <f t="array" ref="EI38">INDEX(EH:EH,MIN(IF(ISNUMBER(EH38:EH234),ROW(EH38:EH234),"")))</f>
        <v>7.1794871794871797</v>
      </c>
      <c r="EJ38" s="13">
        <f>IF('Données projet'!$A$192&gt;35,EJ37+EI38-ER37,IF(A38&lt;'Données projet'!$A$192,$EG$205^A38,IF(A38='Données projet'!$A$192,'Données projet'!$B$192,EJ37+EI38-ER37)))</f>
        <v>159.61538461538461</v>
      </c>
      <c r="EK38" s="18">
        <f>EJ38*VLOOKUP('Données projet'!$B$15,Paramètres!$A$1:$I$89,3,0)*VLOOKUP('Données projet'!$B$15,Paramètres!$A$1:$I$89,5,0)</f>
        <v>151.89000000000001</v>
      </c>
      <c r="EL38" s="14">
        <f t="shared" si="45"/>
        <v>39.007781402191782</v>
      </c>
      <c r="EM38" s="22">
        <f t="shared" si="19"/>
        <v>332.48030260881734</v>
      </c>
      <c r="EN38" s="62">
        <f t="shared" si="20"/>
        <v>625.81363594215065</v>
      </c>
      <c r="EO38" s="62">
        <f ca="1">AVERAGE(OFFSET($EN$3,0,0,'Données projet'!$E$15+1,1))-AVERAGE(OFFSET($H$3,0,0,'Données projet'!$E$15+1,1))</f>
        <v>406.24139966722936</v>
      </c>
      <c r="EP38" s="62">
        <f t="shared" si="46"/>
        <v>295.95724296920577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33.333333333333336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175</v>
      </c>
      <c r="FC38" s="13">
        <f>VLOOKUP(A38,'Données projet'!$A$217:$I$237,9,0)</f>
        <v>10.8</v>
      </c>
      <c r="FD38" s="13">
        <f t="array" ref="FD38">INDEX(FC:FC,MIN(IF(ISNUMBER(FC38:FC234),ROW(FC38:FC234),"")))</f>
        <v>10.8</v>
      </c>
      <c r="FE38" s="13">
        <f>IF('Données projet'!$A$218&gt;35,FE37+FD38-FM37,IF(A38&lt;'Données projet'!$A$218,$FB$205^A38,IF(A38='Données projet'!$A$218,'Données projet'!$B$218,FE37+FD38-FM37)))</f>
        <v>175.00000000000009</v>
      </c>
      <c r="FF38" s="18">
        <f>FE38*VLOOKUP('Données projet'!$B$16,Paramètres!$A$1:$I$89,3,0)*VLOOKUP('Données projet'!$B$16,Paramètres!$A$1:$I$89,5,0)</f>
        <v>169.2600000000001</v>
      </c>
      <c r="FG38" s="14">
        <f t="shared" si="47"/>
        <v>42.924246146122314</v>
      </c>
      <c r="FH38" s="22">
        <f t="shared" si="22"/>
        <v>369.55422870449644</v>
      </c>
      <c r="FI38" s="62">
        <f t="shared" si="23"/>
        <v>662.88756203782975</v>
      </c>
      <c r="FJ38" s="62">
        <f ca="1">AVERAGE(OFFSET($FI$3,0,0,'Données projet'!$E$16+1,1))-AVERAGE(OFFSET($H$3,0,0,'Données projet'!$E$16+1,1))</f>
        <v>540.83352418045502</v>
      </c>
      <c r="FK38" s="62">
        <f t="shared" si="48"/>
        <v>294.45557293177131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56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11.5</v>
      </c>
      <c r="FZ38" s="13">
        <f>IF('Données projet'!$A$244&gt;35,FZ37+FY38-GH37,IF(A38&lt;'Données projet'!$A$244,$FW$205^A38,IF(A38='Données projet'!$A$244,'Données projet'!$B$244,FZ37+FY38-GH37)))</f>
        <v>164.99999999999997</v>
      </c>
      <c r="GA38" s="18">
        <f>FZ38*VLOOKUP('Données projet'!$B$17,Paramètres!$A$1:$I$89,3,0)*VLOOKUP('Données projet'!$B$17,Paramètres!$A$1:$I$89,5,0)</f>
        <v>128.69999999999999</v>
      </c>
      <c r="GB38" s="14">
        <f t="shared" si="49"/>
        <v>33.695792019186115</v>
      </c>
      <c r="GC38" s="22">
        <f t="shared" si="25"/>
        <v>282.83933776674911</v>
      </c>
      <c r="GD38" s="62">
        <f t="shared" si="26"/>
        <v>576.17267110008243</v>
      </c>
      <c r="GE38" s="62">
        <f ca="1">AVERAGE(OFFSET($GD$3,0,0,'Données projet'!$E$17+1,1))-AVERAGE(OFFSET($H$3,0,0,'Données projet'!$E$17+1,1))</f>
        <v>292.57482726862594</v>
      </c>
      <c r="GF38" s="62">
        <f t="shared" si="50"/>
        <v>283.48738729114024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193.58974358974359</v>
      </c>
      <c r="GS38" s="13">
        <f>VLOOKUP(A38,'Données projet'!$A$269:$I$289,9,0)</f>
        <v>8.3333333333333375</v>
      </c>
      <c r="GT38" s="13">
        <f t="array" ref="GT38">INDEX(GS:GS,MIN(IF(ISNUMBER(GS38:GS234),ROW(GS38:GS234),"")))</f>
        <v>8.3333333333333375</v>
      </c>
      <c r="GU38" s="13">
        <f>IF('Données projet'!$A$270&gt;35,GU37+GT38-HC37,IF(A38&lt;'Données projet'!$A$270,$GR$205^A38,IF(A38='Données projet'!$A$270,'Données projet'!$B$270,GU37+GT38-HC37)))</f>
        <v>193.58974358974362</v>
      </c>
      <c r="GV38" s="18">
        <f>GU38*VLOOKUP('Données projet'!$B$18,Paramètres!$A$1:$I$89,3,0)*VLOOKUP('Données projet'!$B$18,Paramètres!$A$1:$I$89,5,0)</f>
        <v>129.86000000000001</v>
      </c>
      <c r="GW38" s="14">
        <f t="shared" si="51"/>
        <v>33.964007414446357</v>
      </c>
      <c r="GX38" s="22">
        <f t="shared" si="28"/>
        <v>285.32681291349411</v>
      </c>
      <c r="GY38" s="62">
        <f t="shared" si="29"/>
        <v>578.66014624682748</v>
      </c>
      <c r="GZ38" s="62">
        <f ca="1">AVERAGE(OFFSET($GY$3,0,0,'Données projet'!$E$18+1,1))-AVERAGE(OFFSET($H$3,0,0,'Données projet'!$E$18+1,1))</f>
        <v>343.33067866534634</v>
      </c>
      <c r="HA38" s="62">
        <f t="shared" si="52"/>
        <v>261.91036689641402</v>
      </c>
      <c r="HB38" s="16">
        <f>IF(ISNA(VLOOKUP(A38,'Données projet'!$A$269:$I$289,3,0)),0,VLOOKUP(A38,'Données projet'!$A$269:$I$289,3,0))</f>
        <v>3</v>
      </c>
      <c r="HC38" s="16">
        <f>IF(ISNA(VLOOKUP(A38,'Données projet'!$A$269:$I$289,4,0)),0,VLOOKUP(A38,'Données projet'!$A$269:$I$289,4,0))</f>
        <v>37.179487179487175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508.77990078889337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projet'!$B$10,Paramètres!$A$1:$I$89,3,0)*VLOOKUP('Données projet'!$B$10,Paramètres!$A$1:$I$89,5,0)</f>
        <v>132.02280000000007</v>
      </c>
      <c r="AK39" s="14">
        <f t="shared" si="35"/>
        <v>34.463348169992798</v>
      </c>
      <c r="AL39" s="22">
        <f t="shared" si="4"/>
        <v>289.96337472940422</v>
      </c>
      <c r="AM39" s="62">
        <f t="shared" si="5"/>
        <v>583.29670806273748</v>
      </c>
      <c r="AN39" s="62">
        <f ca="1">AVERAGE(OFFSET($AM$3,0,0,'Données projet'!$E$10+1,1))-AVERAGE(OFFSET($H$3,0,0,'Données projet'!$E$10+1,1))</f>
        <v>564.84596170333884</v>
      </c>
      <c r="AO39" s="62">
        <f t="shared" si="36"/>
        <v>306.61893266146666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217.4</v>
      </c>
      <c r="BE39" s="14">
        <f>BD39*VLOOKUP('Données projet'!$B$11,Paramètres!$A$1:$I$89,3,0)*VLOOKUP('Données projet'!$B$11,Paramètres!$A$1:$I$89,5,0)</f>
        <v>172.96344000000002</v>
      </c>
      <c r="BF39" s="14">
        <f t="shared" si="37"/>
        <v>43.753066528893434</v>
      </c>
      <c r="BG39" s="22">
        <f t="shared" si="7"/>
        <v>377.44791553782278</v>
      </c>
      <c r="BH39" s="62">
        <f t="shared" si="8"/>
        <v>670.78124887115609</v>
      </c>
      <c r="BI39" s="62">
        <f ca="1">AVERAGE(OFFSET($BH$3,0,0,'Données projet'!$E$11+1,1))-AVERAGE(OFFSET($H$3,0,0,'Données projet'!$E$11+1,1))</f>
        <v>370.79299728190904</v>
      </c>
      <c r="BJ39" s="62">
        <f t="shared" si="38"/>
        <v>404.95703400805775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</v>
      </c>
      <c r="BY39" s="13">
        <f>IF('Données projet'!$A$114&gt;35,BY38+BX39-CG38,IF(A39&lt;'Données projet'!$A$114,$BV$205^A39,IF(A39='Données projet'!$A$114,'Données projet'!$B$114,BY38+BX39-CG38)))</f>
        <v>217.4</v>
      </c>
      <c r="BZ39" s="14">
        <f>BY39*VLOOKUP('Données projet'!$B$12,Paramètres!$A$1:$I$89,3,0)*VLOOKUP('Données projet'!$B$12,Paramètres!$A$1:$I$89,5,0)</f>
        <v>172.96344000000002</v>
      </c>
      <c r="CA39" s="14">
        <f t="shared" si="39"/>
        <v>43.753066528893434</v>
      </c>
      <c r="CB39" s="22">
        <f t="shared" si="10"/>
        <v>377.44791553782278</v>
      </c>
      <c r="CC39" s="62">
        <f t="shared" si="11"/>
        <v>670.78124887115609</v>
      </c>
      <c r="CD39" s="62">
        <f ca="1">AVERAGE(OFFSET($CC$3,0,0,'Données projet'!$E$12+1,1))-AVERAGE(OFFSET($H$3,0,0,'Données projet'!$E$12+1,1))</f>
        <v>370.79299728190904</v>
      </c>
      <c r="CE39" s="62">
        <f t="shared" si="40"/>
        <v>404.95703400805775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9.6</v>
      </c>
      <c r="CT39" s="13">
        <f>IF('Données projet'!$A$140&gt;35,CT38+CS39-DB38,IF(A39&lt;'Données projet'!$A$140,$CQ$205^A39,IF(A39='Données projet'!$A$140,'Données projet'!$B$140,CT38+CS39-DB38)))</f>
        <v>181.59999999999991</v>
      </c>
      <c r="CU39" s="18">
        <f>CT39*VLOOKUP('Données projet'!$B$13,Paramètres!$A$1:$I$89,3,0)*VLOOKUP('Données projet'!$B$13,Paramètres!$A$1:$I$89,5,0)</f>
        <v>158.64575999999994</v>
      </c>
      <c r="CV39" s="14">
        <f t="shared" si="41"/>
        <v>40.536911851071054</v>
      </c>
      <c r="CW39" s="22">
        <f t="shared" si="13"/>
        <v>346.9098201406153</v>
      </c>
      <c r="CX39" s="62">
        <f t="shared" si="14"/>
        <v>640.24315347394861</v>
      </c>
      <c r="CY39" s="62">
        <f ca="1">AVERAGE(OFFSET($CX$3,0,0,'Données projet'!$E$13+1,1))-AVERAGE(OFFSET($H$3,0,0,'Données projet'!$E$13+1,1))</f>
        <v>339.58437495284466</v>
      </c>
      <c r="CZ39" s="62">
        <f t="shared" si="42"/>
        <v>371.26234252426531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11.4</v>
      </c>
      <c r="DO39" s="13">
        <f>IF('Données projet'!$A$166&gt;35,DO38+DN39-DW38,IF(A39&lt;'Données projet'!$A$166,$DL$205^A39,IF(A39='Données projet'!$A$166,'Données projet'!$B$166,DO38+DN39-DW38)))</f>
        <v>217.4</v>
      </c>
      <c r="DP39" s="18">
        <f>DO39*VLOOKUP('Données projet'!$B$14,Paramètres!$A$1:$I$89,3,0)*VLOOKUP('Données projet'!$B$14,Paramètres!$A$1:$I$89,5,0)</f>
        <v>159.39768000000001</v>
      </c>
      <c r="DQ39" s="14">
        <f t="shared" si="43"/>
        <v>40.706630642646523</v>
      </c>
      <c r="DR39" s="22">
        <f t="shared" si="16"/>
        <v>348.51500770260941</v>
      </c>
      <c r="DS39" s="62">
        <f t="shared" si="17"/>
        <v>641.84834103594267</v>
      </c>
      <c r="DT39" s="62">
        <f ca="1">AVERAGE(OFFSET($DS$3,0,0,'Données projet'!$E$14+1,1))-AVERAGE(OFFSET($H$3,0,0,'Données projet'!$E$14+1,1))</f>
        <v>344.63665697794022</v>
      </c>
      <c r="DU39" s="62">
        <f t="shared" si="44"/>
        <v>376.72762011188041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6.7948717948717956</v>
      </c>
      <c r="EJ39" s="13">
        <f>IF('Données projet'!$A$192&gt;35,EJ38+EI39-ER38,IF(A39&lt;'Données projet'!$A$192,$EG$205^A39,IF(A39='Données projet'!$A$192,'Données projet'!$B$192,EJ38+EI39-ER38)))</f>
        <v>133.07692307692307</v>
      </c>
      <c r="EK39" s="18">
        <f>EJ39*VLOOKUP('Données projet'!$B$15,Paramètres!$A$1:$I$89,3,0)*VLOOKUP('Données projet'!$B$15,Paramètres!$A$1:$I$89,5,0)</f>
        <v>126.636</v>
      </c>
      <c r="EL39" s="14">
        <f t="shared" si="45"/>
        <v>33.217855596652925</v>
      </c>
      <c r="EM39" s="22">
        <f t="shared" si="19"/>
        <v>278.41213183083715</v>
      </c>
      <c r="EN39" s="62">
        <f t="shared" si="20"/>
        <v>571.74546516417047</v>
      </c>
      <c r="EO39" s="62">
        <f ca="1">AVERAGE(OFFSET($EN$3,0,0,'Données projet'!$E$15+1,1))-AVERAGE(OFFSET($H$3,0,0,'Données projet'!$E$15+1,1))</f>
        <v>406.24139966722936</v>
      </c>
      <c r="EP39" s="62">
        <f t="shared" si="46"/>
        <v>295.95724296920577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11.2</v>
      </c>
      <c r="FE39" s="13">
        <f>IF('Données projet'!$A$218&gt;35,FE38+FD39-FM38,IF(A39&lt;'Données projet'!$A$218,$FB$205^A39,IF(A39='Données projet'!$A$218,'Données projet'!$B$218,FE38+FD39-FM38)))</f>
        <v>130.20000000000007</v>
      </c>
      <c r="FF39" s="18">
        <f>FE39*VLOOKUP('Données projet'!$B$16,Paramètres!$A$1:$I$89,3,0)*VLOOKUP('Données projet'!$B$16,Paramètres!$A$1:$I$89,5,0)</f>
        <v>125.92944000000007</v>
      </c>
      <c r="FG39" s="14">
        <f t="shared" si="47"/>
        <v>33.054038034052077</v>
      </c>
      <c r="FH39" s="22">
        <f t="shared" si="22"/>
        <v>276.89622424264081</v>
      </c>
      <c r="FI39" s="62">
        <f t="shared" si="23"/>
        <v>570.22955757597413</v>
      </c>
      <c r="FJ39" s="62">
        <f ca="1">AVERAGE(OFFSET($FI$3,0,0,'Données projet'!$E$16+1,1))-AVERAGE(OFFSET($H$3,0,0,'Données projet'!$E$16+1,1))</f>
        <v>540.83352418045502</v>
      </c>
      <c r="FK39" s="62">
        <f t="shared" si="48"/>
        <v>294.45557293177131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11.5</v>
      </c>
      <c r="FZ39" s="13">
        <f>IF('Données projet'!$A$244&gt;35,FZ38+FY39-GH38,IF(A39&lt;'Données projet'!$A$244,$FW$205^A39,IF(A39='Données projet'!$A$244,'Données projet'!$B$244,FZ38+FY39-GH38)))</f>
        <v>176.49999999999997</v>
      </c>
      <c r="GA39" s="18">
        <f>FZ39*VLOOKUP('Données projet'!$B$17,Paramètres!$A$1:$I$89,3,0)*VLOOKUP('Données projet'!$B$17,Paramètres!$A$1:$I$89,5,0)</f>
        <v>137.66999999999999</v>
      </c>
      <c r="GB39" s="14">
        <f t="shared" si="49"/>
        <v>35.762714965854656</v>
      </c>
      <c r="GC39" s="22">
        <f t="shared" si="25"/>
        <v>302.06197856553018</v>
      </c>
      <c r="GD39" s="62">
        <f t="shared" si="26"/>
        <v>595.3953118988635</v>
      </c>
      <c r="GE39" s="62">
        <f ca="1">AVERAGE(OFFSET($GD$3,0,0,'Données projet'!$E$17+1,1))-AVERAGE(OFFSET($H$3,0,0,'Données projet'!$E$17+1,1))</f>
        <v>292.57482726862594</v>
      </c>
      <c r="GF39" s="62">
        <f t="shared" si="50"/>
        <v>283.48738729114024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7.5641025641025639</v>
      </c>
      <c r="GU39" s="13">
        <f>IF('Données projet'!$A$270&gt;35,GU38+GT39-HC38,IF(A39&lt;'Données projet'!$A$270,$GR$205^A39,IF(A39='Données projet'!$A$270,'Données projet'!$B$270,GU38+GT39-HC38)))</f>
        <v>163.97435897435901</v>
      </c>
      <c r="GV39" s="18">
        <f>GU39*VLOOKUP('Données projet'!$B$18,Paramètres!$A$1:$I$89,3,0)*VLOOKUP('Données projet'!$B$18,Paramètres!$A$1:$I$89,5,0)</f>
        <v>109.99400000000003</v>
      </c>
      <c r="GW39" s="14">
        <f t="shared" si="51"/>
        <v>29.329570921273</v>
      </c>
      <c r="GX39" s="22">
        <f t="shared" si="28"/>
        <v>242.6552193545505</v>
      </c>
      <c r="GY39" s="62">
        <f t="shared" si="29"/>
        <v>535.98855268788384</v>
      </c>
      <c r="GZ39" s="62">
        <f ca="1">AVERAGE(OFFSET($GY$3,0,0,'Données projet'!$E$18+1,1))-AVERAGE(OFFSET($H$3,0,0,'Données projet'!$E$18+1,1))</f>
        <v>343.33067866534634</v>
      </c>
      <c r="HA39" s="62">
        <f t="shared" si="52"/>
        <v>261.91036689641402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508.77990078889337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projet'!$B$10,Paramètres!$A$1:$I$89,3,0)*VLOOKUP('Données projet'!$B$10,Paramètres!$A$1:$I$89,5,0)</f>
        <v>143.37960000000007</v>
      </c>
      <c r="AK40" s="14">
        <f t="shared" si="35"/>
        <v>37.070146308317504</v>
      </c>
      <c r="AL40" s="22">
        <f t="shared" si="4"/>
        <v>314.28330815365308</v>
      </c>
      <c r="AM40" s="62">
        <f t="shared" si="5"/>
        <v>607.6166414869864</v>
      </c>
      <c r="AN40" s="62">
        <f ca="1">AVERAGE(OFFSET($AM$3,0,0,'Données projet'!$E$10+1,1))-AVERAGE(OFFSET($H$3,0,0,'Données projet'!$E$10+1,1))</f>
        <v>564.84596170333884</v>
      </c>
      <c r="AO40" s="62">
        <f t="shared" si="36"/>
        <v>306.61893266146666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228.8</v>
      </c>
      <c r="BE40" s="14">
        <f>BD40*VLOOKUP('Données projet'!$B$11,Paramètres!$A$1:$I$89,3,0)*VLOOKUP('Données projet'!$B$11,Paramètres!$A$1:$I$89,5,0)</f>
        <v>182.03328000000002</v>
      </c>
      <c r="BF40" s="14">
        <f t="shared" si="37"/>
        <v>45.774257349740282</v>
      </c>
      <c r="BG40" s="22">
        <f t="shared" si="7"/>
        <v>396.76479421746438</v>
      </c>
      <c r="BH40" s="62">
        <f t="shared" si="8"/>
        <v>690.0981275507977</v>
      </c>
      <c r="BI40" s="62">
        <f ca="1">AVERAGE(OFFSET($BH$3,0,0,'Données projet'!$E$11+1,1))-AVERAGE(OFFSET($H$3,0,0,'Données projet'!$E$11+1,1))</f>
        <v>370.79299728190904</v>
      </c>
      <c r="BJ40" s="62">
        <f t="shared" si="38"/>
        <v>404.95703400805775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</v>
      </c>
      <c r="BY40" s="13">
        <f>IF('Données projet'!$A$114&gt;35,BY39+BX40-CG39,IF(A40&lt;'Données projet'!$A$114,$BV$205^A40,IF(A40='Données projet'!$A$114,'Données projet'!$B$114,BY39+BX40-CG39)))</f>
        <v>228.8</v>
      </c>
      <c r="BZ40" s="14">
        <f>BY40*VLOOKUP('Données projet'!$B$12,Paramètres!$A$1:$I$89,3,0)*VLOOKUP('Données projet'!$B$12,Paramètres!$A$1:$I$89,5,0)</f>
        <v>182.03328000000002</v>
      </c>
      <c r="CA40" s="14">
        <f t="shared" si="39"/>
        <v>45.774257349740282</v>
      </c>
      <c r="CB40" s="22">
        <f t="shared" si="10"/>
        <v>396.76479421746438</v>
      </c>
      <c r="CC40" s="62">
        <f t="shared" si="11"/>
        <v>690.0981275507977</v>
      </c>
      <c r="CD40" s="62">
        <f ca="1">AVERAGE(OFFSET($CC$3,0,0,'Données projet'!$E$12+1,1))-AVERAGE(OFFSET($H$3,0,0,'Données projet'!$E$12+1,1))</f>
        <v>370.79299728190904</v>
      </c>
      <c r="CE40" s="62">
        <f t="shared" si="40"/>
        <v>404.95703400805775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9.6</v>
      </c>
      <c r="CT40" s="13">
        <f>IF('Données projet'!$A$140&gt;35,CT39+CS40-DB39,IF(A40&lt;'Données projet'!$A$140,$CQ$205^A40,IF(A40='Données projet'!$A$140,'Données projet'!$B$140,CT39+CS40-DB39)))</f>
        <v>191.1999999999999</v>
      </c>
      <c r="CU40" s="18">
        <f>CT40*VLOOKUP('Données projet'!$B$13,Paramètres!$A$1:$I$89,3,0)*VLOOKUP('Données projet'!$B$13,Paramètres!$A$1:$I$89,5,0)</f>
        <v>167.03231999999994</v>
      </c>
      <c r="CV40" s="14">
        <f t="shared" si="41"/>
        <v>42.424682267054841</v>
      </c>
      <c r="CW40" s="22">
        <f t="shared" si="13"/>
        <v>364.80427894845371</v>
      </c>
      <c r="CX40" s="62">
        <f t="shared" si="14"/>
        <v>658.13761228178703</v>
      </c>
      <c r="CY40" s="62">
        <f ca="1">AVERAGE(OFFSET($CX$3,0,0,'Données projet'!$E$13+1,1))-AVERAGE(OFFSET($H$3,0,0,'Données projet'!$E$13+1,1))</f>
        <v>339.58437495284466</v>
      </c>
      <c r="CZ40" s="62">
        <f t="shared" si="42"/>
        <v>371.26234252426531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11.4</v>
      </c>
      <c r="DO40" s="13">
        <f>IF('Données projet'!$A$166&gt;35,DO39+DN40-DW39,IF(A40&lt;'Données projet'!$A$166,$DL$205^A40,IF(A40='Données projet'!$A$166,'Données projet'!$B$166,DO39+DN40-DW39)))</f>
        <v>228.8</v>
      </c>
      <c r="DP40" s="18">
        <f>DO40*VLOOKUP('Données projet'!$B$14,Paramètres!$A$1:$I$89,3,0)*VLOOKUP('Données projet'!$B$14,Paramètres!$A$1:$I$89,5,0)</f>
        <v>167.75615999999999</v>
      </c>
      <c r="DQ40" s="14">
        <f t="shared" si="43"/>
        <v>42.587090110514616</v>
      </c>
      <c r="DR40" s="22">
        <f t="shared" si="16"/>
        <v>366.34782727581296</v>
      </c>
      <c r="DS40" s="62">
        <f t="shared" si="17"/>
        <v>659.68116060914622</v>
      </c>
      <c r="DT40" s="62">
        <f ca="1">AVERAGE(OFFSET($DS$3,0,0,'Données projet'!$E$14+1,1))-AVERAGE(OFFSET($H$3,0,0,'Données projet'!$E$14+1,1))</f>
        <v>344.63665697794022</v>
      </c>
      <c r="DU40" s="62">
        <f t="shared" si="44"/>
        <v>376.72762011188041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6.7948717948717956</v>
      </c>
      <c r="EJ40" s="13">
        <f>IF('Données projet'!$A$192&gt;35,EJ39+EI40-ER39,IF(A40&lt;'Données projet'!$A$192,$EG$205^A40,IF(A40='Données projet'!$A$192,'Données projet'!$B$192,EJ39+EI40-ER39)))</f>
        <v>139.87179487179486</v>
      </c>
      <c r="EK40" s="18">
        <f>EJ40*VLOOKUP('Données projet'!$B$15,Paramètres!$A$1:$I$89,3,0)*VLOOKUP('Données projet'!$B$15,Paramètres!$A$1:$I$89,5,0)</f>
        <v>133.102</v>
      </c>
      <c r="EL40" s="14">
        <f t="shared" si="45"/>
        <v>34.712153760745615</v>
      </c>
      <c r="EM40" s="22">
        <f t="shared" si="19"/>
        <v>292.27631779996528</v>
      </c>
      <c r="EN40" s="62">
        <f t="shared" si="20"/>
        <v>585.6096511332986</v>
      </c>
      <c r="EO40" s="62">
        <f ca="1">AVERAGE(OFFSET($EN$3,0,0,'Données projet'!$E$15+1,1))-AVERAGE(OFFSET($H$3,0,0,'Données projet'!$E$15+1,1))</f>
        <v>406.24139966722936</v>
      </c>
      <c r="EP40" s="62">
        <f t="shared" si="46"/>
        <v>295.95724296920577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11.2</v>
      </c>
      <c r="FE40" s="13">
        <f>IF('Données projet'!$A$218&gt;35,FE39+FD40-FM39,IF(A40&lt;'Données projet'!$A$218,$FB$205^A40,IF(A40='Données projet'!$A$218,'Données projet'!$B$218,FE39+FD40-FM39)))</f>
        <v>141.40000000000006</v>
      </c>
      <c r="FF40" s="18">
        <f>FE40*VLOOKUP('Données projet'!$B$16,Paramètres!$A$1:$I$89,3,0)*VLOOKUP('Données projet'!$B$16,Paramètres!$A$1:$I$89,5,0)</f>
        <v>136.76208000000005</v>
      </c>
      <c r="FG40" s="14">
        <f t="shared" si="47"/>
        <v>35.554236342883392</v>
      </c>
      <c r="FH40" s="22">
        <f t="shared" si="22"/>
        <v>300.11758429718867</v>
      </c>
      <c r="FI40" s="62">
        <f t="shared" si="23"/>
        <v>593.45091763052199</v>
      </c>
      <c r="FJ40" s="62">
        <f ca="1">AVERAGE(OFFSET($FI$3,0,0,'Données projet'!$E$16+1,1))-AVERAGE(OFFSET($H$3,0,0,'Données projet'!$E$16+1,1))</f>
        <v>540.83352418045502</v>
      </c>
      <c r="FK40" s="62">
        <f t="shared" si="48"/>
        <v>294.45557293177131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>
        <f>VLOOKUP(A40,'Données projet'!$A$243:$I$263,2,0)</f>
        <v>188</v>
      </c>
      <c r="FX40" s="13">
        <f>VLOOKUP(A40,'Données projet'!$A$243:$I$263,9,0)</f>
        <v>11.5</v>
      </c>
      <c r="FY40" s="13">
        <f t="array" ref="FY40">INDEX(FX:FX,MIN(IF(ISNUMBER(FX40:FX236),ROW(FX40:FX236),"")))</f>
        <v>11.5</v>
      </c>
      <c r="FZ40" s="13">
        <f>IF('Données projet'!$A$244&gt;35,FZ39+FY40-GH39,IF(A40&lt;'Données projet'!$A$244,$FW$205^A40,IF(A40='Données projet'!$A$244,'Données projet'!$B$244,FZ39+FY40-GH39)))</f>
        <v>187.99999999999997</v>
      </c>
      <c r="GA40" s="18">
        <f>FZ40*VLOOKUP('Données projet'!$B$17,Paramètres!$A$1:$I$89,3,0)*VLOOKUP('Données projet'!$B$17,Paramètres!$A$1:$I$89,5,0)</f>
        <v>146.63999999999999</v>
      </c>
      <c r="GB40" s="14">
        <f t="shared" si="49"/>
        <v>37.814009712703026</v>
      </c>
      <c r="GC40" s="22">
        <f t="shared" si="25"/>
        <v>321.25740024962437</v>
      </c>
      <c r="GD40" s="62">
        <f t="shared" si="26"/>
        <v>614.59073358295768</v>
      </c>
      <c r="GE40" s="62">
        <f ca="1">AVERAGE(OFFSET($GD$3,0,0,'Données projet'!$E$17+1,1))-AVERAGE(OFFSET($H$3,0,0,'Données projet'!$E$17+1,1))</f>
        <v>292.57482726862594</v>
      </c>
      <c r="GF40" s="62">
        <f t="shared" si="50"/>
        <v>283.48738729114024</v>
      </c>
      <c r="GG40" s="16">
        <f>IF(ISNA(VLOOKUP(A40,'Données projet'!$A$243:$I$263,3,0)),0,VLOOKUP(A40,'Données projet'!$A$243:$I$263,3,0))</f>
        <v>3</v>
      </c>
      <c r="GH40" s="16">
        <f>IF(ISNA(VLOOKUP(A40,'Données projet'!$A$243:$I$263,4,0)),0,VLOOKUP(A40,'Données projet'!$A$243:$I$263,4,0))</f>
        <v>36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7.5641025641025639</v>
      </c>
      <c r="GU40" s="13">
        <f>IF('Données projet'!$A$270&gt;35,GU39+GT40-HC39,IF(A40&lt;'Données projet'!$A$270,$GR$205^A40,IF(A40='Données projet'!$A$270,'Données projet'!$B$270,GU39+GT40-HC39)))</f>
        <v>171.53846153846158</v>
      </c>
      <c r="GV40" s="18">
        <f>GU40*VLOOKUP('Données projet'!$B$18,Paramètres!$A$1:$I$89,3,0)*VLOOKUP('Données projet'!$B$18,Paramètres!$A$1:$I$89,5,0)</f>
        <v>115.06800000000003</v>
      </c>
      <c r="GW40" s="14">
        <f t="shared" si="51"/>
        <v>30.521896703482735</v>
      </c>
      <c r="GX40" s="22">
        <f t="shared" si="28"/>
        <v>253.56907009189914</v>
      </c>
      <c r="GY40" s="62">
        <f t="shared" si="29"/>
        <v>546.90240342523248</v>
      </c>
      <c r="GZ40" s="62">
        <f ca="1">AVERAGE(OFFSET($GY$3,0,0,'Données projet'!$E$18+1,1))-AVERAGE(OFFSET($H$3,0,0,'Données projet'!$E$18+1,1))</f>
        <v>343.33067866534634</v>
      </c>
      <c r="HA40" s="62">
        <f t="shared" si="52"/>
        <v>261.91036689641402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596.25717061705507</v>
      </c>
      <c r="S41" s="62">
        <f ca="1">AVERAGE(OFFSET($R$3,0,0,'Données projet'!$E$9+1,1))-AVERAGE(OFFSET($H$3,0,0,'Données projet'!$E$9+1,1))</f>
        <v>508.77990078889337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projet'!$B$10,Paramètres!$A$1:$I$89,3,0)*VLOOKUP('Données projet'!$B$10,Paramètres!$A$1:$I$89,5,0)</f>
        <v>154.73640000000006</v>
      </c>
      <c r="AK41" s="14">
        <f t="shared" si="35"/>
        <v>39.652994320183701</v>
      </c>
      <c r="AL41" s="22">
        <f t="shared" si="4"/>
        <v>338.56152844098671</v>
      </c>
      <c r="AM41" s="62">
        <f t="shared" si="5"/>
        <v>631.89486177432002</v>
      </c>
      <c r="AN41" s="62">
        <f ca="1">AVERAGE(OFFSET($AM$3,0,0,'Données projet'!$E$10+1,1))-AVERAGE(OFFSET($H$3,0,0,'Données projet'!$E$10+1,1))</f>
        <v>564.84596170333884</v>
      </c>
      <c r="AO41" s="62">
        <f t="shared" si="36"/>
        <v>306.61893266146666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240.20000000000002</v>
      </c>
      <c r="BE41" s="14">
        <f>BD41*VLOOKUP('Données projet'!$B$11,Paramètres!$A$1:$I$89,3,0)*VLOOKUP('Données projet'!$B$11,Paramètres!$A$1:$I$89,5,0)</f>
        <v>191.10312000000002</v>
      </c>
      <c r="BF41" s="14">
        <f t="shared" si="37"/>
        <v>47.783754789189338</v>
      </c>
      <c r="BG41" s="22">
        <f t="shared" si="7"/>
        <v>416.06130692450483</v>
      </c>
      <c r="BH41" s="62">
        <f t="shared" si="8"/>
        <v>709.39464025783809</v>
      </c>
      <c r="BI41" s="62">
        <f ca="1">AVERAGE(OFFSET($BH$3,0,0,'Données projet'!$E$11+1,1))-AVERAGE(OFFSET($H$3,0,0,'Données projet'!$E$11+1,1))</f>
        <v>370.79299728190904</v>
      </c>
      <c r="BJ41" s="62">
        <f t="shared" si="38"/>
        <v>404.95703400805775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</v>
      </c>
      <c r="BY41" s="13">
        <f>IF('Données projet'!$A$114&gt;35,BY40+BX41-CG40,IF(A41&lt;'Données projet'!$A$114,$BV$205^A41,IF(A41='Données projet'!$A$114,'Données projet'!$B$114,BY40+BX41-CG40)))</f>
        <v>240.20000000000002</v>
      </c>
      <c r="BZ41" s="14">
        <f>BY41*VLOOKUP('Données projet'!$B$12,Paramètres!$A$1:$I$89,3,0)*VLOOKUP('Données projet'!$B$12,Paramètres!$A$1:$I$89,5,0)</f>
        <v>191.10312000000002</v>
      </c>
      <c r="CA41" s="14">
        <f t="shared" si="39"/>
        <v>47.783754789189338</v>
      </c>
      <c r="CB41" s="22">
        <f t="shared" si="10"/>
        <v>416.06130692450483</v>
      </c>
      <c r="CC41" s="62">
        <f t="shared" si="11"/>
        <v>709.39464025783809</v>
      </c>
      <c r="CD41" s="62">
        <f ca="1">AVERAGE(OFFSET($CC$3,0,0,'Données projet'!$E$12+1,1))-AVERAGE(OFFSET($H$3,0,0,'Données projet'!$E$12+1,1))</f>
        <v>370.79299728190904</v>
      </c>
      <c r="CE41" s="62">
        <f t="shared" si="40"/>
        <v>404.95703400805775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9.6</v>
      </c>
      <c r="CT41" s="13">
        <f>IF('Données projet'!$A$140&gt;35,CT40+CS41-DB40,IF(A41&lt;'Données projet'!$A$140,$CQ$205^A41,IF(A41='Données projet'!$A$140,'Données projet'!$B$140,CT40+CS41-DB40)))</f>
        <v>200.7999999999999</v>
      </c>
      <c r="CU41" s="18">
        <f>CT41*VLOOKUP('Données projet'!$B$13,Paramètres!$A$1:$I$89,3,0)*VLOOKUP('Données projet'!$B$13,Paramètres!$A$1:$I$89,5,0)</f>
        <v>175.41887999999992</v>
      </c>
      <c r="CV41" s="14">
        <f t="shared" si="41"/>
        <v>44.301447184391158</v>
      </c>
      <c r="CW41" s="22">
        <f t="shared" si="13"/>
        <v>382.67956984614779</v>
      </c>
      <c r="CX41" s="62">
        <f t="shared" si="14"/>
        <v>676.0129031794811</v>
      </c>
      <c r="CY41" s="62">
        <f ca="1">AVERAGE(OFFSET($CX$3,0,0,'Données projet'!$E$13+1,1))-AVERAGE(OFFSET($H$3,0,0,'Données projet'!$E$13+1,1))</f>
        <v>339.58437495284466</v>
      </c>
      <c r="CZ41" s="62">
        <f t="shared" si="42"/>
        <v>371.26234252426531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11.4</v>
      </c>
      <c r="DO41" s="13">
        <f>IF('Données projet'!$A$166&gt;35,DO40+DN41-DW40,IF(A41&lt;'Données projet'!$A$166,$DL$205^A41,IF(A41='Données projet'!$A$166,'Données projet'!$B$166,DO40+DN41-DW40)))</f>
        <v>240.20000000000002</v>
      </c>
      <c r="DP41" s="18">
        <f>DO41*VLOOKUP('Données projet'!$B$14,Paramètres!$A$1:$I$89,3,0)*VLOOKUP('Données projet'!$B$14,Paramètres!$A$1:$I$89,5,0)</f>
        <v>176.11464000000001</v>
      </c>
      <c r="DQ41" s="14">
        <f t="shared" si="43"/>
        <v>44.456670383041981</v>
      </c>
      <c r="DR41" s="22">
        <f t="shared" si="16"/>
        <v>384.16169891713145</v>
      </c>
      <c r="DS41" s="62">
        <f t="shared" si="17"/>
        <v>677.49503225046476</v>
      </c>
      <c r="DT41" s="62">
        <f ca="1">AVERAGE(OFFSET($DS$3,0,0,'Données projet'!$E$14+1,1))-AVERAGE(OFFSET($H$3,0,0,'Données projet'!$E$14+1,1))</f>
        <v>344.63665697794022</v>
      </c>
      <c r="DU41" s="62">
        <f t="shared" si="44"/>
        <v>376.72762011188041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6.7948717948717956</v>
      </c>
      <c r="EJ41" s="13">
        <f>IF('Données projet'!$A$192&gt;35,EJ40+EI41-ER40,IF(A41&lt;'Données projet'!$A$192,$EG$205^A41,IF(A41='Données projet'!$A$192,'Données projet'!$B$192,EJ40+EI41-ER40)))</f>
        <v>146.66666666666666</v>
      </c>
      <c r="EK41" s="18">
        <f>EJ41*VLOOKUP('Données projet'!$B$15,Paramètres!$A$1:$I$89,3,0)*VLOOKUP('Données projet'!$B$15,Paramètres!$A$1:$I$89,5,0)</f>
        <v>139.56799999999998</v>
      </c>
      <c r="EL41" s="14">
        <f t="shared" si="45"/>
        <v>36.198022567902299</v>
      </c>
      <c r="EM41" s="22">
        <f t="shared" si="19"/>
        <v>306.12582263909644</v>
      </c>
      <c r="EN41" s="62">
        <f t="shared" si="20"/>
        <v>599.4591559724297</v>
      </c>
      <c r="EO41" s="62">
        <f ca="1">AVERAGE(OFFSET($EN$3,0,0,'Données projet'!$E$15+1,1))-AVERAGE(OFFSET($H$3,0,0,'Données projet'!$E$15+1,1))</f>
        <v>406.24139966722936</v>
      </c>
      <c r="EP41" s="62">
        <f t="shared" si="46"/>
        <v>295.95724296920577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11.2</v>
      </c>
      <c r="FE41" s="13">
        <f>IF('Données projet'!$A$218&gt;35,FE40+FD41-FM40,IF(A41&lt;'Données projet'!$A$218,$FB$205^A41,IF(A41='Données projet'!$A$218,'Données projet'!$B$218,FE40+FD41-FM40)))</f>
        <v>152.60000000000005</v>
      </c>
      <c r="FF41" s="18">
        <f>FE41*VLOOKUP('Données projet'!$B$16,Paramètres!$A$1:$I$89,3,0)*VLOOKUP('Données projet'!$B$16,Paramètres!$A$1:$I$89,5,0)</f>
        <v>147.59472000000005</v>
      </c>
      <c r="FG41" s="14">
        <f t="shared" si="47"/>
        <v>38.031463918082679</v>
      </c>
      <c r="FH41" s="22">
        <f t="shared" si="22"/>
        <v>323.29893699066071</v>
      </c>
      <c r="FI41" s="62">
        <f t="shared" si="23"/>
        <v>616.63227032399402</v>
      </c>
      <c r="FJ41" s="62">
        <f ca="1">AVERAGE(OFFSET($FI$3,0,0,'Données projet'!$E$16+1,1))-AVERAGE(OFFSET($H$3,0,0,'Données projet'!$E$16+1,1))</f>
        <v>540.83352418045502</v>
      </c>
      <c r="FK41" s="62">
        <f t="shared" si="48"/>
        <v>294.45557293177131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11.142857142857142</v>
      </c>
      <c r="FZ41" s="13">
        <f>IF('Données projet'!$A$244&gt;35,FZ40+FY41-GH40,IF(A41&lt;'Données projet'!$A$244,$FW$205^A41,IF(A41='Données projet'!$A$244,'Données projet'!$B$244,FZ40+FY41-GH40)))</f>
        <v>163.14285714285711</v>
      </c>
      <c r="GA41" s="18">
        <f>FZ41*VLOOKUP('Données projet'!$B$17,Paramètres!$A$1:$I$89,3,0)*VLOOKUP('Données projet'!$B$17,Paramètres!$A$1:$I$89,5,0)</f>
        <v>127.25142857142855</v>
      </c>
      <c r="GB41" s="14">
        <f t="shared" si="49"/>
        <v>33.360457439554281</v>
      </c>
      <c r="GC41" s="22">
        <f t="shared" si="25"/>
        <v>279.73236813579507</v>
      </c>
      <c r="GD41" s="62">
        <f t="shared" si="26"/>
        <v>573.06570146912838</v>
      </c>
      <c r="GE41" s="62">
        <f ca="1">AVERAGE(OFFSET($GD$3,0,0,'Données projet'!$E$17+1,1))-AVERAGE(OFFSET($H$3,0,0,'Données projet'!$E$17+1,1))</f>
        <v>292.57482726862594</v>
      </c>
      <c r="GF41" s="62">
        <f t="shared" si="50"/>
        <v>283.48738729114024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7.5641025641025639</v>
      </c>
      <c r="GU41" s="13">
        <f>IF('Données projet'!$A$270&gt;35,GU40+GT41-HC40,IF(A41&lt;'Données projet'!$A$270,$GR$205^A41,IF(A41='Données projet'!$A$270,'Données projet'!$B$270,GU40+GT41-HC40)))</f>
        <v>179.10256410256414</v>
      </c>
      <c r="GV41" s="18">
        <f>GU41*VLOOKUP('Données projet'!$B$18,Paramètres!$A$1:$I$89,3,0)*VLOOKUP('Données projet'!$B$18,Paramètres!$A$1:$I$89,5,0)</f>
        <v>120.14200000000004</v>
      </c>
      <c r="GW41" s="14">
        <f t="shared" si="51"/>
        <v>31.708116182305016</v>
      </c>
      <c r="GX41" s="22">
        <f t="shared" si="28"/>
        <v>264.47228568418126</v>
      </c>
      <c r="GY41" s="62">
        <f t="shared" si="29"/>
        <v>557.80561901751457</v>
      </c>
      <c r="GZ41" s="62">
        <f ca="1">AVERAGE(OFFSET($GY$3,0,0,'Données projet'!$E$18+1,1))-AVERAGE(OFFSET($H$3,0,0,'Données projet'!$E$18+1,1))</f>
        <v>343.33067866534634</v>
      </c>
      <c r="HA41" s="62">
        <f t="shared" si="52"/>
        <v>261.91036689641402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508.77990078889337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projet'!$B$10,Paramètres!$A$1:$I$89,3,0)*VLOOKUP('Données projet'!$B$10,Paramètres!$A$1:$I$89,5,0)</f>
        <v>166.09320000000005</v>
      </c>
      <c r="AK42" s="14">
        <f t="shared" si="35"/>
        <v>42.213849908165905</v>
      </c>
      <c r="AL42" s="22">
        <f t="shared" si="4"/>
        <v>362.80144525672239</v>
      </c>
      <c r="AM42" s="62">
        <f t="shared" si="5"/>
        <v>656.1347785900557</v>
      </c>
      <c r="AN42" s="62">
        <f ca="1">AVERAGE(OFFSET($AM$3,0,0,'Données projet'!$E$10+1,1))-AVERAGE(OFFSET($H$3,0,0,'Données projet'!$E$10+1,1))</f>
        <v>564.84596170333884</v>
      </c>
      <c r="AO42" s="62">
        <f t="shared" si="36"/>
        <v>306.61893266146666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251.60000000000002</v>
      </c>
      <c r="BE42" s="14">
        <f>BD42*VLOOKUP('Données projet'!$B$11,Paramètres!$A$1:$I$89,3,0)*VLOOKUP('Données projet'!$B$11,Paramètres!$A$1:$I$89,5,0)</f>
        <v>200.17296000000002</v>
      </c>
      <c r="BF42" s="14">
        <f t="shared" si="37"/>
        <v>49.782177185856028</v>
      </c>
      <c r="BG42" s="22">
        <f t="shared" si="7"/>
        <v>435.33853059869926</v>
      </c>
      <c r="BH42" s="62">
        <f t="shared" si="8"/>
        <v>728.67186393203258</v>
      </c>
      <c r="BI42" s="62">
        <f ca="1">AVERAGE(OFFSET($BH$3,0,0,'Données projet'!$E$11+1,1))-AVERAGE(OFFSET($H$3,0,0,'Données projet'!$E$11+1,1))</f>
        <v>370.79299728190904</v>
      </c>
      <c r="BJ42" s="62">
        <f t="shared" si="38"/>
        <v>404.95703400805775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</v>
      </c>
      <c r="BY42" s="13">
        <f>IF('Données projet'!$A$114&gt;35,BY41+BX42-CG41,IF(A42&lt;'Données projet'!$A$114,$BV$205^A42,IF(A42='Données projet'!$A$114,'Données projet'!$B$114,BY41+BX42-CG41)))</f>
        <v>251.60000000000002</v>
      </c>
      <c r="BZ42" s="14">
        <f>BY42*VLOOKUP('Données projet'!$B$12,Paramètres!$A$1:$I$89,3,0)*VLOOKUP('Données projet'!$B$12,Paramètres!$A$1:$I$89,5,0)</f>
        <v>200.17296000000002</v>
      </c>
      <c r="CA42" s="14">
        <f t="shared" si="39"/>
        <v>49.782177185856028</v>
      </c>
      <c r="CB42" s="22">
        <f t="shared" si="10"/>
        <v>435.33853059869926</v>
      </c>
      <c r="CC42" s="62">
        <f t="shared" si="11"/>
        <v>728.67186393203258</v>
      </c>
      <c r="CD42" s="62">
        <f ca="1">AVERAGE(OFFSET($CC$3,0,0,'Données projet'!$E$12+1,1))-AVERAGE(OFFSET($H$3,0,0,'Données projet'!$E$12+1,1))</f>
        <v>370.79299728190904</v>
      </c>
      <c r="CE42" s="62">
        <f t="shared" si="40"/>
        <v>404.95703400805775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9.6</v>
      </c>
      <c r="CT42" s="13">
        <f>IF('Données projet'!$A$140&gt;35,CT41+CS42-DB41,IF(A42&lt;'Données projet'!$A$140,$CQ$205^A42,IF(A42='Données projet'!$A$140,'Données projet'!$B$140,CT41+CS42-DB41)))</f>
        <v>210.39999999999989</v>
      </c>
      <c r="CU42" s="18">
        <f>CT42*VLOOKUP('Données projet'!$B$13,Paramètres!$A$1:$I$89,3,0)*VLOOKUP('Données projet'!$B$13,Paramètres!$A$1:$I$89,5,0)</f>
        <v>183.80543999999995</v>
      </c>
      <c r="CV42" s="14">
        <f t="shared" si="41"/>
        <v>46.167792832806036</v>
      </c>
      <c r="CW42" s="22">
        <f t="shared" si="13"/>
        <v>400.53671385047045</v>
      </c>
      <c r="CX42" s="62">
        <f t="shared" si="14"/>
        <v>693.87004718380376</v>
      </c>
      <c r="CY42" s="62">
        <f ca="1">AVERAGE(OFFSET($CX$3,0,0,'Données projet'!$E$13+1,1))-AVERAGE(OFFSET($H$3,0,0,'Données projet'!$E$13+1,1))</f>
        <v>339.58437495284466</v>
      </c>
      <c r="CZ42" s="62">
        <f t="shared" si="42"/>
        <v>371.26234252426531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11.4</v>
      </c>
      <c r="DO42" s="13">
        <f>IF('Données projet'!$A$166&gt;35,DO41+DN42-DW41,IF(A42&lt;'Données projet'!$A$166,$DL$205^A42,IF(A42='Données projet'!$A$166,'Données projet'!$B$166,DO41+DN42-DW41)))</f>
        <v>251.60000000000002</v>
      </c>
      <c r="DP42" s="18">
        <f>DO42*VLOOKUP('Données projet'!$B$14,Paramètres!$A$1:$I$89,3,0)*VLOOKUP('Données projet'!$B$14,Paramètres!$A$1:$I$89,5,0)</f>
        <v>184.47312000000002</v>
      </c>
      <c r="DQ42" s="14">
        <f t="shared" si="43"/>
        <v>46.315946745200151</v>
      </c>
      <c r="DR42" s="22">
        <f t="shared" si="16"/>
        <v>401.95762458122357</v>
      </c>
      <c r="DS42" s="62">
        <f t="shared" si="17"/>
        <v>695.29095791455688</v>
      </c>
      <c r="DT42" s="62">
        <f ca="1">AVERAGE(OFFSET($DS$3,0,0,'Données projet'!$E$14+1,1))-AVERAGE(OFFSET($H$3,0,0,'Données projet'!$E$14+1,1))</f>
        <v>344.63665697794022</v>
      </c>
      <c r="DU42" s="62">
        <f t="shared" si="44"/>
        <v>376.72762011188041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6.7948717948717956</v>
      </c>
      <c r="EJ42" s="13">
        <f>IF('Données projet'!$A$192&gt;35,EJ41+EI42-ER41,IF(A42&lt;'Données projet'!$A$192,$EG$205^A42,IF(A42='Données projet'!$A$192,'Données projet'!$B$192,EJ41+EI42-ER41)))</f>
        <v>153.46153846153845</v>
      </c>
      <c r="EK42" s="18">
        <f>EJ42*VLOOKUP('Données projet'!$B$15,Paramètres!$A$1:$I$89,3,0)*VLOOKUP('Données projet'!$B$15,Paramètres!$A$1:$I$89,5,0)</f>
        <v>146.03399999999999</v>
      </c>
      <c r="EL42" s="14">
        <f t="shared" si="45"/>
        <v>37.675897140446111</v>
      </c>
      <c r="EM42" s="22">
        <f t="shared" si="19"/>
        <v>319.96140418627698</v>
      </c>
      <c r="EN42" s="62">
        <f t="shared" si="20"/>
        <v>613.29473751961029</v>
      </c>
      <c r="EO42" s="62">
        <f ca="1">AVERAGE(OFFSET($EN$3,0,0,'Données projet'!$E$15+1,1))-AVERAGE(OFFSET($H$3,0,0,'Données projet'!$E$15+1,1))</f>
        <v>406.24139966722936</v>
      </c>
      <c r="EP42" s="62">
        <f t="shared" si="46"/>
        <v>295.95724296920577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11.2</v>
      </c>
      <c r="FE42" s="13">
        <f>IF('Données projet'!$A$218&gt;35,FE41+FD42-FM41,IF(A42&lt;'Données projet'!$A$218,$FB$205^A42,IF(A42='Données projet'!$A$218,'Données projet'!$B$218,FE41+FD42-FM41)))</f>
        <v>163.80000000000004</v>
      </c>
      <c r="FF42" s="18">
        <f>FE42*VLOOKUP('Données projet'!$B$16,Paramètres!$A$1:$I$89,3,0)*VLOOKUP('Données projet'!$B$16,Paramètres!$A$1:$I$89,5,0)</f>
        <v>158.42736000000005</v>
      </c>
      <c r="FG42" s="14">
        <f t="shared" si="47"/>
        <v>40.487598405868248</v>
      </c>
      <c r="FH42" s="22">
        <f t="shared" si="22"/>
        <v>346.44355255688725</v>
      </c>
      <c r="FI42" s="62">
        <f t="shared" si="23"/>
        <v>639.77688589022057</v>
      </c>
      <c r="FJ42" s="62">
        <f ca="1">AVERAGE(OFFSET($FI$3,0,0,'Données projet'!$E$16+1,1))-AVERAGE(OFFSET($H$3,0,0,'Données projet'!$E$16+1,1))</f>
        <v>540.83352418045502</v>
      </c>
      <c r="FK42" s="62">
        <f t="shared" si="48"/>
        <v>294.45557293177131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11.142857142857142</v>
      </c>
      <c r="FZ42" s="13">
        <f>IF('Données projet'!$A$244&gt;35,FZ41+FY42-GH41,IF(A42&lt;'Données projet'!$A$244,$FW$205^A42,IF(A42='Données projet'!$A$244,'Données projet'!$B$244,FZ41+FY42-GH41)))</f>
        <v>174.28571428571425</v>
      </c>
      <c r="GA42" s="18">
        <f>FZ42*VLOOKUP('Données projet'!$B$17,Paramètres!$A$1:$I$89,3,0)*VLOOKUP('Données projet'!$B$17,Paramètres!$A$1:$I$89,5,0)</f>
        <v>135.94285714285712</v>
      </c>
      <c r="GB42" s="14">
        <f t="shared" si="49"/>
        <v>35.365986273808367</v>
      </c>
      <c r="GC42" s="22">
        <f t="shared" si="25"/>
        <v>298.36290228402572</v>
      </c>
      <c r="GD42" s="62">
        <f t="shared" si="26"/>
        <v>591.69623561735898</v>
      </c>
      <c r="GE42" s="62">
        <f ca="1">AVERAGE(OFFSET($GD$3,0,0,'Données projet'!$E$17+1,1))-AVERAGE(OFFSET($H$3,0,0,'Données projet'!$E$17+1,1))</f>
        <v>292.57482726862594</v>
      </c>
      <c r="GF42" s="62">
        <f t="shared" si="50"/>
        <v>283.48738729114024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7.5641025641025639</v>
      </c>
      <c r="GU42" s="13">
        <f>IF('Données projet'!$A$270&gt;35,GU41+GT42-HC41,IF(A42&lt;'Données projet'!$A$270,$GR$205^A42,IF(A42='Données projet'!$A$270,'Données projet'!$B$270,GU41+GT42-HC41)))</f>
        <v>186.66666666666671</v>
      </c>
      <c r="GV42" s="18">
        <f>GU42*VLOOKUP('Données projet'!$B$18,Paramètres!$A$1:$I$89,3,0)*VLOOKUP('Données projet'!$B$18,Paramètres!$A$1:$I$89,5,0)</f>
        <v>125.21600000000002</v>
      </c>
      <c r="GW42" s="14">
        <f t="shared" si="51"/>
        <v>32.888516733565645</v>
      </c>
      <c r="GX42" s="22">
        <f t="shared" si="28"/>
        <v>275.36536664429354</v>
      </c>
      <c r="GY42" s="62">
        <f t="shared" si="29"/>
        <v>568.6986999776268</v>
      </c>
      <c r="GZ42" s="62">
        <f ca="1">AVERAGE(OFFSET($GY$3,0,0,'Données projet'!$E$18+1,1))-AVERAGE(OFFSET($H$3,0,0,'Données projet'!$E$18+1,1))</f>
        <v>343.33067866534634</v>
      </c>
      <c r="HA42" s="62">
        <f t="shared" si="52"/>
        <v>261.91036689641402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639.59037499870374</v>
      </c>
      <c r="S43" s="62">
        <f ca="1">AVERAGE(OFFSET($R$3,0,0,'Données projet'!$E$9+1,1))-AVERAGE(OFFSET($H$3,0,0,'Données projet'!$E$9+1,1))</f>
        <v>508.77990078889337</v>
      </c>
      <c r="T43" s="62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projet'!$B$10,Paramètres!$A$1:$I$89,3,0)*VLOOKUP('Données projet'!$B$10,Paramètres!$A$1:$I$89,5,0)</f>
        <v>177.45000000000005</v>
      </c>
      <c r="AK43" s="14">
        <f t="shared" si="35"/>
        <v>44.754387900936791</v>
      </c>
      <c r="AL43" s="22">
        <f t="shared" si="4"/>
        <v>387.00597559413171</v>
      </c>
      <c r="AM43" s="62">
        <f t="shared" si="5"/>
        <v>680.33930892746503</v>
      </c>
      <c r="AN43" s="62">
        <f ca="1">AVERAGE(OFFSET($AM$3,0,0,'Données projet'!$E$10+1,1))-AVERAGE(OFFSET($H$3,0,0,'Données projet'!$E$10+1,1))</f>
        <v>564.84596170333884</v>
      </c>
      <c r="AO43" s="62">
        <f t="shared" si="36"/>
        <v>306.61893266146666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263</v>
      </c>
      <c r="BE43" s="14">
        <f>BD43*VLOOKUP('Données projet'!$B$11,Paramètres!$A$1:$I$89,3,0)*VLOOKUP('Données projet'!$B$11,Paramètres!$A$1:$I$89,5,0)</f>
        <v>209.24279999999999</v>
      </c>
      <c r="BF43" s="14">
        <f t="shared" si="37"/>
        <v>51.770083677016814</v>
      </c>
      <c r="BG43" s="22">
        <f t="shared" si="7"/>
        <v>454.59743907080428</v>
      </c>
      <c r="BH43" s="62">
        <f t="shared" si="8"/>
        <v>747.93077240413754</v>
      </c>
      <c r="BI43" s="62">
        <f ca="1">AVERAGE(OFFSET($BH$3,0,0,'Données projet'!$E$11+1,1))-AVERAGE(OFFSET($H$3,0,0,'Données projet'!$E$11+1,1))</f>
        <v>370.79299728190904</v>
      </c>
      <c r="BJ43" s="62">
        <f t="shared" si="38"/>
        <v>404.95703400805775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70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263</v>
      </c>
      <c r="BW43" s="13">
        <f>VLOOKUP(A43,'Données projet'!$A$113:$I$133,9,0)</f>
        <v>11.4</v>
      </c>
      <c r="BX43" s="13">
        <f t="array" ref="BX43">INDEX(BW:BW,MIN(IF(ISNUMBER(BW43:BW239),ROW(BW43:BW239),"")))</f>
        <v>11.4</v>
      </c>
      <c r="BY43" s="13">
        <f>IF('Données projet'!$A$114&gt;35,BY42+BX43-CG42,IF(A43&lt;'Données projet'!$A$114,$BV$205^A43,IF(A43='Données projet'!$A$114,'Données projet'!$B$114,BY42+BX43-CG42)))</f>
        <v>263</v>
      </c>
      <c r="BZ43" s="14">
        <f>BY43*VLOOKUP('Données projet'!$B$12,Paramètres!$A$1:$I$89,3,0)*VLOOKUP('Données projet'!$B$12,Paramètres!$A$1:$I$89,5,0)</f>
        <v>209.24279999999999</v>
      </c>
      <c r="CA43" s="14">
        <f t="shared" si="39"/>
        <v>51.770083677016814</v>
      </c>
      <c r="CB43" s="22">
        <f t="shared" si="10"/>
        <v>454.59743907080428</v>
      </c>
      <c r="CC43" s="62">
        <f t="shared" si="11"/>
        <v>747.93077240413754</v>
      </c>
      <c r="CD43" s="62">
        <f ca="1">AVERAGE(OFFSET($CC$3,0,0,'Données projet'!$E$12+1,1))-AVERAGE(OFFSET($H$3,0,0,'Données projet'!$E$12+1,1))</f>
        <v>370.79299728190904</v>
      </c>
      <c r="CE43" s="62">
        <f t="shared" si="40"/>
        <v>404.95703400805775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70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220</v>
      </c>
      <c r="CR43" s="13">
        <f>VLOOKUP(A43,'Données projet'!$A$139:$I$159,9,0)</f>
        <v>9.6</v>
      </c>
      <c r="CS43" s="13">
        <f t="array" ref="CS43">INDEX(CR:CR,MIN(IF(ISNUMBER(CR43:CR239),ROW(CR43:CR239),"")))</f>
        <v>9.6</v>
      </c>
      <c r="CT43" s="13">
        <f>IF('Données projet'!$A$140&gt;35,CT42+CS43-DB42,IF(A43&lt;'Données projet'!$A$140,$CQ$205^A43,IF(A43='Données projet'!$A$140,'Données projet'!$B$140,CT42+CS43-DB42)))</f>
        <v>219.99999999999989</v>
      </c>
      <c r="CU43" s="18">
        <f>CT43*VLOOKUP('Données projet'!$B$13,Paramètres!$A$1:$I$89,3,0)*VLOOKUP('Données projet'!$B$13,Paramètres!$A$1:$I$89,5,0)</f>
        <v>192.19199999999992</v>
      </c>
      <c r="CV43" s="14">
        <f t="shared" si="41"/>
        <v>48.02424892193244</v>
      </c>
      <c r="CW43" s="22">
        <f t="shared" si="13"/>
        <v>418.37663353903218</v>
      </c>
      <c r="CX43" s="62">
        <f t="shared" si="14"/>
        <v>711.7099668723655</v>
      </c>
      <c r="CY43" s="62">
        <f ca="1">AVERAGE(OFFSET($CX$3,0,0,'Données projet'!$E$13+1,1))-AVERAGE(OFFSET($H$3,0,0,'Données projet'!$E$13+1,1))</f>
        <v>339.58437495284466</v>
      </c>
      <c r="CZ43" s="62">
        <f t="shared" si="42"/>
        <v>371.26234252426531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56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263</v>
      </c>
      <c r="DM43" s="13">
        <f>VLOOKUP(A43,'Données projet'!$A$165:$I$185,9,0)</f>
        <v>11.4</v>
      </c>
      <c r="DN43" s="13">
        <f t="array" ref="DN43">INDEX(DM:DM,MIN(IF(ISNUMBER(DM43:DM239),ROW(DM43:DM239),"")))</f>
        <v>11.4</v>
      </c>
      <c r="DO43" s="13">
        <f>IF('Données projet'!$A$166&gt;35,DO42+DN43-DW42,IF(A43&lt;'Données projet'!$A$166,$DL$205^A43,IF(A43='Données projet'!$A$166,'Données projet'!$B$166,DO42+DN43-DW42)))</f>
        <v>263</v>
      </c>
      <c r="DP43" s="18">
        <f>DO43*VLOOKUP('Données projet'!$B$14,Paramètres!$A$1:$I$89,3,0)*VLOOKUP('Données projet'!$B$14,Paramètres!$A$1:$I$89,5,0)</f>
        <v>192.83160000000001</v>
      </c>
      <c r="DQ43" s="14">
        <f t="shared" si="43"/>
        <v>48.165439402688818</v>
      </c>
      <c r="DR43" s="22">
        <f t="shared" si="16"/>
        <v>419.73651029301635</v>
      </c>
      <c r="DS43" s="62">
        <f t="shared" si="17"/>
        <v>713.06984362634967</v>
      </c>
      <c r="DT43" s="62">
        <f ca="1">AVERAGE(OFFSET($DS$3,0,0,'Données projet'!$E$14+1,1))-AVERAGE(OFFSET($H$3,0,0,'Données projet'!$E$14+1,1))</f>
        <v>344.63665697794022</v>
      </c>
      <c r="DU43" s="62">
        <f t="shared" si="44"/>
        <v>376.72762011188041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70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160.25641025641025</v>
      </c>
      <c r="EH43" s="13">
        <f>VLOOKUP(A43,'Données projet'!$A$191:$I$211,9,0)</f>
        <v>6.7948717948717956</v>
      </c>
      <c r="EI43" s="13">
        <f t="array" ref="EI43">INDEX(EH:EH,MIN(IF(ISNUMBER(EH43:EH239),ROW(EH43:EH239),"")))</f>
        <v>6.7948717948717956</v>
      </c>
      <c r="EJ43" s="13">
        <f>IF('Données projet'!$A$192&gt;35,EJ42+EI43-ER42,IF(A43&lt;'Données projet'!$A$192,$EG$205^A43,IF(A43='Données projet'!$A$192,'Données projet'!$B$192,EJ42+EI43-ER42)))</f>
        <v>160.25641025641025</v>
      </c>
      <c r="EK43" s="18">
        <f>EJ43*VLOOKUP('Données projet'!$B$15,Paramètres!$A$1:$I$89,3,0)*VLOOKUP('Données projet'!$B$15,Paramètres!$A$1:$I$89,5,0)</f>
        <v>152.5</v>
      </c>
      <c r="EL43" s="14">
        <f t="shared" si="45"/>
        <v>39.146171889962673</v>
      </c>
      <c r="EM43" s="22">
        <f t="shared" si="19"/>
        <v>333.78374937501832</v>
      </c>
      <c r="EN43" s="62">
        <f t="shared" si="20"/>
        <v>627.11708270835163</v>
      </c>
      <c r="EO43" s="62">
        <f ca="1">AVERAGE(OFFSET($EN$3,0,0,'Données projet'!$E$15+1,1))-AVERAGE(OFFSET($H$3,0,0,'Données projet'!$E$15+1,1))</f>
        <v>406.24139966722936</v>
      </c>
      <c r="EP43" s="62">
        <f t="shared" si="46"/>
        <v>295.95724296920577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175</v>
      </c>
      <c r="FC43" s="13">
        <f>VLOOKUP(A43,'Données projet'!$A$217:$I$237,9,0)</f>
        <v>11.2</v>
      </c>
      <c r="FD43" s="13">
        <f t="array" ref="FD43">INDEX(FC:FC,MIN(IF(ISNUMBER(FC43:FC239),ROW(FC43:FC239),"")))</f>
        <v>11.2</v>
      </c>
      <c r="FE43" s="13">
        <f>IF('Données projet'!$A$218&gt;35,FE42+FD43-FM42,IF(A43&lt;'Données projet'!$A$218,$FB$205^A43,IF(A43='Données projet'!$A$218,'Données projet'!$B$218,FE42+FD43-FM42)))</f>
        <v>175.00000000000003</v>
      </c>
      <c r="FF43" s="18">
        <f>FE43*VLOOKUP('Données projet'!$B$16,Paramètres!$A$1:$I$89,3,0)*VLOOKUP('Données projet'!$B$16,Paramètres!$A$1:$I$89,5,0)</f>
        <v>169.26000000000002</v>
      </c>
      <c r="FG43" s="14">
        <f t="shared" si="47"/>
        <v>42.924246146122272</v>
      </c>
      <c r="FH43" s="22">
        <f t="shared" si="22"/>
        <v>369.55422870449632</v>
      </c>
      <c r="FI43" s="62">
        <f t="shared" si="23"/>
        <v>662.88756203782964</v>
      </c>
      <c r="FJ43" s="62">
        <f ca="1">AVERAGE(OFFSET($FI$3,0,0,'Données projet'!$E$16+1,1))-AVERAGE(OFFSET($H$3,0,0,'Données projet'!$E$16+1,1))</f>
        <v>540.83352418045502</v>
      </c>
      <c r="FK43" s="62">
        <f t="shared" si="48"/>
        <v>294.45557293177131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11.142857142857142</v>
      </c>
      <c r="FZ43" s="13">
        <f>IF('Données projet'!$A$244&gt;35,FZ42+FY43-GH42,IF(A43&lt;'Données projet'!$A$244,$FW$205^A43,IF(A43='Données projet'!$A$244,'Données projet'!$B$244,FZ42+FY43-GH42)))</f>
        <v>185.42857142857139</v>
      </c>
      <c r="GA43" s="18">
        <f>FZ43*VLOOKUP('Données projet'!$B$17,Paramètres!$A$1:$I$89,3,0)*VLOOKUP('Données projet'!$B$17,Paramètres!$A$1:$I$89,5,0)</f>
        <v>144.63428571428568</v>
      </c>
      <c r="GB43" s="14">
        <f t="shared" si="49"/>
        <v>37.356634728420524</v>
      </c>
      <c r="GC43" s="22">
        <f t="shared" si="25"/>
        <v>316.96751977104663</v>
      </c>
      <c r="GD43" s="62">
        <f t="shared" si="26"/>
        <v>610.30085310437994</v>
      </c>
      <c r="GE43" s="62">
        <f ca="1">AVERAGE(OFFSET($GD$3,0,0,'Données projet'!$E$17+1,1))-AVERAGE(OFFSET($H$3,0,0,'Données projet'!$E$17+1,1))</f>
        <v>292.57482726862594</v>
      </c>
      <c r="GF43" s="62">
        <f t="shared" si="50"/>
        <v>283.48738729114024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194.23076923076923</v>
      </c>
      <c r="GS43" s="13">
        <f>VLOOKUP(A43,'Données projet'!$A$269:$I$289,9,0)</f>
        <v>7.5641025641025639</v>
      </c>
      <c r="GT43" s="13">
        <f t="array" ref="GT43">INDEX(GS:GS,MIN(IF(ISNUMBER(GS43:GS239),ROW(GS43:GS239),"")))</f>
        <v>7.5641025641025639</v>
      </c>
      <c r="GU43" s="13">
        <f>IF('Données projet'!$A$270&gt;35,GU42+GT43-HC42,IF(A43&lt;'Données projet'!$A$270,$GR$205^A43,IF(A43='Données projet'!$A$270,'Données projet'!$B$270,GU42+GT43-HC42)))</f>
        <v>194.23076923076928</v>
      </c>
      <c r="GV43" s="18">
        <f>GU43*VLOOKUP('Données projet'!$B$18,Paramètres!$A$1:$I$89,3,0)*VLOOKUP('Données projet'!$B$18,Paramètres!$A$1:$I$89,5,0)</f>
        <v>130.29000000000002</v>
      </c>
      <c r="GW43" s="14">
        <f t="shared" si="51"/>
        <v>34.063361124931106</v>
      </c>
      <c r="GX43" s="22">
        <f t="shared" si="28"/>
        <v>286.24877062592168</v>
      </c>
      <c r="GY43" s="62">
        <f t="shared" si="29"/>
        <v>579.58210395925494</v>
      </c>
      <c r="GZ43" s="62">
        <f ca="1">AVERAGE(OFFSET($GY$3,0,0,'Données projet'!$E$18+1,1))-AVERAGE(OFFSET($H$3,0,0,'Données projet'!$E$18+1,1))</f>
        <v>343.33067866534634</v>
      </c>
      <c r="HA43" s="62">
        <f t="shared" si="52"/>
        <v>261.91036689641402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661.59709205070442</v>
      </c>
      <c r="S44" s="62">
        <f ca="1">AVERAGE(OFFSET($R$3,0,0,'Données projet'!$E$9+1,1))-AVERAGE(OFFSET($H$3,0,0,'Données projet'!$E$9+1,1))</f>
        <v>508.77990078889337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projet'!$B$10,Paramètres!$A$1:$I$89,3,0)*VLOOKUP('Données projet'!$B$10,Paramètres!$A$1:$I$89,5,0)</f>
        <v>189.00960000000003</v>
      </c>
      <c r="AK44" s="14">
        <f t="shared" si="35"/>
        <v>47.320922915876508</v>
      </c>
      <c r="AL44" s="22">
        <f t="shared" si="4"/>
        <v>411.60899407848501</v>
      </c>
      <c r="AM44" s="62">
        <f t="shared" si="5"/>
        <v>704.94232741181827</v>
      </c>
      <c r="AN44" s="62">
        <f ca="1">AVERAGE(OFFSET($AM$3,0,0,'Données projet'!$E$10+1,1))-AVERAGE(OFFSET($H$3,0,0,'Données projet'!$E$10+1,1))</f>
        <v>564.84596170333884</v>
      </c>
      <c r="AO44" s="62">
        <f t="shared" si="36"/>
        <v>306.61893266146666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202.8</v>
      </c>
      <c r="BE44" s="14">
        <f>BD44*VLOOKUP('Données projet'!$B$11,Paramètres!$A$1:$I$89,3,0)*VLOOKUP('Données projet'!$B$11,Paramètres!$A$1:$I$89,5,0)</f>
        <v>161.34768000000003</v>
      </c>
      <c r="BF44" s="14">
        <f t="shared" si="37"/>
        <v>41.146339844316657</v>
      </c>
      <c r="BG44" s="22">
        <f t="shared" si="7"/>
        <v>352.6770845621848</v>
      </c>
      <c r="BH44" s="62">
        <f t="shared" si="8"/>
        <v>646.01041789551812</v>
      </c>
      <c r="BI44" s="62">
        <f ca="1">AVERAGE(OFFSET($BH$3,0,0,'Données projet'!$E$11+1,1))-AVERAGE(OFFSET($H$3,0,0,'Données projet'!$E$11+1,1))</f>
        <v>370.79299728190904</v>
      </c>
      <c r="BJ44" s="62">
        <f t="shared" si="38"/>
        <v>404.95703400805775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202.8</v>
      </c>
      <c r="BZ44" s="14">
        <f>BY44*VLOOKUP('Données projet'!$B$12,Paramètres!$A$1:$I$89,3,0)*VLOOKUP('Données projet'!$B$12,Paramètres!$A$1:$I$89,5,0)</f>
        <v>161.34768000000003</v>
      </c>
      <c r="CA44" s="14">
        <f t="shared" si="39"/>
        <v>41.146339844316657</v>
      </c>
      <c r="CB44" s="22">
        <f t="shared" si="10"/>
        <v>352.6770845621848</v>
      </c>
      <c r="CC44" s="62">
        <f t="shared" si="11"/>
        <v>646.01041789551812</v>
      </c>
      <c r="CD44" s="62">
        <f ca="1">AVERAGE(OFFSET($CC$3,0,0,'Données projet'!$E$12+1,1))-AVERAGE(OFFSET($H$3,0,0,'Données projet'!$E$12+1,1))</f>
        <v>370.79299728190904</v>
      </c>
      <c r="CE44" s="62">
        <f t="shared" si="40"/>
        <v>404.95703400805775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8.1999999999999993</v>
      </c>
      <c r="CT44" s="13">
        <f>IF('Données projet'!$A$140&gt;35,CT43+CS44-DB43,IF(A44&lt;'Données projet'!$A$140,$CQ$205^A44,IF(A44='Données projet'!$A$140,'Données projet'!$B$140,CT43+CS44-DB43)))</f>
        <v>172.19999999999987</v>
      </c>
      <c r="CU44" s="18">
        <f>CT44*VLOOKUP('Données projet'!$B$13,Paramètres!$A$1:$I$89,3,0)*VLOOKUP('Données projet'!$B$13,Paramètres!$A$1:$I$89,5,0)</f>
        <v>150.43391999999992</v>
      </c>
      <c r="CV44" s="14">
        <f t="shared" si="41"/>
        <v>38.677178913707891</v>
      </c>
      <c r="CW44" s="22">
        <f t="shared" si="13"/>
        <v>329.36849727470769</v>
      </c>
      <c r="CX44" s="62">
        <f t="shared" si="14"/>
        <v>622.70183060804106</v>
      </c>
      <c r="CY44" s="62">
        <f ca="1">AVERAGE(OFFSET($CX$3,0,0,'Données projet'!$E$13+1,1))-AVERAGE(OFFSET($H$3,0,0,'Données projet'!$E$13+1,1))</f>
        <v>339.58437495284466</v>
      </c>
      <c r="CZ44" s="62">
        <f t="shared" si="42"/>
        <v>371.26234252426531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9.8000000000000007</v>
      </c>
      <c r="DO44" s="13">
        <f>IF('Données projet'!$A$166&gt;35,DO43+DN44-DW43,IF(A44&lt;'Données projet'!$A$166,$DL$205^A44,IF(A44='Données projet'!$A$166,'Données projet'!$B$166,DO43+DN44-DW43)))</f>
        <v>202.8</v>
      </c>
      <c r="DP44" s="18">
        <f>DO44*VLOOKUP('Données projet'!$B$14,Paramètres!$A$1:$I$89,3,0)*VLOOKUP('Données projet'!$B$14,Paramètres!$A$1:$I$89,5,0)</f>
        <v>148.69296</v>
      </c>
      <c r="DQ44" s="14">
        <f t="shared" si="43"/>
        <v>38.281404966971365</v>
      </c>
      <c r="DR44" s="22">
        <f t="shared" si="16"/>
        <v>325.64701898414177</v>
      </c>
      <c r="DS44" s="62">
        <f t="shared" si="17"/>
        <v>618.98035231747508</v>
      </c>
      <c r="DT44" s="62">
        <f ca="1">AVERAGE(OFFSET($DS$3,0,0,'Données projet'!$E$14+1,1))-AVERAGE(OFFSET($H$3,0,0,'Données projet'!$E$14+1,1))</f>
        <v>344.63665697794022</v>
      </c>
      <c r="DU44" s="62">
        <f t="shared" si="44"/>
        <v>376.72762011188041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6.2820512820512819</v>
      </c>
      <c r="EJ44" s="13">
        <f>IF('Données projet'!$A$192&gt;35,EJ43+EI44-ER43,IF(A44&lt;'Données projet'!$A$192,$EG$205^A44,IF(A44='Données projet'!$A$192,'Données projet'!$B$192,EJ43+EI44-ER43)))</f>
        <v>166.53846153846152</v>
      </c>
      <c r="EK44" s="18">
        <f>EJ44*VLOOKUP('Données projet'!$B$15,Paramètres!$A$1:$I$89,3,0)*VLOOKUP('Données projet'!$B$15,Paramètres!$A$1:$I$89,5,0)</f>
        <v>158.47799999999998</v>
      </c>
      <c r="EL44" s="14">
        <f t="shared" si="45"/>
        <v>40.499033326567876</v>
      </c>
      <c r="EM44" s="22">
        <f t="shared" si="19"/>
        <v>346.55166637710568</v>
      </c>
      <c r="EN44" s="62">
        <f t="shared" si="20"/>
        <v>639.88499971043893</v>
      </c>
      <c r="EO44" s="62">
        <f ca="1">AVERAGE(OFFSET($EN$3,0,0,'Données projet'!$E$15+1,1))-AVERAGE(OFFSET($H$3,0,0,'Données projet'!$E$15+1,1))</f>
        <v>406.24139966722936</v>
      </c>
      <c r="EP44" s="62">
        <f t="shared" si="46"/>
        <v>295.95724296920577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11.4</v>
      </c>
      <c r="FE44" s="13">
        <f>IF('Données projet'!$A$218&gt;35,FE43+FD44-FM43,IF(A44&lt;'Données projet'!$A$218,$FB$205^A44,IF(A44='Données projet'!$A$218,'Données projet'!$B$218,FE43+FD44-FM43)))</f>
        <v>186.40000000000003</v>
      </c>
      <c r="FF44" s="18">
        <f>FE44*VLOOKUP('Données projet'!$B$16,Paramètres!$A$1:$I$89,3,0)*VLOOKUP('Données projet'!$B$16,Paramètres!$A$1:$I$89,5,0)</f>
        <v>180.28608000000006</v>
      </c>
      <c r="FG44" s="14">
        <f t="shared" si="47"/>
        <v>45.38582781198636</v>
      </c>
      <c r="FH44" s="22">
        <f t="shared" si="22"/>
        <v>393.04523943920964</v>
      </c>
      <c r="FI44" s="62">
        <f t="shared" si="23"/>
        <v>686.37857277254295</v>
      </c>
      <c r="FJ44" s="62">
        <f ca="1">AVERAGE(OFFSET($FI$3,0,0,'Données projet'!$E$16+1,1))-AVERAGE(OFFSET($H$3,0,0,'Données projet'!$E$16+1,1))</f>
        <v>540.83352418045502</v>
      </c>
      <c r="FK44" s="62">
        <f t="shared" si="48"/>
        <v>294.45557293177131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11.142857142857142</v>
      </c>
      <c r="FZ44" s="13">
        <f>IF('Données projet'!$A$244&gt;35,FZ43+FY44-GH43,IF(A44&lt;'Données projet'!$A$244,$FW$205^A44,IF(A44='Données projet'!$A$244,'Données projet'!$B$244,FZ43+FY44-GH43)))</f>
        <v>196.57142857142853</v>
      </c>
      <c r="GA44" s="18">
        <f>FZ44*VLOOKUP('Données projet'!$B$17,Paramètres!$A$1:$I$89,3,0)*VLOOKUP('Données projet'!$B$17,Paramètres!$A$1:$I$89,5,0)</f>
        <v>153.32571428571427</v>
      </c>
      <c r="GB44" s="14">
        <f t="shared" si="49"/>
        <v>39.33339883761419</v>
      </c>
      <c r="GC44" s="22">
        <f t="shared" si="25"/>
        <v>335.54795535646372</v>
      </c>
      <c r="GD44" s="62">
        <f t="shared" si="26"/>
        <v>628.88128868979697</v>
      </c>
      <c r="GE44" s="62">
        <f ca="1">AVERAGE(OFFSET($GD$3,0,0,'Données projet'!$E$17+1,1))-AVERAGE(OFFSET($H$3,0,0,'Données projet'!$E$17+1,1))</f>
        <v>292.57482726862594</v>
      </c>
      <c r="GF44" s="62">
        <f t="shared" si="50"/>
        <v>283.48738729114024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7.1794871794871771</v>
      </c>
      <c r="GU44" s="13">
        <f>IF('Données projet'!$A$270&gt;35,GU43+GT44-HC43,IF(A44&lt;'Données projet'!$A$270,$GR$205^A44,IF(A44='Données projet'!$A$270,'Données projet'!$B$270,GU43+GT44-HC43)))</f>
        <v>201.41025641025647</v>
      </c>
      <c r="GV44" s="18">
        <f>GU44*VLOOKUP('Données projet'!$B$18,Paramètres!$A$1:$I$89,3,0)*VLOOKUP('Données projet'!$B$18,Paramètres!$A$1:$I$89,5,0)</f>
        <v>135.10600000000005</v>
      </c>
      <c r="GW44" s="14">
        <f t="shared" si="51"/>
        <v>35.173547605806888</v>
      </c>
      <c r="GX44" s="22">
        <f t="shared" si="28"/>
        <v>296.57021208011378</v>
      </c>
      <c r="GY44" s="62">
        <f t="shared" si="29"/>
        <v>589.90354541344709</v>
      </c>
      <c r="GZ44" s="62">
        <f ca="1">AVERAGE(OFFSET($GY$3,0,0,'Données projet'!$E$18+1,1))-AVERAGE(OFFSET($H$3,0,0,'Données projet'!$E$18+1,1))</f>
        <v>343.33067866534634</v>
      </c>
      <c r="HA44" s="62">
        <f t="shared" si="52"/>
        <v>261.91036689641402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683.57511849201842</v>
      </c>
      <c r="S45" s="62">
        <f ca="1">AVERAGE(OFFSET($R$3,0,0,'Données projet'!$E$9+1,1))-AVERAGE(OFFSET($H$3,0,0,'Données projet'!$E$9+1,1))</f>
        <v>508.77990078889337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projet'!$B$10,Paramètres!$A$1:$I$89,3,0)*VLOOKUP('Données projet'!$B$10,Paramètres!$A$1:$I$89,5,0)</f>
        <v>200.56920000000005</v>
      </c>
      <c r="AK45" s="14">
        <f t="shared" si="35"/>
        <v>49.869239959281323</v>
      </c>
      <c r="AL45" s="22">
        <f t="shared" si="4"/>
        <v>436.18028292908167</v>
      </c>
      <c r="AM45" s="62">
        <f t="shared" si="5"/>
        <v>729.51361626241498</v>
      </c>
      <c r="AN45" s="62">
        <f ca="1">AVERAGE(OFFSET($AM$3,0,0,'Données projet'!$E$10+1,1))-AVERAGE(OFFSET($H$3,0,0,'Données projet'!$E$10+1,1))</f>
        <v>564.84596170333884</v>
      </c>
      <c r="AO45" s="62">
        <f t="shared" si="36"/>
        <v>306.61893266146666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212.60000000000002</v>
      </c>
      <c r="BE45" s="14">
        <f>BD45*VLOOKUP('Données projet'!$B$11,Paramètres!$A$1:$I$89,3,0)*VLOOKUP('Données projet'!$B$11,Paramètres!$A$1:$I$89,5,0)</f>
        <v>169.14456000000004</v>
      </c>
      <c r="BF45" s="14">
        <f t="shared" si="37"/>
        <v>42.898377267189964</v>
      </c>
      <c r="BG45" s="22">
        <f t="shared" si="7"/>
        <v>369.30811574035596</v>
      </c>
      <c r="BH45" s="62">
        <f t="shared" si="8"/>
        <v>662.64144907368927</v>
      </c>
      <c r="BI45" s="62">
        <f ca="1">AVERAGE(OFFSET($BH$3,0,0,'Données projet'!$E$11+1,1))-AVERAGE(OFFSET($H$3,0,0,'Données projet'!$E$11+1,1))</f>
        <v>370.79299728190904</v>
      </c>
      <c r="BJ45" s="62">
        <f t="shared" si="38"/>
        <v>404.95703400805775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212.60000000000002</v>
      </c>
      <c r="BZ45" s="14">
        <f>BY45*VLOOKUP('Données projet'!$B$12,Paramètres!$A$1:$I$89,3,0)*VLOOKUP('Données projet'!$B$12,Paramètres!$A$1:$I$89,5,0)</f>
        <v>169.14456000000004</v>
      </c>
      <c r="CA45" s="14">
        <f t="shared" si="39"/>
        <v>42.898377267189964</v>
      </c>
      <c r="CB45" s="22">
        <f t="shared" si="10"/>
        <v>369.30811574035596</v>
      </c>
      <c r="CC45" s="62">
        <f t="shared" si="11"/>
        <v>662.64144907368927</v>
      </c>
      <c r="CD45" s="62">
        <f ca="1">AVERAGE(OFFSET($CC$3,0,0,'Données projet'!$E$12+1,1))-AVERAGE(OFFSET($H$3,0,0,'Données projet'!$E$12+1,1))</f>
        <v>370.79299728190904</v>
      </c>
      <c r="CE45" s="62">
        <f t="shared" si="40"/>
        <v>404.95703400805775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8.1999999999999993</v>
      </c>
      <c r="CT45" s="13">
        <f>IF('Données projet'!$A$140&gt;35,CT44+CS45-DB44,IF(A45&lt;'Données projet'!$A$140,$CQ$205^A45,IF(A45='Données projet'!$A$140,'Données projet'!$B$140,CT44+CS45-DB44)))</f>
        <v>180.39999999999986</v>
      </c>
      <c r="CU45" s="18">
        <f>CT45*VLOOKUP('Données projet'!$B$13,Paramètres!$A$1:$I$89,3,0)*VLOOKUP('Données projet'!$B$13,Paramètres!$A$1:$I$89,5,0)</f>
        <v>157.59743999999989</v>
      </c>
      <c r="CV45" s="14">
        <f t="shared" si="41"/>
        <v>40.300135037830493</v>
      </c>
      <c r="CW45" s="22">
        <f t="shared" si="13"/>
        <v>344.67160985755459</v>
      </c>
      <c r="CX45" s="62">
        <f t="shared" si="14"/>
        <v>638.00494319088784</v>
      </c>
      <c r="CY45" s="62">
        <f ca="1">AVERAGE(OFFSET($CX$3,0,0,'Données projet'!$E$13+1,1))-AVERAGE(OFFSET($H$3,0,0,'Données projet'!$E$13+1,1))</f>
        <v>339.58437495284466</v>
      </c>
      <c r="CZ45" s="62">
        <f t="shared" si="42"/>
        <v>371.26234252426531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9.8000000000000007</v>
      </c>
      <c r="DO45" s="13">
        <f>IF('Données projet'!$A$166&gt;35,DO44+DN45-DW44,IF(A45&lt;'Données projet'!$A$166,$DL$205^A45,IF(A45='Données projet'!$A$166,'Données projet'!$B$166,DO44+DN45-DW44)))</f>
        <v>212.60000000000002</v>
      </c>
      <c r="DP45" s="18">
        <f>DO45*VLOOKUP('Données projet'!$B$14,Paramètres!$A$1:$I$89,3,0)*VLOOKUP('Données projet'!$B$14,Paramètres!$A$1:$I$89,5,0)</f>
        <v>155.87832000000003</v>
      </c>
      <c r="DQ45" s="14">
        <f t="shared" si="43"/>
        <v>39.911451633481022</v>
      </c>
      <c r="DR45" s="22">
        <f t="shared" si="16"/>
        <v>341.00051892831283</v>
      </c>
      <c r="DS45" s="62">
        <f t="shared" si="17"/>
        <v>634.33385226164614</v>
      </c>
      <c r="DT45" s="62">
        <f ca="1">AVERAGE(OFFSET($DS$3,0,0,'Données projet'!$E$14+1,1))-AVERAGE(OFFSET($H$3,0,0,'Données projet'!$E$14+1,1))</f>
        <v>344.63665697794022</v>
      </c>
      <c r="DU45" s="62">
        <f t="shared" si="44"/>
        <v>376.72762011188041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6.2820512820512819</v>
      </c>
      <c r="EJ45" s="13">
        <f>IF('Données projet'!$A$192&gt;35,EJ44+EI45-ER44,IF(A45&lt;'Données projet'!$A$192,$EG$205^A45,IF(A45='Données projet'!$A$192,'Données projet'!$B$192,EJ44+EI45-ER44)))</f>
        <v>172.82051282051279</v>
      </c>
      <c r="EK45" s="18">
        <f>EJ45*VLOOKUP('Données projet'!$B$15,Paramètres!$A$1:$I$89,3,0)*VLOOKUP('Données projet'!$B$15,Paramètres!$A$1:$I$89,5,0)</f>
        <v>164.45599999999996</v>
      </c>
      <c r="EL45" s="14">
        <f t="shared" si="45"/>
        <v>41.84596620708853</v>
      </c>
      <c r="EM45" s="22">
        <f t="shared" si="19"/>
        <v>359.30925781067913</v>
      </c>
      <c r="EN45" s="62">
        <f t="shared" si="20"/>
        <v>652.64259114401239</v>
      </c>
      <c r="EO45" s="62">
        <f ca="1">AVERAGE(OFFSET($EN$3,0,0,'Données projet'!$E$15+1,1))-AVERAGE(OFFSET($H$3,0,0,'Données projet'!$E$15+1,1))</f>
        <v>406.24139966722936</v>
      </c>
      <c r="EP45" s="62">
        <f t="shared" si="46"/>
        <v>295.95724296920577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11.4</v>
      </c>
      <c r="FE45" s="13">
        <f>IF('Données projet'!$A$218&gt;35,FE44+FD45-FM44,IF(A45&lt;'Données projet'!$A$218,$FB$205^A45,IF(A45='Données projet'!$A$218,'Données projet'!$B$218,FE44+FD45-FM44)))</f>
        <v>197.80000000000004</v>
      </c>
      <c r="FF45" s="18">
        <f>FE45*VLOOKUP('Données projet'!$B$16,Paramètres!$A$1:$I$89,3,0)*VLOOKUP('Données projet'!$B$16,Paramètres!$A$1:$I$89,5,0)</f>
        <v>191.31216000000003</v>
      </c>
      <c r="FG45" s="14">
        <f t="shared" si="47"/>
        <v>47.829936494057677</v>
      </c>
      <c r="FH45" s="22">
        <f t="shared" si="22"/>
        <v>416.50581806048382</v>
      </c>
      <c r="FI45" s="62">
        <f t="shared" si="23"/>
        <v>709.83915139381713</v>
      </c>
      <c r="FJ45" s="62">
        <f ca="1">AVERAGE(OFFSET($FI$3,0,0,'Données projet'!$E$16+1,1))-AVERAGE(OFFSET($H$3,0,0,'Données projet'!$E$16+1,1))</f>
        <v>540.83352418045502</v>
      </c>
      <c r="FK45" s="62">
        <f t="shared" si="48"/>
        <v>294.45557293177131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11.142857142857142</v>
      </c>
      <c r="FZ45" s="13">
        <f>IF('Données projet'!$A$244&gt;35,FZ44+FY45-GH44,IF(A45&lt;'Données projet'!$A$244,$FW$205^A45,IF(A45='Données projet'!$A$244,'Données projet'!$B$244,FZ44+FY45-GH44)))</f>
        <v>207.71428571428567</v>
      </c>
      <c r="GA45" s="18">
        <f>FZ45*VLOOKUP('Données projet'!$B$17,Paramètres!$A$1:$I$89,3,0)*VLOOKUP('Données projet'!$B$17,Paramètres!$A$1:$I$89,5,0)</f>
        <v>162.01714285714283</v>
      </c>
      <c r="GB45" s="14">
        <f t="shared" si="49"/>
        <v>41.297155335096676</v>
      </c>
      <c r="GC45" s="22">
        <f t="shared" si="25"/>
        <v>354.10573601815048</v>
      </c>
      <c r="GD45" s="62">
        <f t="shared" si="26"/>
        <v>647.43906935148379</v>
      </c>
      <c r="GE45" s="62">
        <f ca="1">AVERAGE(OFFSET($GD$3,0,0,'Données projet'!$E$17+1,1))-AVERAGE(OFFSET($H$3,0,0,'Données projet'!$E$17+1,1))</f>
        <v>292.57482726862594</v>
      </c>
      <c r="GF45" s="62">
        <f t="shared" si="50"/>
        <v>283.48738729114024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7.1794871794871771</v>
      </c>
      <c r="GU45" s="13">
        <f>IF('Données projet'!$A$270&gt;35,GU44+GT45-HC44,IF(A45&lt;'Données projet'!$A$270,$GR$205^A45,IF(A45='Données projet'!$A$270,'Données projet'!$B$270,GU44+GT45-HC44)))</f>
        <v>208.58974358974365</v>
      </c>
      <c r="GV45" s="18">
        <f>GU45*VLOOKUP('Données projet'!$B$18,Paramètres!$A$1:$I$89,3,0)*VLOOKUP('Données projet'!$B$18,Paramètres!$A$1:$I$89,5,0)</f>
        <v>139.92200000000005</v>
      </c>
      <c r="GW45" s="14">
        <f t="shared" si="51"/>
        <v>36.279136210794348</v>
      </c>
      <c r="GX45" s="22">
        <f t="shared" si="28"/>
        <v>306.88364556713356</v>
      </c>
      <c r="GY45" s="62">
        <f t="shared" si="29"/>
        <v>600.21697890046687</v>
      </c>
      <c r="GZ45" s="62">
        <f ca="1">AVERAGE(OFFSET($GY$3,0,0,'Données projet'!$E$18+1,1))-AVERAGE(OFFSET($H$3,0,0,'Données projet'!$E$18+1,1))</f>
        <v>343.33067866534634</v>
      </c>
      <c r="HA45" s="62">
        <f t="shared" si="52"/>
        <v>261.91036689641402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705.52629626882026</v>
      </c>
      <c r="S46" s="62">
        <f ca="1">AVERAGE(OFFSET($R$3,0,0,'Données projet'!$E$9+1,1))-AVERAGE(OFFSET($H$3,0,0,'Données projet'!$E$9+1,1))</f>
        <v>508.77990078889337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projet'!$B$10,Paramètres!$A$1:$I$89,3,0)*VLOOKUP('Données projet'!$B$10,Paramètres!$A$1:$I$89,5,0)</f>
        <v>212.12880000000007</v>
      </c>
      <c r="AK46" s="14">
        <f t="shared" si="35"/>
        <v>52.400508630618717</v>
      </c>
      <c r="AL46" s="22">
        <f t="shared" si="4"/>
        <v>460.72187919832771</v>
      </c>
      <c r="AM46" s="62">
        <f t="shared" si="5"/>
        <v>754.05521253166103</v>
      </c>
      <c r="AN46" s="62">
        <f ca="1">AVERAGE(OFFSET($AM$3,0,0,'Données projet'!$E$10+1,1))-AVERAGE(OFFSET($H$3,0,0,'Données projet'!$E$10+1,1))</f>
        <v>564.84596170333884</v>
      </c>
      <c r="AO46" s="62">
        <f t="shared" si="36"/>
        <v>306.61893266146666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222.40000000000003</v>
      </c>
      <c r="BE46" s="14">
        <f>BD46*VLOOKUP('Données projet'!$B$11,Paramètres!$A$1:$I$89,3,0)*VLOOKUP('Données projet'!$B$11,Paramètres!$A$1:$I$89,5,0)</f>
        <v>176.94144000000003</v>
      </c>
      <c r="BF46" s="14">
        <f t="shared" si="37"/>
        <v>44.641035679901449</v>
      </c>
      <c r="BG46" s="22">
        <f t="shared" si="7"/>
        <v>385.92281180916171</v>
      </c>
      <c r="BH46" s="62">
        <f t="shared" si="8"/>
        <v>679.25614514249503</v>
      </c>
      <c r="BI46" s="62">
        <f ca="1">AVERAGE(OFFSET($BH$3,0,0,'Données projet'!$E$11+1,1))-AVERAGE(OFFSET($H$3,0,0,'Données projet'!$E$11+1,1))</f>
        <v>370.79299728190904</v>
      </c>
      <c r="BJ46" s="62">
        <f t="shared" si="38"/>
        <v>404.95703400805775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222.40000000000003</v>
      </c>
      <c r="BZ46" s="14">
        <f>BY46*VLOOKUP('Données projet'!$B$12,Paramètres!$A$1:$I$89,3,0)*VLOOKUP('Données projet'!$B$12,Paramètres!$A$1:$I$89,5,0)</f>
        <v>176.94144000000003</v>
      </c>
      <c r="CA46" s="14">
        <f t="shared" si="39"/>
        <v>44.641035679901449</v>
      </c>
      <c r="CB46" s="22">
        <f t="shared" si="10"/>
        <v>385.92281180916171</v>
      </c>
      <c r="CC46" s="62">
        <f t="shared" si="11"/>
        <v>679.25614514249503</v>
      </c>
      <c r="CD46" s="62">
        <f ca="1">AVERAGE(OFFSET($CC$3,0,0,'Données projet'!$E$12+1,1))-AVERAGE(OFFSET($H$3,0,0,'Données projet'!$E$12+1,1))</f>
        <v>370.79299728190904</v>
      </c>
      <c r="CE46" s="62">
        <f t="shared" si="40"/>
        <v>404.95703400805775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8.1999999999999993</v>
      </c>
      <c r="CT46" s="13">
        <f>IF('Données projet'!$A$140&gt;35,CT45+CS46-DB45,IF(A46&lt;'Données projet'!$A$140,$CQ$205^A46,IF(A46='Données projet'!$A$140,'Données projet'!$B$140,CT45+CS46-DB45)))</f>
        <v>188.59999999999985</v>
      </c>
      <c r="CU46" s="18">
        <f>CT46*VLOOKUP('Données projet'!$B$13,Paramètres!$A$1:$I$89,3,0)*VLOOKUP('Données projet'!$B$13,Paramètres!$A$1:$I$89,5,0)</f>
        <v>164.7609599999999</v>
      </c>
      <c r="CV46" s="14">
        <f t="shared" si="41"/>
        <v>41.91452380971991</v>
      </c>
      <c r="CW46" s="22">
        <f t="shared" si="13"/>
        <v>359.95980096859535</v>
      </c>
      <c r="CX46" s="62">
        <f t="shared" si="14"/>
        <v>653.2931343019286</v>
      </c>
      <c r="CY46" s="62">
        <f ca="1">AVERAGE(OFFSET($CX$3,0,0,'Données projet'!$E$13+1,1))-AVERAGE(OFFSET($H$3,0,0,'Données projet'!$E$13+1,1))</f>
        <v>339.58437495284466</v>
      </c>
      <c r="CZ46" s="62">
        <f t="shared" si="42"/>
        <v>371.26234252426531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9.8000000000000007</v>
      </c>
      <c r="DO46" s="13">
        <f>IF('Données projet'!$A$166&gt;35,DO45+DN46-DW45,IF(A46&lt;'Données projet'!$A$166,$DL$205^A46,IF(A46='Données projet'!$A$166,'Données projet'!$B$166,DO45+DN46-DW45)))</f>
        <v>222.40000000000003</v>
      </c>
      <c r="DP46" s="18">
        <f>DO46*VLOOKUP('Données projet'!$B$14,Paramètres!$A$1:$I$89,3,0)*VLOOKUP('Données projet'!$B$14,Paramètres!$A$1:$I$89,5,0)</f>
        <v>163.06368000000001</v>
      </c>
      <c r="DQ46" s="14">
        <f t="shared" si="43"/>
        <v>41.532772330984628</v>
      </c>
      <c r="DR46" s="22">
        <f t="shared" si="16"/>
        <v>356.33882114313155</v>
      </c>
      <c r="DS46" s="62">
        <f t="shared" si="17"/>
        <v>649.67215447646481</v>
      </c>
      <c r="DT46" s="62">
        <f ca="1">AVERAGE(OFFSET($DS$3,0,0,'Données projet'!$E$14+1,1))-AVERAGE(OFFSET($H$3,0,0,'Données projet'!$E$14+1,1))</f>
        <v>344.63665697794022</v>
      </c>
      <c r="DU46" s="62">
        <f t="shared" si="44"/>
        <v>376.72762011188041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6.2820512820512819</v>
      </c>
      <c r="EJ46" s="13">
        <f>IF('Données projet'!$A$192&gt;35,EJ45+EI46-ER45,IF(A46&lt;'Données projet'!$A$192,$EG$205^A46,IF(A46='Données projet'!$A$192,'Données projet'!$B$192,EJ45+EI46-ER45)))</f>
        <v>179.10256410256406</v>
      </c>
      <c r="EK46" s="18">
        <f>EJ46*VLOOKUP('Données projet'!$B$15,Paramètres!$A$1:$I$89,3,0)*VLOOKUP('Données projet'!$B$15,Paramètres!$A$1:$I$89,5,0)</f>
        <v>170.43399999999997</v>
      </c>
      <c r="EL46" s="14">
        <f t="shared" si="45"/>
        <v>43.187210719400916</v>
      </c>
      <c r="EM46" s="22">
        <f t="shared" si="19"/>
        <v>372.05694200295653</v>
      </c>
      <c r="EN46" s="62">
        <f t="shared" si="20"/>
        <v>665.39027533628985</v>
      </c>
      <c r="EO46" s="62">
        <f ca="1">AVERAGE(OFFSET($EN$3,0,0,'Données projet'!$E$15+1,1))-AVERAGE(OFFSET($H$3,0,0,'Données projet'!$E$15+1,1))</f>
        <v>406.24139966722936</v>
      </c>
      <c r="EP46" s="62">
        <f t="shared" si="46"/>
        <v>295.95724296920577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11.4</v>
      </c>
      <c r="FE46" s="13">
        <f>IF('Données projet'!$A$218&gt;35,FE45+FD46-FM45,IF(A46&lt;'Données projet'!$A$218,$FB$205^A46,IF(A46='Données projet'!$A$218,'Données projet'!$B$218,FE45+FD46-FM45)))</f>
        <v>209.20000000000005</v>
      </c>
      <c r="FF46" s="18">
        <f>FE46*VLOOKUP('Données projet'!$B$16,Paramètres!$A$1:$I$89,3,0)*VLOOKUP('Données projet'!$B$16,Paramètres!$A$1:$I$89,5,0)</f>
        <v>202.33824000000007</v>
      </c>
      <c r="FG46" s="14">
        <f t="shared" si="47"/>
        <v>50.257693963357795</v>
      </c>
      <c r="FH46" s="22">
        <f t="shared" si="22"/>
        <v>439.93791831951495</v>
      </c>
      <c r="FI46" s="62">
        <f t="shared" si="23"/>
        <v>733.27125165284826</v>
      </c>
      <c r="FJ46" s="62">
        <f ca="1">AVERAGE(OFFSET($FI$3,0,0,'Données projet'!$E$16+1,1))-AVERAGE(OFFSET($H$3,0,0,'Données projet'!$E$16+1,1))</f>
        <v>540.83352418045502</v>
      </c>
      <c r="FK46" s="62">
        <f t="shared" si="48"/>
        <v>294.45557293177131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11.142857142857142</v>
      </c>
      <c r="FZ46" s="13">
        <f>IF('Données projet'!$A$244&gt;35,FZ45+FY46-GH45,IF(A46&lt;'Données projet'!$A$244,$FW$205^A46,IF(A46='Données projet'!$A$244,'Données projet'!$B$244,FZ45+FY46-GH45)))</f>
        <v>218.8571428571428</v>
      </c>
      <c r="GA46" s="18">
        <f>FZ46*VLOOKUP('Données projet'!$B$17,Paramètres!$A$1:$I$89,3,0)*VLOOKUP('Données projet'!$B$17,Paramètres!$A$1:$I$89,5,0)</f>
        <v>170.70857142857139</v>
      </c>
      <c r="GB46" s="14">
        <f t="shared" si="49"/>
        <v>43.248681576985412</v>
      </c>
      <c r="GC46" s="22">
        <f t="shared" si="25"/>
        <v>372.64221565134471</v>
      </c>
      <c r="GD46" s="62">
        <f t="shared" si="26"/>
        <v>665.97554898467797</v>
      </c>
      <c r="GE46" s="62">
        <f ca="1">AVERAGE(OFFSET($GD$3,0,0,'Données projet'!$E$17+1,1))-AVERAGE(OFFSET($H$3,0,0,'Données projet'!$E$17+1,1))</f>
        <v>292.57482726862594</v>
      </c>
      <c r="GF46" s="62">
        <f t="shared" si="50"/>
        <v>283.48738729114024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7.1794871794871771</v>
      </c>
      <c r="GU46" s="13">
        <f>IF('Données projet'!$A$270&gt;35,GU45+GT46-HC45,IF(A46&lt;'Données projet'!$A$270,$GR$205^A46,IF(A46='Données projet'!$A$270,'Données projet'!$B$270,GU45+GT46-HC45)))</f>
        <v>215.76923076923083</v>
      </c>
      <c r="GV46" s="18">
        <f>GU46*VLOOKUP('Données projet'!$B$18,Paramètres!$A$1:$I$89,3,0)*VLOOKUP('Données projet'!$B$18,Paramètres!$A$1:$I$89,5,0)</f>
        <v>144.73800000000003</v>
      </c>
      <c r="GW46" s="14">
        <f t="shared" si="51"/>
        <v>37.38030333322336</v>
      </c>
      <c r="GX46" s="22">
        <f t="shared" si="28"/>
        <v>317.18937830536407</v>
      </c>
      <c r="GY46" s="62">
        <f t="shared" si="29"/>
        <v>610.52271163869739</v>
      </c>
      <c r="GZ46" s="62">
        <f ca="1">AVERAGE(OFFSET($GY$3,0,0,'Données projet'!$E$18+1,1))-AVERAGE(OFFSET($H$3,0,0,'Données projet'!$E$18+1,1))</f>
        <v>343.33067866534634</v>
      </c>
      <c r="HA46" s="62">
        <f t="shared" si="52"/>
        <v>261.91036689641402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727.45225524198804</v>
      </c>
      <c r="S47" s="62">
        <f ca="1">AVERAGE(OFFSET($R$3,0,0,'Données projet'!$E$9+1,1))-AVERAGE(OFFSET($H$3,0,0,'Données projet'!$E$9+1,1))</f>
        <v>508.77990078889337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projet'!$B$10,Paramètres!$A$1:$I$89,3,0)*VLOOKUP('Données projet'!$B$10,Paramètres!$A$1:$I$89,5,0)</f>
        <v>223.68840000000009</v>
      </c>
      <c r="AK47" s="14">
        <f t="shared" si="35"/>
        <v>54.915763859378501</v>
      </c>
      <c r="AL47" s="22">
        <f t="shared" si="4"/>
        <v>485.23558538841758</v>
      </c>
      <c r="AM47" s="62">
        <f t="shared" si="5"/>
        <v>778.56891872175083</v>
      </c>
      <c r="AN47" s="62">
        <f ca="1">AVERAGE(OFFSET($AM$3,0,0,'Données projet'!$E$10+1,1))-AVERAGE(OFFSET($H$3,0,0,'Données projet'!$E$10+1,1))</f>
        <v>564.84596170333884</v>
      </c>
      <c r="AO47" s="62">
        <f t="shared" si="36"/>
        <v>306.61893266146666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232.20000000000005</v>
      </c>
      <c r="BE47" s="14">
        <f>BD47*VLOOKUP('Données projet'!$B$11,Paramètres!$A$1:$I$89,3,0)*VLOOKUP('Données projet'!$B$11,Paramètres!$A$1:$I$89,5,0)</f>
        <v>184.73832000000004</v>
      </c>
      <c r="BF47" s="14">
        <f t="shared" si="37"/>
        <v>46.374775595471988</v>
      </c>
      <c r="BG47" s="22">
        <f t="shared" si="7"/>
        <v>402.52197482878046</v>
      </c>
      <c r="BH47" s="62">
        <f t="shared" si="8"/>
        <v>695.85530816211372</v>
      </c>
      <c r="BI47" s="62">
        <f ca="1">AVERAGE(OFFSET($BH$3,0,0,'Données projet'!$E$11+1,1))-AVERAGE(OFFSET($H$3,0,0,'Données projet'!$E$11+1,1))</f>
        <v>370.79299728190904</v>
      </c>
      <c r="BJ47" s="62">
        <f t="shared" si="38"/>
        <v>404.95703400805775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232.20000000000005</v>
      </c>
      <c r="BZ47" s="14">
        <f>BY47*VLOOKUP('Données projet'!$B$12,Paramètres!$A$1:$I$89,3,0)*VLOOKUP('Données projet'!$B$12,Paramètres!$A$1:$I$89,5,0)</f>
        <v>184.73832000000004</v>
      </c>
      <c r="CA47" s="14">
        <f t="shared" si="39"/>
        <v>46.374775595471988</v>
      </c>
      <c r="CB47" s="22">
        <f t="shared" si="10"/>
        <v>402.52197482878046</v>
      </c>
      <c r="CC47" s="62">
        <f t="shared" si="11"/>
        <v>695.85530816211372</v>
      </c>
      <c r="CD47" s="62">
        <f ca="1">AVERAGE(OFFSET($CC$3,0,0,'Données projet'!$E$12+1,1))-AVERAGE(OFFSET($H$3,0,0,'Données projet'!$E$12+1,1))</f>
        <v>370.79299728190904</v>
      </c>
      <c r="CE47" s="62">
        <f t="shared" si="40"/>
        <v>404.95703400805775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8.1999999999999993</v>
      </c>
      <c r="CT47" s="13">
        <f>IF('Données projet'!$A$140&gt;35,CT46+CS47-DB46,IF(A47&lt;'Données projet'!$A$140,$CQ$205^A47,IF(A47='Données projet'!$A$140,'Données projet'!$B$140,CT46+CS47-DB46)))</f>
        <v>196.79999999999984</v>
      </c>
      <c r="CU47" s="18">
        <f>CT47*VLOOKUP('Données projet'!$B$13,Paramètres!$A$1:$I$89,3,0)*VLOOKUP('Données projet'!$B$13,Paramètres!$A$1:$I$89,5,0)</f>
        <v>171.9244799999999</v>
      </c>
      <c r="CV47" s="14">
        <f t="shared" si="41"/>
        <v>43.520760297647712</v>
      </c>
      <c r="CW47" s="22">
        <f t="shared" si="13"/>
        <v>375.23379351840293</v>
      </c>
      <c r="CX47" s="62">
        <f t="shared" si="14"/>
        <v>668.56712685173625</v>
      </c>
      <c r="CY47" s="62">
        <f ca="1">AVERAGE(OFFSET($CX$3,0,0,'Données projet'!$E$13+1,1))-AVERAGE(OFFSET($H$3,0,0,'Données projet'!$E$13+1,1))</f>
        <v>339.58437495284466</v>
      </c>
      <c r="CZ47" s="62">
        <f t="shared" si="42"/>
        <v>371.26234252426531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9.8000000000000007</v>
      </c>
      <c r="DO47" s="13">
        <f>IF('Données projet'!$A$166&gt;35,DO46+DN47-DW46,IF(A47&lt;'Données projet'!$A$166,$DL$205^A47,IF(A47='Données projet'!$A$166,'Données projet'!$B$166,DO46+DN47-DW46)))</f>
        <v>232.20000000000005</v>
      </c>
      <c r="DP47" s="18">
        <f>DO47*VLOOKUP('Données projet'!$B$14,Paramètres!$A$1:$I$89,3,0)*VLOOKUP('Données projet'!$B$14,Paramètres!$A$1:$I$89,5,0)</f>
        <v>170.24904000000004</v>
      </c>
      <c r="DQ47" s="14">
        <f t="shared" si="43"/>
        <v>43.145795507930117</v>
      </c>
      <c r="DR47" s="22">
        <f t="shared" si="16"/>
        <v>371.6626718429784</v>
      </c>
      <c r="DS47" s="62">
        <f t="shared" si="17"/>
        <v>664.99600517631166</v>
      </c>
      <c r="DT47" s="62">
        <f ca="1">AVERAGE(OFFSET($DS$3,0,0,'Données projet'!$E$14+1,1))-AVERAGE(OFFSET($H$3,0,0,'Données projet'!$E$14+1,1))</f>
        <v>344.63665697794022</v>
      </c>
      <c r="DU47" s="62">
        <f t="shared" si="44"/>
        <v>376.72762011188041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6.2820512820512819</v>
      </c>
      <c r="EJ47" s="13">
        <f>IF('Données projet'!$A$192&gt;35,EJ46+EI47-ER46,IF(A47&lt;'Données projet'!$A$192,$EG$205^A47,IF(A47='Données projet'!$A$192,'Données projet'!$B$192,EJ46+EI47-ER46)))</f>
        <v>185.38461538461533</v>
      </c>
      <c r="EK47" s="18">
        <f>EJ47*VLOOKUP('Données projet'!$B$15,Paramètres!$A$1:$I$89,3,0)*VLOOKUP('Données projet'!$B$15,Paramètres!$A$1:$I$89,5,0)</f>
        <v>176.41199999999995</v>
      </c>
      <c r="EL47" s="14">
        <f t="shared" si="45"/>
        <v>44.522989246723967</v>
      </c>
      <c r="EM47" s="22">
        <f t="shared" si="19"/>
        <v>384.79510627137751</v>
      </c>
      <c r="EN47" s="62">
        <f t="shared" si="20"/>
        <v>678.12843960471082</v>
      </c>
      <c r="EO47" s="62">
        <f ca="1">AVERAGE(OFFSET($EN$3,0,0,'Données projet'!$E$15+1,1))-AVERAGE(OFFSET($H$3,0,0,'Données projet'!$E$15+1,1))</f>
        <v>406.24139966722936</v>
      </c>
      <c r="EP47" s="62">
        <f t="shared" si="46"/>
        <v>295.95724296920577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11.4</v>
      </c>
      <c r="FE47" s="13">
        <f>IF('Données projet'!$A$218&gt;35,FE46+FD47-FM46,IF(A47&lt;'Données projet'!$A$218,$FB$205^A47,IF(A47='Données projet'!$A$218,'Données projet'!$B$218,FE46+FD47-FM46)))</f>
        <v>220.60000000000005</v>
      </c>
      <c r="FF47" s="18">
        <f>FE47*VLOOKUP('Données projet'!$B$16,Paramètres!$A$1:$I$89,3,0)*VLOOKUP('Données projet'!$B$16,Paramètres!$A$1:$I$89,5,0)</f>
        <v>213.36432000000005</v>
      </c>
      <c r="FG47" s="14">
        <f t="shared" si="47"/>
        <v>52.670092827991724</v>
      </c>
      <c r="FH47" s="22">
        <f t="shared" si="22"/>
        <v>463.34326900875232</v>
      </c>
      <c r="FI47" s="62">
        <f t="shared" si="23"/>
        <v>756.67660234208563</v>
      </c>
      <c r="FJ47" s="62">
        <f ca="1">AVERAGE(OFFSET($FI$3,0,0,'Données projet'!$E$16+1,1))-AVERAGE(OFFSET($H$3,0,0,'Données projet'!$E$16+1,1))</f>
        <v>540.83352418045502</v>
      </c>
      <c r="FK47" s="62">
        <f t="shared" si="48"/>
        <v>294.45557293177131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>
        <f>VLOOKUP(A47,'Données projet'!$A$243:$I$263,2,0)</f>
        <v>230</v>
      </c>
      <c r="FX47" s="13">
        <f>VLOOKUP(A47,'Données projet'!$A$243:$I$263,9,0)</f>
        <v>11.142857142857142</v>
      </c>
      <c r="FY47" s="13">
        <f t="array" ref="FY47">INDEX(FX:FX,MIN(IF(ISNUMBER(FX47:FX243),ROW(FX47:FX243),"")))</f>
        <v>11.142857142857142</v>
      </c>
      <c r="FZ47" s="13">
        <f>IF('Données projet'!$A$244&gt;35,FZ46+FY47-GH46,IF(A47&lt;'Données projet'!$A$244,$FW$205^A47,IF(A47='Données projet'!$A$244,'Données projet'!$B$244,FZ46+FY47-GH46)))</f>
        <v>229.99999999999994</v>
      </c>
      <c r="GA47" s="18">
        <f>FZ47*VLOOKUP('Données projet'!$B$17,Paramètres!$A$1:$I$89,3,0)*VLOOKUP('Données projet'!$B$17,Paramètres!$A$1:$I$89,5,0)</f>
        <v>179.39999999999995</v>
      </c>
      <c r="GB47" s="14">
        <f t="shared" si="49"/>
        <v>45.188671291872232</v>
      </c>
      <c r="GC47" s="22">
        <f t="shared" si="25"/>
        <v>391.15860250001066</v>
      </c>
      <c r="GD47" s="62">
        <f t="shared" si="26"/>
        <v>684.49193583334397</v>
      </c>
      <c r="GE47" s="62">
        <f ca="1">AVERAGE(OFFSET($GD$3,0,0,'Données projet'!$E$17+1,1))-AVERAGE(OFFSET($H$3,0,0,'Données projet'!$E$17+1,1))</f>
        <v>292.57482726862594</v>
      </c>
      <c r="GF47" s="62">
        <f t="shared" si="50"/>
        <v>283.48738729114024</v>
      </c>
      <c r="GG47" s="16">
        <f>IF(ISNA(VLOOKUP(A47,'Données projet'!$A$243:$I$263,3,0)),0,VLOOKUP(A47,'Données projet'!$A$243:$I$263,3,0))</f>
        <v>4</v>
      </c>
      <c r="GH47" s="16">
        <f>IF(ISNA(VLOOKUP(A47,'Données projet'!$A$243:$I$263,4,0)),0,VLOOKUP(A47,'Données projet'!$A$243:$I$263,4,0))</f>
        <v>43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7.1794871794871771</v>
      </c>
      <c r="GU47" s="13">
        <f>IF('Données projet'!$A$270&gt;35,GU46+GT47-HC46,IF(A47&lt;'Données projet'!$A$270,$GR$205^A47,IF(A47='Données projet'!$A$270,'Données projet'!$B$270,GU46+GT47-HC46)))</f>
        <v>222.94871794871801</v>
      </c>
      <c r="GV47" s="18">
        <f>GU47*VLOOKUP('Données projet'!$B$18,Paramètres!$A$1:$I$89,3,0)*VLOOKUP('Données projet'!$B$18,Paramètres!$A$1:$I$89,5,0)</f>
        <v>149.55400000000006</v>
      </c>
      <c r="GW47" s="14">
        <f t="shared" si="51"/>
        <v>38.477212961708553</v>
      </c>
      <c r="GX47" s="22">
        <f t="shared" si="28"/>
        <v>327.48769590830915</v>
      </c>
      <c r="GY47" s="62">
        <f t="shared" si="29"/>
        <v>620.82102924164246</v>
      </c>
      <c r="GZ47" s="62">
        <f ca="1">AVERAGE(OFFSET($GY$3,0,0,'Données projet'!$E$18+1,1))-AVERAGE(OFFSET($H$3,0,0,'Données projet'!$E$18+1,1))</f>
        <v>343.33067866534634</v>
      </c>
      <c r="HA47" s="62">
        <f t="shared" si="52"/>
        <v>261.91036689641402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749.35444730432789</v>
      </c>
      <c r="S48" s="62">
        <f ca="1">AVERAGE(OFFSET($R$3,0,0,'Données projet'!$E$9+1,1))-AVERAGE(OFFSET($H$3,0,0,'Données projet'!$E$9+1,1))</f>
        <v>508.77990078889337</v>
      </c>
      <c r="T48" s="62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projet'!$B$10,Paramètres!$A$1:$I$89,3,0)*VLOOKUP('Données projet'!$B$10,Paramètres!$A$1:$I$89,5,0)</f>
        <v>235.24800000000008</v>
      </c>
      <c r="AK48" s="14">
        <f t="shared" si="35"/>
        <v>57.41592756883739</v>
      </c>
      <c r="AL48" s="22">
        <f t="shared" si="4"/>
        <v>509.72300718239194</v>
      </c>
      <c r="AM48" s="62">
        <f t="shared" si="5"/>
        <v>803.0563405157252</v>
      </c>
      <c r="AN48" s="62">
        <f ca="1">AVERAGE(OFFSET($AM$3,0,0,'Données projet'!$E$10+1,1))-AVERAGE(OFFSET($H$3,0,0,'Données projet'!$E$10+1,1))</f>
        <v>564.84596170333884</v>
      </c>
      <c r="AO48" s="62">
        <f t="shared" si="36"/>
        <v>306.61893266146666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242.00000000000006</v>
      </c>
      <c r="BE48" s="14">
        <f>BD48*VLOOKUP('Données projet'!$B$11,Paramètres!$A$1:$I$89,3,0)*VLOOKUP('Données projet'!$B$11,Paramètres!$A$1:$I$89,5,0)</f>
        <v>192.53520000000006</v>
      </c>
      <c r="BF48" s="14">
        <f t="shared" si="37"/>
        <v>48.100016456123079</v>
      </c>
      <c r="BG48" s="22">
        <f t="shared" si="7"/>
        <v>419.10633532774779</v>
      </c>
      <c r="BH48" s="62">
        <f t="shared" si="8"/>
        <v>712.4396686610811</v>
      </c>
      <c r="BI48" s="62">
        <f ca="1">AVERAGE(OFFSET($BH$3,0,0,'Données projet'!$E$11+1,1))-AVERAGE(OFFSET($H$3,0,0,'Données projet'!$E$11+1,1))</f>
        <v>370.79299728190904</v>
      </c>
      <c r="BJ48" s="62">
        <f t="shared" si="38"/>
        <v>404.95703400805775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242.00000000000006</v>
      </c>
      <c r="BZ48" s="14">
        <f>BY48*VLOOKUP('Données projet'!$B$12,Paramètres!$A$1:$I$89,3,0)*VLOOKUP('Données projet'!$B$12,Paramètres!$A$1:$I$89,5,0)</f>
        <v>192.53520000000006</v>
      </c>
      <c r="CA48" s="14">
        <f t="shared" si="39"/>
        <v>48.100016456123079</v>
      </c>
      <c r="CB48" s="22">
        <f t="shared" si="10"/>
        <v>419.10633532774779</v>
      </c>
      <c r="CC48" s="62">
        <f t="shared" si="11"/>
        <v>712.4396686610811</v>
      </c>
      <c r="CD48" s="62">
        <f ca="1">AVERAGE(OFFSET($CC$3,0,0,'Données projet'!$E$12+1,1))-AVERAGE(OFFSET($H$3,0,0,'Données projet'!$E$12+1,1))</f>
        <v>370.79299728190904</v>
      </c>
      <c r="CE48" s="62">
        <f t="shared" si="40"/>
        <v>404.95703400805775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205</v>
      </c>
      <c r="CR48" s="13">
        <f>VLOOKUP(A48,'Données projet'!$A$139:$I$159,9,0)</f>
        <v>8.1999999999999993</v>
      </c>
      <c r="CS48" s="13">
        <f t="array" ref="CS48">INDEX(CR:CR,MIN(IF(ISNUMBER(CR48:CR244),ROW(CR48:CR244),"")))</f>
        <v>8.1999999999999993</v>
      </c>
      <c r="CT48" s="13">
        <f>IF('Données projet'!$A$140&gt;35,CT47+CS48-DB47,IF(A48&lt;'Données projet'!$A$140,$CQ$205^A48,IF(A48='Données projet'!$A$140,'Données projet'!$B$140,CT47+CS48-DB47)))</f>
        <v>204.99999999999983</v>
      </c>
      <c r="CU48" s="18">
        <f>CT48*VLOOKUP('Données projet'!$B$13,Paramètres!$A$1:$I$89,3,0)*VLOOKUP('Données projet'!$B$13,Paramètres!$A$1:$I$89,5,0)</f>
        <v>179.08799999999988</v>
      </c>
      <c r="CV48" s="14">
        <f t="shared" si="41"/>
        <v>45.119223023956792</v>
      </c>
      <c r="CW48" s="22">
        <f t="shared" si="13"/>
        <v>390.49424676672447</v>
      </c>
      <c r="CX48" s="62">
        <f t="shared" si="14"/>
        <v>683.82758010005773</v>
      </c>
      <c r="CY48" s="62">
        <f ca="1">AVERAGE(OFFSET($CX$3,0,0,'Données projet'!$E$13+1,1))-AVERAGE(OFFSET($H$3,0,0,'Données projet'!$E$13+1,1))</f>
        <v>339.58437495284466</v>
      </c>
      <c r="CZ48" s="62">
        <f t="shared" si="42"/>
        <v>371.26234252426531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242</v>
      </c>
      <c r="DM48" s="13">
        <f>VLOOKUP(A48,'Données projet'!$A$165:$I$185,9,0)</f>
        <v>9.8000000000000007</v>
      </c>
      <c r="DN48" s="13">
        <f t="array" ref="DN48">INDEX(DM:DM,MIN(IF(ISNUMBER(DM48:DM244),ROW(DM48:DM244),"")))</f>
        <v>9.8000000000000007</v>
      </c>
      <c r="DO48" s="13">
        <f>IF('Données projet'!$A$166&gt;35,DO47+DN48-DW47,IF(A48&lt;'Données projet'!$A$166,$DL$205^A48,IF(A48='Données projet'!$A$166,'Données projet'!$B$166,DO47+DN48-DW47)))</f>
        <v>242.00000000000006</v>
      </c>
      <c r="DP48" s="18">
        <f>DO48*VLOOKUP('Données projet'!$B$14,Paramètres!$A$1:$I$89,3,0)*VLOOKUP('Données projet'!$B$14,Paramètres!$A$1:$I$89,5,0)</f>
        <v>177.43440000000004</v>
      </c>
      <c r="DQ48" s="14">
        <f t="shared" si="43"/>
        <v>44.750911401641211</v>
      </c>
      <c r="DR48" s="22">
        <f t="shared" si="16"/>
        <v>386.97275069119183</v>
      </c>
      <c r="DS48" s="62">
        <f t="shared" si="17"/>
        <v>680.30608402452515</v>
      </c>
      <c r="DT48" s="62">
        <f ca="1">AVERAGE(OFFSET($DS$3,0,0,'Données projet'!$E$14+1,1))-AVERAGE(OFFSET($H$3,0,0,'Données projet'!$E$14+1,1))</f>
        <v>344.63665697794022</v>
      </c>
      <c r="DU48" s="62">
        <f t="shared" si="44"/>
        <v>376.72762011188041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191.66666666666666</v>
      </c>
      <c r="EH48" s="13">
        <f>VLOOKUP(A48,'Données projet'!$A$191:$I$211,9,0)</f>
        <v>6.2820512820512819</v>
      </c>
      <c r="EI48" s="13">
        <f t="array" ref="EI48">INDEX(EH:EH,MIN(IF(ISNUMBER(EH48:EH244),ROW(EH48:EH244),"")))</f>
        <v>6.2820512820512819</v>
      </c>
      <c r="EJ48" s="13">
        <f>IF('Données projet'!$A$192&gt;35,EJ47+EI48-ER47,IF(A48&lt;'Données projet'!$A$192,$EG$205^A48,IF(A48='Données projet'!$A$192,'Données projet'!$B$192,EJ47+EI48-ER47)))</f>
        <v>191.6666666666666</v>
      </c>
      <c r="EK48" s="18">
        <f>EJ48*VLOOKUP('Données projet'!$B$15,Paramètres!$A$1:$I$89,3,0)*VLOOKUP('Données projet'!$B$15,Paramètres!$A$1:$I$89,5,0)</f>
        <v>182.38999999999996</v>
      </c>
      <c r="EL48" s="14">
        <f t="shared" si="45"/>
        <v>45.853508245632504</v>
      </c>
      <c r="EM48" s="22">
        <f t="shared" si="19"/>
        <v>397.52411019447646</v>
      </c>
      <c r="EN48" s="62">
        <f t="shared" si="20"/>
        <v>690.85744352780978</v>
      </c>
      <c r="EO48" s="62">
        <f ca="1">AVERAGE(OFFSET($EN$3,0,0,'Données projet'!$E$15+1,1))-AVERAGE(OFFSET($H$3,0,0,'Données projet'!$E$15+1,1))</f>
        <v>406.24139966722936</v>
      </c>
      <c r="EP48" s="62">
        <f t="shared" si="46"/>
        <v>295.95724296920577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34.615384615384613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232</v>
      </c>
      <c r="FC48" s="13">
        <f>VLOOKUP(A48,'Données projet'!$A$217:$I$237,9,0)</f>
        <v>11.4</v>
      </c>
      <c r="FD48" s="13">
        <f t="array" ref="FD48">INDEX(FC:FC,MIN(IF(ISNUMBER(FC48:FC244),ROW(FC48:FC244),"")))</f>
        <v>11.4</v>
      </c>
      <c r="FE48" s="13">
        <f>IF('Données projet'!$A$218&gt;35,FE47+FD48-FM47,IF(A48&lt;'Données projet'!$A$218,$FB$205^A48,IF(A48='Données projet'!$A$218,'Données projet'!$B$218,FE47+FD48-FM47)))</f>
        <v>232.00000000000006</v>
      </c>
      <c r="FF48" s="18">
        <f>FE48*VLOOKUP('Données projet'!$B$16,Paramètres!$A$1:$I$89,3,0)*VLOOKUP('Données projet'!$B$16,Paramètres!$A$1:$I$89,5,0)</f>
        <v>224.39040000000006</v>
      </c>
      <c r="FG48" s="14">
        <f t="shared" si="47"/>
        <v>55.068017311015858</v>
      </c>
      <c r="FH48" s="22">
        <f t="shared" si="22"/>
        <v>486.72341015001939</v>
      </c>
      <c r="FI48" s="62">
        <f t="shared" si="23"/>
        <v>780.05674348335265</v>
      </c>
      <c r="FJ48" s="62">
        <f ca="1">AVERAGE(OFFSET($FI$3,0,0,'Données projet'!$E$16+1,1))-AVERAGE(OFFSET($H$3,0,0,'Données projet'!$E$16+1,1))</f>
        <v>540.83352418045502</v>
      </c>
      <c r="FK48" s="62">
        <f t="shared" si="48"/>
        <v>294.45557293177131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56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10.375</v>
      </c>
      <c r="FZ48" s="13">
        <f>IF('Données projet'!$A$244&gt;35,FZ47+FY48-GH47,IF(A48&lt;'Données projet'!$A$244,$FW$205^A48,IF(A48='Données projet'!$A$244,'Données projet'!$B$244,FZ47+FY48-GH47)))</f>
        <v>197.37499999999994</v>
      </c>
      <c r="GA48" s="18">
        <f>FZ48*VLOOKUP('Données projet'!$B$17,Paramètres!$A$1:$I$89,3,0)*VLOOKUP('Données projet'!$B$17,Paramètres!$A$1:$I$89,5,0)</f>
        <v>153.95249999999996</v>
      </c>
      <c r="GB48" s="14">
        <f t="shared" si="49"/>
        <v>39.475441267837397</v>
      </c>
      <c r="GC48" s="22">
        <f t="shared" si="25"/>
        <v>336.88699770815003</v>
      </c>
      <c r="GD48" s="62">
        <f t="shared" si="26"/>
        <v>630.2203310414834</v>
      </c>
      <c r="GE48" s="62">
        <f ca="1">AVERAGE(OFFSET($GD$3,0,0,'Données projet'!$E$17+1,1))-AVERAGE(OFFSET($H$3,0,0,'Données projet'!$E$17+1,1))</f>
        <v>292.57482726862594</v>
      </c>
      <c r="GF48" s="62">
        <f t="shared" si="50"/>
        <v>283.48738729114024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230.12820512820511</v>
      </c>
      <c r="GS48" s="13">
        <f>VLOOKUP(A48,'Données projet'!$A$269:$I$289,9,0)</f>
        <v>7.1794871794871771</v>
      </c>
      <c r="GT48" s="13">
        <f t="array" ref="GT48">INDEX(GS:GS,MIN(IF(ISNUMBER(GS48:GS244),ROW(GS48:GS244),"")))</f>
        <v>7.1794871794871771</v>
      </c>
      <c r="GU48" s="13">
        <f>IF('Données projet'!$A$270&gt;35,GU47+GT48-HC47,IF(A48&lt;'Données projet'!$A$270,$GR$205^A48,IF(A48='Données projet'!$A$270,'Données projet'!$B$270,GU47+GT48-HC47)))</f>
        <v>230.1282051282052</v>
      </c>
      <c r="GV48" s="18">
        <f>GU48*VLOOKUP('Données projet'!$B$18,Paramètres!$A$1:$I$89,3,0)*VLOOKUP('Données projet'!$B$18,Paramètres!$A$1:$I$89,5,0)</f>
        <v>154.37000000000006</v>
      </c>
      <c r="GW48" s="14">
        <f t="shared" si="51"/>
        <v>39.570017923578433</v>
      </c>
      <c r="GX48" s="22">
        <f t="shared" si="28"/>
        <v>337.77886455023253</v>
      </c>
      <c r="GY48" s="62">
        <f t="shared" si="29"/>
        <v>631.11219788356584</v>
      </c>
      <c r="GZ48" s="62">
        <f ca="1">AVERAGE(OFFSET($GY$3,0,0,'Données projet'!$E$18+1,1))-AVERAGE(OFFSET($H$3,0,0,'Données projet'!$E$18+1,1))</f>
        <v>343.33067866534634</v>
      </c>
      <c r="HA48" s="62">
        <f t="shared" si="52"/>
        <v>261.91036689641402</v>
      </c>
      <c r="HB48" s="16">
        <f>IF(ISNA(VLOOKUP(A48,'Données projet'!$A$269:$I$289,3,0)),0,VLOOKUP(A48,'Données projet'!$A$269:$I$289,3,0))</f>
        <v>4</v>
      </c>
      <c r="HC48" s="16">
        <f>IF(ISNA(VLOOKUP(A48,'Données projet'!$A$269:$I$289,4,0)),0,VLOOKUP(A48,'Données projet'!$A$269:$I$289,4,0))</f>
        <v>36.53846153846154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662.75452844747895</v>
      </c>
      <c r="S49" s="62">
        <f ca="1">AVERAGE(OFFSET($R$3,0,0,'Données projet'!$E$9+1,1))-AVERAGE(OFFSET($H$3,0,0,'Données projet'!$E$9+1,1))</f>
        <v>508.77990078889337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projet'!$B$10,Paramètres!$A$1:$I$89,3,0)*VLOOKUP('Données projet'!$B$10,Paramètres!$A$1:$I$89,5,0)</f>
        <v>189.61800000000008</v>
      </c>
      <c r="AK49" s="14">
        <f t="shared" si="35"/>
        <v>47.455488185268543</v>
      </c>
      <c r="AL49" s="22">
        <f t="shared" si="4"/>
        <v>412.90299192267616</v>
      </c>
      <c r="AM49" s="62">
        <f t="shared" si="5"/>
        <v>706.23632525600942</v>
      </c>
      <c r="AN49" s="62">
        <f ca="1">AVERAGE(OFFSET($AM$3,0,0,'Données projet'!$E$10+1,1))-AVERAGE(OFFSET($H$3,0,0,'Données projet'!$E$10+1,1))</f>
        <v>564.84596170333884</v>
      </c>
      <c r="AO49" s="62">
        <f t="shared" si="36"/>
        <v>306.61893266146666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8.6</v>
      </c>
      <c r="BD49" s="13">
        <f>IF('Données projet'!$A$88&gt;35,BD48+BC49-BL48,IF(A49&lt;'Données projet'!$A$88,$BA$205^A49,IF(A49='Données projet'!$A$88,'Données projet'!$B$88,BD48+BC49-BL48)))</f>
        <v>250.60000000000005</v>
      </c>
      <c r="BE49" s="14">
        <f>BD49*VLOOKUP('Données projet'!$B$11,Paramètres!$A$1:$I$89,3,0)*VLOOKUP('Données projet'!$B$11,Paramètres!$A$1:$I$89,5,0)</f>
        <v>199.37736000000004</v>
      </c>
      <c r="BF49" s="14">
        <f t="shared" si="37"/>
        <v>49.607305476717805</v>
      </c>
      <c r="BG49" s="22">
        <f t="shared" si="7"/>
        <v>433.64829237195022</v>
      </c>
      <c r="BH49" s="62">
        <f t="shared" si="8"/>
        <v>726.98162570528348</v>
      </c>
      <c r="BI49" s="62">
        <f ca="1">AVERAGE(OFFSET($BH$3,0,0,'Données projet'!$E$11+1,1))-AVERAGE(OFFSET($H$3,0,0,'Données projet'!$E$11+1,1))</f>
        <v>370.79299728190904</v>
      </c>
      <c r="BJ49" s="62">
        <f t="shared" si="38"/>
        <v>404.95703400805775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8.6</v>
      </c>
      <c r="BY49" s="13">
        <f>IF('Données projet'!$A$114&gt;35,BY48+BX49-CG48,IF(A49&lt;'Données projet'!$A$114,$BV$205^A49,IF(A49='Données projet'!$A$114,'Données projet'!$B$114,BY48+BX49-CG48)))</f>
        <v>250.60000000000005</v>
      </c>
      <c r="BZ49" s="14">
        <f>BY49*VLOOKUP('Données projet'!$B$12,Paramètres!$A$1:$I$89,3,0)*VLOOKUP('Données projet'!$B$12,Paramètres!$A$1:$I$89,5,0)</f>
        <v>199.37736000000004</v>
      </c>
      <c r="CA49" s="14">
        <f t="shared" si="39"/>
        <v>49.607305476717805</v>
      </c>
      <c r="CB49" s="22">
        <f t="shared" si="10"/>
        <v>433.64829237195022</v>
      </c>
      <c r="CC49" s="62">
        <f t="shared" si="11"/>
        <v>726.98162570528348</v>
      </c>
      <c r="CD49" s="62">
        <f ca="1">AVERAGE(OFFSET($CC$3,0,0,'Données projet'!$E$12+1,1))-AVERAGE(OFFSET($H$3,0,0,'Données projet'!$E$12+1,1))</f>
        <v>370.79299728190904</v>
      </c>
      <c r="CE49" s="62">
        <f t="shared" si="40"/>
        <v>404.95703400805775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</v>
      </c>
      <c r="CT49" s="13">
        <f>IF('Données projet'!$A$140&gt;35,CT48+CS49-DB48,IF(A49&lt;'Données projet'!$A$140,$CQ$205^A49,IF(A49='Données projet'!$A$140,'Données projet'!$B$140,CT48+CS49-DB48)))</f>
        <v>211.99999999999983</v>
      </c>
      <c r="CU49" s="18">
        <f>CT49*VLOOKUP('Données projet'!$B$13,Paramètres!$A$1:$I$89,3,0)*VLOOKUP('Données projet'!$B$13,Paramètres!$A$1:$I$89,5,0)</f>
        <v>185.20319999999987</v>
      </c>
      <c r="CV49" s="14">
        <f t="shared" si="41"/>
        <v>46.477875402099386</v>
      </c>
      <c r="CW49" s="22">
        <f t="shared" si="13"/>
        <v>403.5112063253228</v>
      </c>
      <c r="CX49" s="62">
        <f t="shared" si="14"/>
        <v>696.84453965865612</v>
      </c>
      <c r="CY49" s="62">
        <f ca="1">AVERAGE(OFFSET($CX$3,0,0,'Données projet'!$E$13+1,1))-AVERAGE(OFFSET($H$3,0,0,'Données projet'!$E$13+1,1))</f>
        <v>339.58437495284466</v>
      </c>
      <c r="CZ49" s="62">
        <f t="shared" si="42"/>
        <v>371.26234252426531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8.6</v>
      </c>
      <c r="DO49" s="13">
        <f>IF('Données projet'!$A$166&gt;35,DO48+DN49-DW48,IF(A49&lt;'Données projet'!$A$166,$DL$205^A49,IF(A49='Données projet'!$A$166,'Données projet'!$B$166,DO48+DN49-DW48)))</f>
        <v>250.60000000000005</v>
      </c>
      <c r="DP49" s="18">
        <f>DO49*VLOOKUP('Données projet'!$B$14,Paramètres!$A$1:$I$89,3,0)*VLOOKUP('Données projet'!$B$14,Paramètres!$A$1:$I$89,5,0)</f>
        <v>183.73992000000001</v>
      </c>
      <c r="DQ49" s="14">
        <f t="shared" si="43"/>
        <v>46.153250992914103</v>
      </c>
      <c r="DR49" s="22">
        <f t="shared" si="16"/>
        <v>400.39727281265874</v>
      </c>
      <c r="DS49" s="62">
        <f t="shared" si="17"/>
        <v>693.73060614599206</v>
      </c>
      <c r="DT49" s="62">
        <f ca="1">AVERAGE(OFFSET($DS$3,0,0,'Données projet'!$E$14+1,1))-AVERAGE(OFFSET($H$3,0,0,'Données projet'!$E$14+1,1))</f>
        <v>344.63665697794022</v>
      </c>
      <c r="DU49" s="62">
        <f t="shared" si="44"/>
        <v>376.72762011188041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6.0256410256410273</v>
      </c>
      <c r="EJ49" s="13">
        <f>IF('Données projet'!$A$192&gt;35,EJ48+EI49-ER48,IF(A49&lt;'Données projet'!$A$192,$EG$205^A49,IF(A49='Données projet'!$A$192,'Données projet'!$B$192,EJ48+EI49-ER48)))</f>
        <v>163.07692307692301</v>
      </c>
      <c r="EK49" s="18">
        <f>EJ49*VLOOKUP('Données projet'!$B$15,Paramètres!$A$1:$I$89,3,0)*VLOOKUP('Données projet'!$B$15,Paramètres!$A$1:$I$89,5,0)</f>
        <v>155.18399999999994</v>
      </c>
      <c r="EL49" s="14">
        <f t="shared" si="45"/>
        <v>39.754328566553049</v>
      </c>
      <c r="EM49" s="22">
        <f t="shared" si="19"/>
        <v>339.51758892007979</v>
      </c>
      <c r="EN49" s="62">
        <f t="shared" si="20"/>
        <v>632.85092225341305</v>
      </c>
      <c r="EO49" s="62">
        <f ca="1">AVERAGE(OFFSET($EN$3,0,0,'Données projet'!$E$15+1,1))-AVERAGE(OFFSET($H$3,0,0,'Données projet'!$E$15+1,1))</f>
        <v>406.24139966722936</v>
      </c>
      <c r="EP49" s="62">
        <f t="shared" si="46"/>
        <v>295.95724296920577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11</v>
      </c>
      <c r="FE49" s="13">
        <f>IF('Données projet'!$A$218&gt;35,FE48+FD49-FM48,IF(A49&lt;'Données projet'!$A$218,$FB$205^A49,IF(A49='Données projet'!$A$218,'Données projet'!$B$218,FE48+FD49-FM48)))</f>
        <v>187.00000000000006</v>
      </c>
      <c r="FF49" s="18">
        <f>FE49*VLOOKUP('Données projet'!$B$16,Paramètres!$A$1:$I$89,3,0)*VLOOKUP('Données projet'!$B$16,Paramètres!$A$1:$I$89,5,0)</f>
        <v>180.86640000000006</v>
      </c>
      <c r="FG49" s="14">
        <f t="shared" si="47"/>
        <v>45.514890302102152</v>
      </c>
      <c r="FH49" s="22">
        <f t="shared" si="22"/>
        <v>394.28074727616132</v>
      </c>
      <c r="FI49" s="62">
        <f t="shared" si="23"/>
        <v>687.61408060949464</v>
      </c>
      <c r="FJ49" s="62">
        <f ca="1">AVERAGE(OFFSET($FI$3,0,0,'Données projet'!$E$16+1,1))-AVERAGE(OFFSET($H$3,0,0,'Données projet'!$E$16+1,1))</f>
        <v>540.83352418045502</v>
      </c>
      <c r="FK49" s="62">
        <f t="shared" si="48"/>
        <v>294.45557293177131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10.375</v>
      </c>
      <c r="FZ49" s="13">
        <f>IF('Données projet'!$A$244&gt;35,FZ48+FY49-GH48,IF(A49&lt;'Données projet'!$A$244,$FW$205^A49,IF(A49='Données projet'!$A$244,'Données projet'!$B$244,FZ48+FY49-GH48)))</f>
        <v>207.74999999999994</v>
      </c>
      <c r="GA49" s="18">
        <f>FZ49*VLOOKUP('Données projet'!$B$17,Paramètres!$A$1:$I$89,3,0)*VLOOKUP('Données projet'!$B$17,Paramètres!$A$1:$I$89,5,0)</f>
        <v>162.04499999999996</v>
      </c>
      <c r="GB49" s="14">
        <f t="shared" si="49"/>
        <v>41.303429372463391</v>
      </c>
      <c r="GC49" s="22">
        <f t="shared" si="25"/>
        <v>354.16518115704031</v>
      </c>
      <c r="GD49" s="62">
        <f t="shared" si="26"/>
        <v>647.49851449037362</v>
      </c>
      <c r="GE49" s="62">
        <f ca="1">AVERAGE(OFFSET($GD$3,0,0,'Données projet'!$E$17+1,1))-AVERAGE(OFFSET($H$3,0,0,'Données projet'!$E$17+1,1))</f>
        <v>292.57482726862594</v>
      </c>
      <c r="GF49" s="62">
        <f t="shared" si="50"/>
        <v>283.48738729114024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6.6666666666666687</v>
      </c>
      <c r="GU49" s="13">
        <f>IF('Données projet'!$A$270&gt;35,GU48+GT49-HC48,IF(A49&lt;'Données projet'!$A$270,$GR$205^A49,IF(A49='Données projet'!$A$270,'Données projet'!$B$270,GU48+GT49-HC48)))</f>
        <v>200.25641025641031</v>
      </c>
      <c r="GV49" s="18">
        <f>GU49*VLOOKUP('Données projet'!$B$18,Paramètres!$A$1:$I$89,3,0)*VLOOKUP('Données projet'!$B$18,Paramètres!$A$1:$I$89,5,0)</f>
        <v>134.33200000000002</v>
      </c>
      <c r="GW49" s="14">
        <f t="shared" si="51"/>
        <v>34.995439661065326</v>
      </c>
      <c r="GX49" s="22">
        <f t="shared" si="28"/>
        <v>294.9119574096888</v>
      </c>
      <c r="GY49" s="62">
        <f t="shared" si="29"/>
        <v>588.24529074302211</v>
      </c>
      <c r="GZ49" s="62">
        <f ca="1">AVERAGE(OFFSET($GY$3,0,0,'Données projet'!$E$18+1,1))-AVERAGE(OFFSET($H$3,0,0,'Données projet'!$E$18+1,1))</f>
        <v>343.33067866534634</v>
      </c>
      <c r="HA49" s="62">
        <f t="shared" si="52"/>
        <v>261.91036689641402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683.96045320765336</v>
      </c>
      <c r="S50" s="62">
        <f ca="1">AVERAGE(OFFSET($R$3,0,0,'Données projet'!$E$9+1,1))-AVERAGE(OFFSET($H$3,0,0,'Données projet'!$E$9+1,1))</f>
        <v>508.77990078889337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projet'!$B$10,Paramètres!$A$1:$I$89,3,0)*VLOOKUP('Données projet'!$B$10,Paramètres!$A$1:$I$89,5,0)</f>
        <v>200.77200000000008</v>
      </c>
      <c r="AK50" s="14">
        <f t="shared" si="35"/>
        <v>49.913791898945412</v>
      </c>
      <c r="AL50" s="22">
        <f t="shared" si="4"/>
        <v>436.61108755732999</v>
      </c>
      <c r="AM50" s="62">
        <f t="shared" si="5"/>
        <v>729.94442089066331</v>
      </c>
      <c r="AN50" s="62">
        <f ca="1">AVERAGE(OFFSET($AM$3,0,0,'Données projet'!$E$10+1,1))-AVERAGE(OFFSET($H$3,0,0,'Données projet'!$E$10+1,1))</f>
        <v>564.84596170333884</v>
      </c>
      <c r="AO50" s="62">
        <f t="shared" si="36"/>
        <v>306.61893266146666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8.6</v>
      </c>
      <c r="BD50" s="13">
        <f>IF('Données projet'!$A$88&gt;35,BD49+BC50-BL49,IF(A50&lt;'Données projet'!$A$88,$BA$205^A50,IF(A50='Données projet'!$A$88,'Données projet'!$B$88,BD49+BC50-BL49)))</f>
        <v>259.20000000000005</v>
      </c>
      <c r="BE50" s="14">
        <f>BD50*VLOOKUP('Données projet'!$B$11,Paramètres!$A$1:$I$89,3,0)*VLOOKUP('Données projet'!$B$11,Paramètres!$A$1:$I$89,5,0)</f>
        <v>206.21952000000007</v>
      </c>
      <c r="BF50" s="14">
        <f t="shared" si="37"/>
        <v>51.108584284640322</v>
      </c>
      <c r="BG50" s="22">
        <f t="shared" si="7"/>
        <v>448.17978162908202</v>
      </c>
      <c r="BH50" s="62">
        <f t="shared" si="8"/>
        <v>741.51311496241533</v>
      </c>
      <c r="BI50" s="62">
        <f ca="1">AVERAGE(OFFSET($BH$3,0,0,'Données projet'!$E$11+1,1))-AVERAGE(OFFSET($H$3,0,0,'Données projet'!$E$11+1,1))</f>
        <v>370.79299728190904</v>
      </c>
      <c r="BJ50" s="62">
        <f t="shared" si="38"/>
        <v>404.95703400805775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8.6</v>
      </c>
      <c r="BY50" s="13">
        <f>IF('Données projet'!$A$114&gt;35,BY49+BX50-CG49,IF(A50&lt;'Données projet'!$A$114,$BV$205^A50,IF(A50='Données projet'!$A$114,'Données projet'!$B$114,BY49+BX50-CG49)))</f>
        <v>259.20000000000005</v>
      </c>
      <c r="BZ50" s="14">
        <f>BY50*VLOOKUP('Données projet'!$B$12,Paramètres!$A$1:$I$89,3,0)*VLOOKUP('Données projet'!$B$12,Paramètres!$A$1:$I$89,5,0)</f>
        <v>206.21952000000007</v>
      </c>
      <c r="CA50" s="14">
        <f t="shared" si="39"/>
        <v>51.108584284640322</v>
      </c>
      <c r="CB50" s="22">
        <f t="shared" si="10"/>
        <v>448.17978162908202</v>
      </c>
      <c r="CC50" s="62">
        <f t="shared" si="11"/>
        <v>741.51311496241533</v>
      </c>
      <c r="CD50" s="62">
        <f ca="1">AVERAGE(OFFSET($CC$3,0,0,'Données projet'!$E$12+1,1))-AVERAGE(OFFSET($H$3,0,0,'Données projet'!$E$12+1,1))</f>
        <v>370.79299728190904</v>
      </c>
      <c r="CE50" s="62">
        <f t="shared" si="40"/>
        <v>404.95703400805775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</v>
      </c>
      <c r="CT50" s="13">
        <f>IF('Données projet'!$A$140&gt;35,CT49+CS50-DB49,IF(A50&lt;'Données projet'!$A$140,$CQ$205^A50,IF(A50='Données projet'!$A$140,'Données projet'!$B$140,CT49+CS50-DB49)))</f>
        <v>218.99999999999983</v>
      </c>
      <c r="CU50" s="18">
        <f>CT50*VLOOKUP('Données projet'!$B$13,Paramètres!$A$1:$I$89,3,0)*VLOOKUP('Données projet'!$B$13,Paramètres!$A$1:$I$89,5,0)</f>
        <v>191.31839999999988</v>
      </c>
      <c r="CV50" s="14">
        <f t="shared" si="41"/>
        <v>47.831314962098354</v>
      </c>
      <c r="CW50" s="22">
        <f t="shared" si="13"/>
        <v>416.51908689232113</v>
      </c>
      <c r="CX50" s="62">
        <f t="shared" si="14"/>
        <v>709.85242022565444</v>
      </c>
      <c r="CY50" s="62">
        <f ca="1">AVERAGE(OFFSET($CX$3,0,0,'Données projet'!$E$13+1,1))-AVERAGE(OFFSET($H$3,0,0,'Données projet'!$E$13+1,1))</f>
        <v>339.58437495284466</v>
      </c>
      <c r="CZ50" s="62">
        <f t="shared" si="42"/>
        <v>371.26234252426531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8.6</v>
      </c>
      <c r="DO50" s="13">
        <f>IF('Données projet'!$A$166&gt;35,DO49+DN50-DW49,IF(A50&lt;'Données projet'!$A$166,$DL$205^A50,IF(A50='Données projet'!$A$166,'Données projet'!$B$166,DO49+DN50-DW49)))</f>
        <v>259.20000000000005</v>
      </c>
      <c r="DP50" s="18">
        <f>DO50*VLOOKUP('Données projet'!$B$14,Paramètres!$A$1:$I$89,3,0)*VLOOKUP('Données projet'!$B$14,Paramètres!$A$1:$I$89,5,0)</f>
        <v>190.04544000000001</v>
      </c>
      <c r="DQ50" s="14">
        <f t="shared" si="43"/>
        <v>47.549998850241536</v>
      </c>
      <c r="DR50" s="22">
        <f t="shared" si="16"/>
        <v>413.81205599750405</v>
      </c>
      <c r="DS50" s="62">
        <f t="shared" si="17"/>
        <v>707.14538933083736</v>
      </c>
      <c r="DT50" s="62">
        <f ca="1">AVERAGE(OFFSET($DS$3,0,0,'Données projet'!$E$14+1,1))-AVERAGE(OFFSET($H$3,0,0,'Données projet'!$E$14+1,1))</f>
        <v>344.63665697794022</v>
      </c>
      <c r="DU50" s="62">
        <f t="shared" si="44"/>
        <v>376.72762011188041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6.0256410256410273</v>
      </c>
      <c r="EJ50" s="13">
        <f>IF('Données projet'!$A$192&gt;35,EJ49+EI50-ER49,IF(A50&lt;'Données projet'!$A$192,$EG$205^A50,IF(A50='Données projet'!$A$192,'Données projet'!$B$192,EJ49+EI50-ER49)))</f>
        <v>169.10256410256403</v>
      </c>
      <c r="EK50" s="18">
        <f>EJ50*VLOOKUP('Données projet'!$B$15,Paramètres!$A$1:$I$89,3,0)*VLOOKUP('Données projet'!$B$15,Paramètres!$A$1:$I$89,5,0)</f>
        <v>160.91799999999992</v>
      </c>
      <c r="EL50" s="14">
        <f t="shared" si="45"/>
        <v>41.049503875172206</v>
      </c>
      <c r="EM50" s="22">
        <f t="shared" si="19"/>
        <v>351.76006924925809</v>
      </c>
      <c r="EN50" s="62">
        <f t="shared" si="20"/>
        <v>645.09340258259135</v>
      </c>
      <c r="EO50" s="62">
        <f ca="1">AVERAGE(OFFSET($EN$3,0,0,'Données projet'!$E$15+1,1))-AVERAGE(OFFSET($H$3,0,0,'Données projet'!$E$15+1,1))</f>
        <v>406.24139966722936</v>
      </c>
      <c r="EP50" s="62">
        <f t="shared" si="46"/>
        <v>295.95724296920577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11</v>
      </c>
      <c r="FE50" s="13">
        <f>IF('Données projet'!$A$218&gt;35,FE49+FD50-FM49,IF(A50&lt;'Données projet'!$A$218,$FB$205^A50,IF(A50='Données projet'!$A$218,'Données projet'!$B$218,FE49+FD50-FM49)))</f>
        <v>198.00000000000006</v>
      </c>
      <c r="FF50" s="18">
        <f>FE50*VLOOKUP('Données projet'!$B$16,Paramètres!$A$1:$I$89,3,0)*VLOOKUP('Données projet'!$B$16,Paramètres!$A$1:$I$89,5,0)</f>
        <v>191.50560000000007</v>
      </c>
      <c r="FG50" s="14">
        <f t="shared" si="47"/>
        <v>47.872666570685276</v>
      </c>
      <c r="FH50" s="22">
        <f t="shared" si="22"/>
        <v>416.9171476106103</v>
      </c>
      <c r="FI50" s="62">
        <f t="shared" si="23"/>
        <v>710.25048094394356</v>
      </c>
      <c r="FJ50" s="62">
        <f ca="1">AVERAGE(OFFSET($FI$3,0,0,'Données projet'!$E$16+1,1))-AVERAGE(OFFSET($H$3,0,0,'Données projet'!$E$16+1,1))</f>
        <v>540.83352418045502</v>
      </c>
      <c r="FK50" s="62">
        <f t="shared" si="48"/>
        <v>294.45557293177131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10.375</v>
      </c>
      <c r="FZ50" s="13">
        <f>IF('Données projet'!$A$244&gt;35,FZ49+FY50-GH49,IF(A50&lt;'Données projet'!$A$244,$FW$205^A50,IF(A50='Données projet'!$A$244,'Données projet'!$B$244,FZ49+FY50-GH49)))</f>
        <v>218.12499999999994</v>
      </c>
      <c r="GA50" s="18">
        <f>FZ50*VLOOKUP('Données projet'!$B$17,Paramètres!$A$1:$I$89,3,0)*VLOOKUP('Données projet'!$B$17,Paramètres!$A$1:$I$89,5,0)</f>
        <v>170.13749999999996</v>
      </c>
      <c r="GB50" s="14">
        <f t="shared" si="49"/>
        <v>43.120817562072411</v>
      </c>
      <c r="GC50" s="22">
        <f t="shared" si="25"/>
        <v>371.42490308727605</v>
      </c>
      <c r="GD50" s="62">
        <f t="shared" si="26"/>
        <v>664.75823642060936</v>
      </c>
      <c r="GE50" s="62">
        <f ca="1">AVERAGE(OFFSET($GD$3,0,0,'Données projet'!$E$17+1,1))-AVERAGE(OFFSET($H$3,0,0,'Données projet'!$E$17+1,1))</f>
        <v>292.57482726862594</v>
      </c>
      <c r="GF50" s="62">
        <f t="shared" si="50"/>
        <v>283.48738729114024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6.6666666666666687</v>
      </c>
      <c r="GU50" s="13">
        <f>IF('Données projet'!$A$270&gt;35,GU49+GT50-HC49,IF(A50&lt;'Données projet'!$A$270,$GR$205^A50,IF(A50='Données projet'!$A$270,'Données projet'!$B$270,GU49+GT50-HC49)))</f>
        <v>206.92307692307696</v>
      </c>
      <c r="GV50" s="18">
        <f>GU50*VLOOKUP('Données projet'!$B$18,Paramètres!$A$1:$I$89,3,0)*VLOOKUP('Données projet'!$B$18,Paramètres!$A$1:$I$89,5,0)</f>
        <v>138.80400000000003</v>
      </c>
      <c r="GW50" s="14">
        <f t="shared" si="51"/>
        <v>36.022882030080694</v>
      </c>
      <c r="GX50" s="22">
        <f t="shared" si="28"/>
        <v>304.49015286905723</v>
      </c>
      <c r="GY50" s="62">
        <f t="shared" si="29"/>
        <v>597.82348620239054</v>
      </c>
      <c r="GZ50" s="62">
        <f ca="1">AVERAGE(OFFSET($GY$3,0,0,'Données projet'!$E$18+1,1))-AVERAGE(OFFSET($H$3,0,0,'Données projet'!$E$18+1,1))</f>
        <v>343.33067866534634</v>
      </c>
      <c r="HA50" s="62">
        <f t="shared" si="52"/>
        <v>261.91036689641402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508.77990078889337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projet'!$B$10,Paramètres!$A$1:$I$89,3,0)*VLOOKUP('Données projet'!$B$10,Paramètres!$A$1:$I$89,5,0)</f>
        <v>211.92600000000007</v>
      </c>
      <c r="AK51" s="14">
        <f t="shared" si="35"/>
        <v>52.356241262970165</v>
      </c>
      <c r="AL51" s="22">
        <f t="shared" si="4"/>
        <v>460.29157019967312</v>
      </c>
      <c r="AM51" s="62">
        <f t="shared" si="5"/>
        <v>753.62490353300643</v>
      </c>
      <c r="AN51" s="62">
        <f ca="1">AVERAGE(OFFSET($AM$3,0,0,'Données projet'!$E$10+1,1))-AVERAGE(OFFSET($H$3,0,0,'Données projet'!$E$10+1,1))</f>
        <v>564.84596170333884</v>
      </c>
      <c r="AO51" s="62">
        <f t="shared" si="36"/>
        <v>306.61893266146666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8.6</v>
      </c>
      <c r="BD51" s="13">
        <f>IF('Données projet'!$A$88&gt;35,BD50+BC51-BL50,IF(A51&lt;'Données projet'!$A$88,$BA$205^A51,IF(A51='Données projet'!$A$88,'Données projet'!$B$88,BD50+BC51-BL50)))</f>
        <v>267.80000000000007</v>
      </c>
      <c r="BE51" s="14">
        <f>BD51*VLOOKUP('Données projet'!$B$11,Paramètres!$A$1:$I$89,3,0)*VLOOKUP('Données projet'!$B$11,Paramètres!$A$1:$I$89,5,0)</f>
        <v>213.06168000000005</v>
      </c>
      <c r="BF51" s="14">
        <f t="shared" si="37"/>
        <v>52.604075157965084</v>
      </c>
      <c r="BG51" s="22">
        <f t="shared" si="7"/>
        <v>462.70119023345586</v>
      </c>
      <c r="BH51" s="62">
        <f t="shared" si="8"/>
        <v>756.03452356678918</v>
      </c>
      <c r="BI51" s="62">
        <f ca="1">AVERAGE(OFFSET($BH$3,0,0,'Données projet'!$E$11+1,1))-AVERAGE(OFFSET($H$3,0,0,'Données projet'!$E$11+1,1))</f>
        <v>370.79299728190904</v>
      </c>
      <c r="BJ51" s="62">
        <f t="shared" si="38"/>
        <v>404.95703400805775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8.6</v>
      </c>
      <c r="BY51" s="13">
        <f>IF('Données projet'!$A$114&gt;35,BY50+BX51-CG50,IF(A51&lt;'Données projet'!$A$114,$BV$205^A51,IF(A51='Données projet'!$A$114,'Données projet'!$B$114,BY50+BX51-CG50)))</f>
        <v>267.80000000000007</v>
      </c>
      <c r="BZ51" s="14">
        <f>BY51*VLOOKUP('Données projet'!$B$12,Paramètres!$A$1:$I$89,3,0)*VLOOKUP('Données projet'!$B$12,Paramètres!$A$1:$I$89,5,0)</f>
        <v>213.06168000000005</v>
      </c>
      <c r="CA51" s="14">
        <f t="shared" si="39"/>
        <v>52.604075157965084</v>
      </c>
      <c r="CB51" s="22">
        <f t="shared" si="10"/>
        <v>462.70119023345586</v>
      </c>
      <c r="CC51" s="62">
        <f t="shared" si="11"/>
        <v>756.03452356678918</v>
      </c>
      <c r="CD51" s="62">
        <f ca="1">AVERAGE(OFFSET($CC$3,0,0,'Données projet'!$E$12+1,1))-AVERAGE(OFFSET($H$3,0,0,'Données projet'!$E$12+1,1))</f>
        <v>370.79299728190904</v>
      </c>
      <c r="CE51" s="62">
        <f t="shared" si="40"/>
        <v>404.95703400805775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</v>
      </c>
      <c r="CT51" s="13">
        <f>IF('Données projet'!$A$140&gt;35,CT50+CS51-DB50,IF(A51&lt;'Données projet'!$A$140,$CQ$205^A51,IF(A51='Données projet'!$A$140,'Données projet'!$B$140,CT50+CS51-DB50)))</f>
        <v>225.99999999999983</v>
      </c>
      <c r="CU51" s="18">
        <f>CT51*VLOOKUP('Données projet'!$B$13,Paramètres!$A$1:$I$89,3,0)*VLOOKUP('Données projet'!$B$13,Paramètres!$A$1:$I$89,5,0)</f>
        <v>197.43359999999987</v>
      </c>
      <c r="CV51" s="14">
        <f t="shared" si="41"/>
        <v>49.179727436837567</v>
      </c>
      <c r="CW51" s="22">
        <f t="shared" si="13"/>
        <v>429.51821195249181</v>
      </c>
      <c r="CX51" s="62">
        <f t="shared" si="14"/>
        <v>722.85154528582507</v>
      </c>
      <c r="CY51" s="62">
        <f ca="1">AVERAGE(OFFSET($CX$3,0,0,'Données projet'!$E$13+1,1))-AVERAGE(OFFSET($H$3,0,0,'Données projet'!$E$13+1,1))</f>
        <v>339.58437495284466</v>
      </c>
      <c r="CZ51" s="62">
        <f t="shared" si="42"/>
        <v>371.26234252426531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8.6</v>
      </c>
      <c r="DO51" s="13">
        <f>IF('Données projet'!$A$166&gt;35,DO50+DN51-DW50,IF(A51&lt;'Données projet'!$A$166,$DL$205^A51,IF(A51='Données projet'!$A$166,'Données projet'!$B$166,DO50+DN51-DW50)))</f>
        <v>267.80000000000007</v>
      </c>
      <c r="DP51" s="18">
        <f>DO51*VLOOKUP('Données projet'!$B$14,Paramètres!$A$1:$I$89,3,0)*VLOOKUP('Données projet'!$B$14,Paramètres!$A$1:$I$89,5,0)</f>
        <v>196.35096000000004</v>
      </c>
      <c r="DQ51" s="14">
        <f t="shared" si="43"/>
        <v>48.941361774933419</v>
      </c>
      <c r="DR51" s="22">
        <f t="shared" si="16"/>
        <v>427.21746042467572</v>
      </c>
      <c r="DS51" s="62">
        <f t="shared" si="17"/>
        <v>720.55079375800904</v>
      </c>
      <c r="DT51" s="62">
        <f ca="1">AVERAGE(OFFSET($DS$3,0,0,'Données projet'!$E$14+1,1))-AVERAGE(OFFSET($H$3,0,0,'Données projet'!$E$14+1,1))</f>
        <v>344.63665697794022</v>
      </c>
      <c r="DU51" s="62">
        <f t="shared" si="44"/>
        <v>376.72762011188041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6.0256410256410273</v>
      </c>
      <c r="EJ51" s="13">
        <f>IF('Données projet'!$A$192&gt;35,EJ50+EI51-ER50,IF(A51&lt;'Données projet'!$A$192,$EG$205^A51,IF(A51='Données projet'!$A$192,'Données projet'!$B$192,EJ50+EI51-ER50)))</f>
        <v>175.12820512820505</v>
      </c>
      <c r="EK51" s="18">
        <f>EJ51*VLOOKUP('Données projet'!$B$15,Paramètres!$A$1:$I$89,3,0)*VLOOKUP('Données projet'!$B$15,Paramètres!$A$1:$I$89,5,0)</f>
        <v>166.65199999999993</v>
      </c>
      <c r="EL51" s="14">
        <f t="shared" si="45"/>
        <v>42.339317127801309</v>
      </c>
      <c r="EM51" s="22">
        <f t="shared" si="19"/>
        <v>363.99321066425381</v>
      </c>
      <c r="EN51" s="62">
        <f t="shared" si="20"/>
        <v>657.32654399758712</v>
      </c>
      <c r="EO51" s="62">
        <f ca="1">AVERAGE(OFFSET($EN$3,0,0,'Données projet'!$E$15+1,1))-AVERAGE(OFFSET($H$3,0,0,'Données projet'!$E$15+1,1))</f>
        <v>406.24139966722936</v>
      </c>
      <c r="EP51" s="62">
        <f t="shared" si="46"/>
        <v>295.95724296920577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11</v>
      </c>
      <c r="FE51" s="13">
        <f>IF('Données projet'!$A$218&gt;35,FE50+FD51-FM50,IF(A51&lt;'Données projet'!$A$218,$FB$205^A51,IF(A51='Données projet'!$A$218,'Données projet'!$B$218,FE50+FD51-FM50)))</f>
        <v>209.00000000000006</v>
      </c>
      <c r="FF51" s="18">
        <f>FE51*VLOOKUP('Données projet'!$B$16,Paramètres!$A$1:$I$89,3,0)*VLOOKUP('Données projet'!$B$16,Paramètres!$A$1:$I$89,5,0)</f>
        <v>202.14480000000006</v>
      </c>
      <c r="FG51" s="14">
        <f t="shared" si="47"/>
        <v>50.215236821738628</v>
      </c>
      <c r="FH51" s="22">
        <f t="shared" si="22"/>
        <v>439.52706413119489</v>
      </c>
      <c r="FI51" s="62">
        <f t="shared" si="23"/>
        <v>732.86039746452821</v>
      </c>
      <c r="FJ51" s="62">
        <f ca="1">AVERAGE(OFFSET($FI$3,0,0,'Données projet'!$E$16+1,1))-AVERAGE(OFFSET($H$3,0,0,'Données projet'!$E$16+1,1))</f>
        <v>540.83352418045502</v>
      </c>
      <c r="FK51" s="62">
        <f t="shared" si="48"/>
        <v>294.45557293177131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10.375</v>
      </c>
      <c r="FZ51" s="13">
        <f>IF('Données projet'!$A$244&gt;35,FZ50+FY51-GH50,IF(A51&lt;'Données projet'!$A$244,$FW$205^A51,IF(A51='Données projet'!$A$244,'Données projet'!$B$244,FZ50+FY51-GH50)))</f>
        <v>228.49999999999994</v>
      </c>
      <c r="GA51" s="18">
        <f>FZ51*VLOOKUP('Données projet'!$B$17,Paramètres!$A$1:$I$89,3,0)*VLOOKUP('Données projet'!$B$17,Paramètres!$A$1:$I$89,5,0)</f>
        <v>178.22999999999996</v>
      </c>
      <c r="GB51" s="14">
        <f t="shared" si="49"/>
        <v>44.928167580487852</v>
      </c>
      <c r="GC51" s="22">
        <f t="shared" si="25"/>
        <v>388.66714186934956</v>
      </c>
      <c r="GD51" s="62">
        <f t="shared" si="26"/>
        <v>682.00047520268288</v>
      </c>
      <c r="GE51" s="62">
        <f ca="1">AVERAGE(OFFSET($GD$3,0,0,'Données projet'!$E$17+1,1))-AVERAGE(OFFSET($H$3,0,0,'Données projet'!$E$17+1,1))</f>
        <v>292.57482726862594</v>
      </c>
      <c r="GF51" s="62">
        <f t="shared" si="50"/>
        <v>283.48738729114024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6.6666666666666687</v>
      </c>
      <c r="GU51" s="13">
        <f>IF('Données projet'!$A$270&gt;35,GU50+GT51-HC50,IF(A51&lt;'Données projet'!$A$270,$GR$205^A51,IF(A51='Données projet'!$A$270,'Données projet'!$B$270,GU50+GT51-HC50)))</f>
        <v>213.58974358974362</v>
      </c>
      <c r="GV51" s="18">
        <f>GU51*VLOOKUP('Données projet'!$B$18,Paramètres!$A$1:$I$89,3,0)*VLOOKUP('Données projet'!$B$18,Paramètres!$A$1:$I$89,5,0)</f>
        <v>143.27600000000004</v>
      </c>
      <c r="GW51" s="14">
        <f t="shared" si="51"/>
        <v>37.04647781208471</v>
      </c>
      <c r="GX51" s="22">
        <f t="shared" si="28"/>
        <v>314.06164885604761</v>
      </c>
      <c r="GY51" s="62">
        <f t="shared" si="29"/>
        <v>607.39498218938093</v>
      </c>
      <c r="GZ51" s="62">
        <f ca="1">AVERAGE(OFFSET($GY$3,0,0,'Données projet'!$E$18+1,1))-AVERAGE(OFFSET($H$3,0,0,'Données projet'!$E$18+1,1))</f>
        <v>343.33067866534634</v>
      </c>
      <c r="HA51" s="62">
        <f t="shared" si="52"/>
        <v>261.91036689641402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508.77990078889337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projet'!$B$10,Paramètres!$A$1:$I$89,3,0)*VLOOKUP('Données projet'!$B$10,Paramètres!$A$1:$I$89,5,0)</f>
        <v>223.08000000000004</v>
      </c>
      <c r="AK52" s="14">
        <f t="shared" si="35"/>
        <v>54.783765878062667</v>
      </c>
      <c r="AL52" s="22">
        <f t="shared" si="4"/>
        <v>483.94605890429256</v>
      </c>
      <c r="AM52" s="62">
        <f t="shared" si="5"/>
        <v>777.27939223762587</v>
      </c>
      <c r="AN52" s="62">
        <f ca="1">AVERAGE(OFFSET($AM$3,0,0,'Données projet'!$E$10+1,1))-AVERAGE(OFFSET($H$3,0,0,'Données projet'!$E$10+1,1))</f>
        <v>564.84596170333884</v>
      </c>
      <c r="AO52" s="62">
        <f t="shared" si="36"/>
        <v>306.61893266146666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8.6</v>
      </c>
      <c r="BD52" s="13">
        <f>IF('Données projet'!$A$88&gt;35,BD51+BC52-BL51,IF(A52&lt;'Données projet'!$A$88,$BA$205^A52,IF(A52='Données projet'!$A$88,'Données projet'!$B$88,BD51+BC52-BL51)))</f>
        <v>276.40000000000009</v>
      </c>
      <c r="BE52" s="14">
        <f>BD52*VLOOKUP('Données projet'!$B$11,Paramètres!$A$1:$I$89,3,0)*VLOOKUP('Données projet'!$B$11,Paramètres!$A$1:$I$89,5,0)</f>
        <v>219.90384000000009</v>
      </c>
      <c r="BF52" s="14">
        <f t="shared" si="37"/>
        <v>54.093985287951313</v>
      </c>
      <c r="BG52" s="22">
        <f t="shared" si="7"/>
        <v>477.212879043182</v>
      </c>
      <c r="BH52" s="62">
        <f t="shared" si="8"/>
        <v>770.54621237651531</v>
      </c>
      <c r="BI52" s="62">
        <f ca="1">AVERAGE(OFFSET($BH$3,0,0,'Données projet'!$E$11+1,1))-AVERAGE(OFFSET($H$3,0,0,'Données projet'!$E$11+1,1))</f>
        <v>370.79299728190904</v>
      </c>
      <c r="BJ52" s="62">
        <f t="shared" si="38"/>
        <v>404.95703400805775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8.6</v>
      </c>
      <c r="BY52" s="13">
        <f>IF('Données projet'!$A$114&gt;35,BY51+BX52-CG51,IF(A52&lt;'Données projet'!$A$114,$BV$205^A52,IF(A52='Données projet'!$A$114,'Données projet'!$B$114,BY51+BX52-CG51)))</f>
        <v>276.40000000000009</v>
      </c>
      <c r="BZ52" s="14">
        <f>BY52*VLOOKUP('Données projet'!$B$12,Paramètres!$A$1:$I$89,3,0)*VLOOKUP('Données projet'!$B$12,Paramètres!$A$1:$I$89,5,0)</f>
        <v>219.90384000000009</v>
      </c>
      <c r="CA52" s="14">
        <f t="shared" si="39"/>
        <v>54.093985287951313</v>
      </c>
      <c r="CB52" s="22">
        <f t="shared" si="10"/>
        <v>477.212879043182</v>
      </c>
      <c r="CC52" s="62">
        <f t="shared" si="11"/>
        <v>770.54621237651531</v>
      </c>
      <c r="CD52" s="62">
        <f ca="1">AVERAGE(OFFSET($CC$3,0,0,'Données projet'!$E$12+1,1))-AVERAGE(OFFSET($H$3,0,0,'Données projet'!$E$12+1,1))</f>
        <v>370.79299728190904</v>
      </c>
      <c r="CE52" s="62">
        <f t="shared" si="40"/>
        <v>404.95703400805775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</v>
      </c>
      <c r="CT52" s="13">
        <f>IF('Données projet'!$A$140&gt;35,CT51+CS52-DB51,IF(A52&lt;'Données projet'!$A$140,$CQ$205^A52,IF(A52='Données projet'!$A$140,'Données projet'!$B$140,CT51+CS52-DB51)))</f>
        <v>232.99999999999983</v>
      </c>
      <c r="CU52" s="18">
        <f>CT52*VLOOKUP('Données projet'!$B$13,Paramètres!$A$1:$I$89,3,0)*VLOOKUP('Données projet'!$B$13,Paramètres!$A$1:$I$89,5,0)</f>
        <v>203.54879999999986</v>
      </c>
      <c r="CV52" s="14">
        <f t="shared" si="41"/>
        <v>50.523286400023437</v>
      </c>
      <c r="CW52" s="22">
        <f t="shared" si="13"/>
        <v>442.50888381337387</v>
      </c>
      <c r="CX52" s="62">
        <f t="shared" si="14"/>
        <v>735.84221714670718</v>
      </c>
      <c r="CY52" s="62">
        <f ca="1">AVERAGE(OFFSET($CX$3,0,0,'Données projet'!$E$13+1,1))-AVERAGE(OFFSET($H$3,0,0,'Données projet'!$E$13+1,1))</f>
        <v>339.58437495284466</v>
      </c>
      <c r="CZ52" s="62">
        <f t="shared" si="42"/>
        <v>371.26234252426531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8.6</v>
      </c>
      <c r="DO52" s="13">
        <f>IF('Données projet'!$A$166&gt;35,DO51+DN52-DW51,IF(A52&lt;'Données projet'!$A$166,$DL$205^A52,IF(A52='Données projet'!$A$166,'Données projet'!$B$166,DO51+DN52-DW51)))</f>
        <v>276.40000000000009</v>
      </c>
      <c r="DP52" s="18">
        <f>DO52*VLOOKUP('Données projet'!$B$14,Paramètres!$A$1:$I$89,3,0)*VLOOKUP('Données projet'!$B$14,Paramètres!$A$1:$I$89,5,0)</f>
        <v>202.65648000000007</v>
      </c>
      <c r="DQ52" s="14">
        <f t="shared" si="43"/>
        <v>50.327532531948449</v>
      </c>
      <c r="DR52" s="22">
        <f t="shared" si="16"/>
        <v>440.61382182647702</v>
      </c>
      <c r="DS52" s="62">
        <f t="shared" si="17"/>
        <v>733.94715515981034</v>
      </c>
      <c r="DT52" s="62">
        <f ca="1">AVERAGE(OFFSET($DS$3,0,0,'Données projet'!$E$14+1,1))-AVERAGE(OFFSET($H$3,0,0,'Données projet'!$E$14+1,1))</f>
        <v>344.63665697794022</v>
      </c>
      <c r="DU52" s="62">
        <f t="shared" si="44"/>
        <v>376.72762011188041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6.0256410256410273</v>
      </c>
      <c r="EJ52" s="13">
        <f>IF('Données projet'!$A$192&gt;35,EJ51+EI52-ER51,IF(A52&lt;'Données projet'!$A$192,$EG$205^A52,IF(A52='Données projet'!$A$192,'Données projet'!$B$192,EJ51+EI52-ER51)))</f>
        <v>181.15384615384608</v>
      </c>
      <c r="EK52" s="18">
        <f>EJ52*VLOOKUP('Données projet'!$B$15,Paramètres!$A$1:$I$89,3,0)*VLOOKUP('Données projet'!$B$15,Paramètres!$A$1:$I$89,5,0)</f>
        <v>172.38599999999991</v>
      </c>
      <c r="EL52" s="14">
        <f t="shared" si="45"/>
        <v>43.623973962324399</v>
      </c>
      <c r="EM52" s="22">
        <f t="shared" si="19"/>
        <v>376.21737131771482</v>
      </c>
      <c r="EN52" s="62">
        <f t="shared" si="20"/>
        <v>669.55070465104814</v>
      </c>
      <c r="EO52" s="62">
        <f ca="1">AVERAGE(OFFSET($EN$3,0,0,'Données projet'!$E$15+1,1))-AVERAGE(OFFSET($H$3,0,0,'Données projet'!$E$15+1,1))</f>
        <v>406.24139966722936</v>
      </c>
      <c r="EP52" s="62">
        <f t="shared" si="46"/>
        <v>295.95724296920577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11</v>
      </c>
      <c r="FE52" s="13">
        <f>IF('Données projet'!$A$218&gt;35,FE51+FD52-FM51,IF(A52&lt;'Données projet'!$A$218,$FB$205^A52,IF(A52='Données projet'!$A$218,'Données projet'!$B$218,FE51+FD52-FM51)))</f>
        <v>220.00000000000006</v>
      </c>
      <c r="FF52" s="18">
        <f>FE52*VLOOKUP('Données projet'!$B$16,Paramètres!$A$1:$I$89,3,0)*VLOOKUP('Données projet'!$B$16,Paramètres!$A$1:$I$89,5,0)</f>
        <v>212.78400000000005</v>
      </c>
      <c r="FG52" s="14">
        <f t="shared" si="47"/>
        <v>52.543492641808108</v>
      </c>
      <c r="FH52" s="22">
        <f t="shared" si="22"/>
        <v>462.11204968448243</v>
      </c>
      <c r="FI52" s="62">
        <f t="shared" si="23"/>
        <v>755.44538301781574</v>
      </c>
      <c r="FJ52" s="62">
        <f ca="1">AVERAGE(OFFSET($FI$3,0,0,'Données projet'!$E$16+1,1))-AVERAGE(OFFSET($H$3,0,0,'Données projet'!$E$16+1,1))</f>
        <v>540.83352418045502</v>
      </c>
      <c r="FK52" s="62">
        <f t="shared" si="48"/>
        <v>294.45557293177131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10.375</v>
      </c>
      <c r="FZ52" s="13">
        <f>IF('Données projet'!$A$244&gt;35,FZ51+FY52-GH51,IF(A52&lt;'Données projet'!$A$244,$FW$205^A52,IF(A52='Données projet'!$A$244,'Données projet'!$B$244,FZ51+FY52-GH51)))</f>
        <v>238.87499999999994</v>
      </c>
      <c r="GA52" s="18">
        <f>FZ52*VLOOKUP('Données projet'!$B$17,Paramètres!$A$1:$I$89,3,0)*VLOOKUP('Données projet'!$B$17,Paramètres!$A$1:$I$89,5,0)</f>
        <v>186.32249999999996</v>
      </c>
      <c r="GB52" s="14">
        <f t="shared" si="49"/>
        <v>46.725987276254116</v>
      </c>
      <c r="GC52" s="22">
        <f t="shared" si="25"/>
        <v>405.89278200614257</v>
      </c>
      <c r="GD52" s="62">
        <f t="shared" si="26"/>
        <v>699.22611533947588</v>
      </c>
      <c r="GE52" s="62">
        <f ca="1">AVERAGE(OFFSET($GD$3,0,0,'Données projet'!$E$17+1,1))-AVERAGE(OFFSET($H$3,0,0,'Données projet'!$E$17+1,1))</f>
        <v>292.57482726862594</v>
      </c>
      <c r="GF52" s="62">
        <f t="shared" si="50"/>
        <v>283.48738729114024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6.6666666666666687</v>
      </c>
      <c r="GU52" s="13">
        <f>IF('Données projet'!$A$270&gt;35,GU51+GT52-HC51,IF(A52&lt;'Données projet'!$A$270,$GR$205^A52,IF(A52='Données projet'!$A$270,'Données projet'!$B$270,GU51+GT52-HC51)))</f>
        <v>220.25641025641028</v>
      </c>
      <c r="GV52" s="18">
        <f>GU52*VLOOKUP('Données projet'!$B$18,Paramètres!$A$1:$I$89,3,0)*VLOOKUP('Données projet'!$B$18,Paramètres!$A$1:$I$89,5,0)</f>
        <v>147.74800000000002</v>
      </c>
      <c r="GW52" s="14">
        <f t="shared" si="51"/>
        <v>38.066360844681896</v>
      </c>
      <c r="GX52" s="22">
        <f t="shared" si="28"/>
        <v>323.62667847115432</v>
      </c>
      <c r="GY52" s="62">
        <f t="shared" si="29"/>
        <v>616.96001180448764</v>
      </c>
      <c r="GZ52" s="62">
        <f ca="1">AVERAGE(OFFSET($GY$3,0,0,'Données projet'!$E$18+1,1))-AVERAGE(OFFSET($H$3,0,0,'Données projet'!$E$18+1,1))</f>
        <v>343.33067866534634</v>
      </c>
      <c r="HA52" s="62">
        <f t="shared" si="52"/>
        <v>261.91036689641402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508.77990078889337</v>
      </c>
      <c r="T53" s="62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projet'!$B$10,Paramètres!$A$1:$I$89,3,0)*VLOOKUP('Données projet'!$B$10,Paramètres!$A$1:$I$89,5,0)</f>
        <v>234.23400000000007</v>
      </c>
      <c r="AK53" s="14">
        <f t="shared" si="35"/>
        <v>57.197197133603488</v>
      </c>
      <c r="AL53" s="22">
        <f t="shared" si="4"/>
        <v>507.57600167435953</v>
      </c>
      <c r="AM53" s="62">
        <f t="shared" si="5"/>
        <v>800.90933500769279</v>
      </c>
      <c r="AN53" s="62">
        <f ca="1">AVERAGE(OFFSET($AM$3,0,0,'Données projet'!$E$10+1,1))-AVERAGE(OFFSET($H$3,0,0,'Données projet'!$E$10+1,1))</f>
        <v>564.84596170333884</v>
      </c>
      <c r="AO53" s="62">
        <f t="shared" si="36"/>
        <v>306.61893266146666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285</v>
      </c>
      <c r="BB53" s="13">
        <f>VLOOKUP(A53,'Données projet'!$A$87:$I$107,9,0)</f>
        <v>8.6</v>
      </c>
      <c r="BC53" s="13">
        <f t="array" ref="BC53">INDEX(BB:BB,MIN(IF(ISNUMBER(BB53:BB249),ROW(BB53:BB249),"")))</f>
        <v>8.6</v>
      </c>
      <c r="BD53" s="13">
        <f>IF('Données projet'!$A$88&gt;35,BD52+BC53-BL52,IF(A53&lt;'Données projet'!$A$88,$BA$205^A53,IF(A53='Données projet'!$A$88,'Données projet'!$B$88,BD52+BC53-BL52)))</f>
        <v>285.00000000000011</v>
      </c>
      <c r="BE53" s="14">
        <f>BD53*VLOOKUP('Données projet'!$B$11,Paramètres!$A$1:$I$89,3,0)*VLOOKUP('Données projet'!$B$11,Paramètres!$A$1:$I$89,5,0)</f>
        <v>226.74600000000009</v>
      </c>
      <c r="BF53" s="14">
        <f t="shared" si="37"/>
        <v>55.578508240245966</v>
      </c>
      <c r="BG53" s="22">
        <f t="shared" si="7"/>
        <v>491.71518518509515</v>
      </c>
      <c r="BH53" s="62">
        <f t="shared" si="8"/>
        <v>785.04851851842841</v>
      </c>
      <c r="BI53" s="62">
        <f ca="1">AVERAGE(OFFSET($BH$3,0,0,'Données projet'!$E$11+1,1))-AVERAGE(OFFSET($H$3,0,0,'Données projet'!$E$11+1,1))</f>
        <v>370.79299728190904</v>
      </c>
      <c r="BJ53" s="62">
        <f t="shared" si="38"/>
        <v>404.95703400805775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285</v>
      </c>
      <c r="BW53" s="13">
        <f>VLOOKUP(A53,'Données projet'!$A$113:$I$133,9,0)</f>
        <v>8.6</v>
      </c>
      <c r="BX53" s="13">
        <f t="array" ref="BX53">INDEX(BW:BW,MIN(IF(ISNUMBER(BW53:BW249),ROW(BW53:BW249),"")))</f>
        <v>8.6</v>
      </c>
      <c r="BY53" s="13">
        <f>IF('Données projet'!$A$114&gt;35,BY52+BX53-CG52,IF(A53&lt;'Données projet'!$A$114,$BV$205^A53,IF(A53='Données projet'!$A$114,'Données projet'!$B$114,BY52+BX53-CG52)))</f>
        <v>285.00000000000011</v>
      </c>
      <c r="BZ53" s="14">
        <f>BY53*VLOOKUP('Données projet'!$B$12,Paramètres!$A$1:$I$89,3,0)*VLOOKUP('Données projet'!$B$12,Paramètres!$A$1:$I$89,5,0)</f>
        <v>226.74600000000009</v>
      </c>
      <c r="CA53" s="14">
        <f t="shared" si="39"/>
        <v>55.578508240245966</v>
      </c>
      <c r="CB53" s="22">
        <f t="shared" si="10"/>
        <v>491.71518518509515</v>
      </c>
      <c r="CC53" s="62">
        <f t="shared" si="11"/>
        <v>785.04851851842841</v>
      </c>
      <c r="CD53" s="62">
        <f ca="1">AVERAGE(OFFSET($CC$3,0,0,'Données projet'!$E$12+1,1))-AVERAGE(OFFSET($H$3,0,0,'Données projet'!$E$12+1,1))</f>
        <v>370.79299728190904</v>
      </c>
      <c r="CE53" s="62">
        <f t="shared" si="40"/>
        <v>404.95703400805775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240</v>
      </c>
      <c r="CR53" s="13">
        <f>VLOOKUP(A53,'Données projet'!$A$139:$I$159,9,0)</f>
        <v>7</v>
      </c>
      <c r="CS53" s="13">
        <f t="array" ref="CS53">INDEX(CR:CR,MIN(IF(ISNUMBER(CR53:CR249),ROW(CR53:CR249),"")))</f>
        <v>7</v>
      </c>
      <c r="CT53" s="13">
        <f>IF('Données projet'!$A$140&gt;35,CT52+CS53-DB52,IF(A53&lt;'Données projet'!$A$140,$CQ$205^A53,IF(A53='Données projet'!$A$140,'Données projet'!$B$140,CT52+CS53-DB52)))</f>
        <v>239.99999999999983</v>
      </c>
      <c r="CU53" s="18">
        <f>CT53*VLOOKUP('Données projet'!$B$13,Paramètres!$A$1:$I$89,3,0)*VLOOKUP('Données projet'!$B$13,Paramètres!$A$1:$I$89,5,0)</f>
        <v>209.66399999999987</v>
      </c>
      <c r="CV53" s="14">
        <f t="shared" si="41"/>
        <v>51.862154403304487</v>
      </c>
      <c r="CW53" s="22">
        <f t="shared" si="13"/>
        <v>455.4913855857551</v>
      </c>
      <c r="CX53" s="62">
        <f t="shared" si="14"/>
        <v>748.82471891908835</v>
      </c>
      <c r="CY53" s="62">
        <f ca="1">AVERAGE(OFFSET($CX$3,0,0,'Données projet'!$E$13+1,1))-AVERAGE(OFFSET($H$3,0,0,'Données projet'!$E$13+1,1))</f>
        <v>339.58437495284466</v>
      </c>
      <c r="CZ53" s="62">
        <f t="shared" si="42"/>
        <v>371.26234252426531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39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285</v>
      </c>
      <c r="DM53" s="13">
        <f>VLOOKUP(A53,'Données projet'!$A$165:$I$185,9,0)</f>
        <v>8.6</v>
      </c>
      <c r="DN53" s="13">
        <f t="array" ref="DN53">INDEX(DM:DM,MIN(IF(ISNUMBER(DM53:DM249),ROW(DM53:DM249),"")))</f>
        <v>8.6</v>
      </c>
      <c r="DO53" s="13">
        <f>IF('Données projet'!$A$166&gt;35,DO52+DN53-DW52,IF(A53&lt;'Données projet'!$A$166,$DL$205^A53,IF(A53='Données projet'!$A$166,'Données projet'!$B$166,DO52+DN53-DW52)))</f>
        <v>285.00000000000011</v>
      </c>
      <c r="DP53" s="18">
        <f>DO53*VLOOKUP('Données projet'!$B$14,Paramètres!$A$1:$I$89,3,0)*VLOOKUP('Données projet'!$B$14,Paramètres!$A$1:$I$89,5,0)</f>
        <v>208.96200000000007</v>
      </c>
      <c r="DQ53" s="14">
        <f t="shared" si="43"/>
        <v>51.708691209356424</v>
      </c>
      <c r="DR53" s="22">
        <f t="shared" si="16"/>
        <v>454.00145385629588</v>
      </c>
      <c r="DS53" s="62">
        <f t="shared" si="17"/>
        <v>747.3347871896292</v>
      </c>
      <c r="DT53" s="62">
        <f ca="1">AVERAGE(OFFSET($DS$3,0,0,'Données projet'!$E$14+1,1))-AVERAGE(OFFSET($H$3,0,0,'Données projet'!$E$14+1,1))</f>
        <v>344.63665697794022</v>
      </c>
      <c r="DU53" s="62">
        <f t="shared" si="44"/>
        <v>376.72762011188041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43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187.17948717948718</v>
      </c>
      <c r="EH53" s="13">
        <f>VLOOKUP(A53,'Données projet'!$A$191:$I$211,9,0)</f>
        <v>6.0256410256410273</v>
      </c>
      <c r="EI53" s="13">
        <f t="array" ref="EI53">INDEX(EH:EH,MIN(IF(ISNUMBER(EH53:EH249),ROW(EH53:EH249),"")))</f>
        <v>6.0256410256410273</v>
      </c>
      <c r="EJ53" s="13">
        <f>IF('Données projet'!$A$192&gt;35,EJ52+EI53-ER52,IF(A53&lt;'Données projet'!$A$192,$EG$205^A53,IF(A53='Données projet'!$A$192,'Données projet'!$B$192,EJ52+EI53-ER52)))</f>
        <v>187.1794871794871</v>
      </c>
      <c r="EK53" s="18">
        <f>EJ53*VLOOKUP('Données projet'!$B$15,Paramètres!$A$1:$I$89,3,0)*VLOOKUP('Données projet'!$B$15,Paramètres!$A$1:$I$89,5,0)</f>
        <v>178.11999999999992</v>
      </c>
      <c r="EL53" s="14">
        <f t="shared" si="45"/>
        <v>44.90366556024162</v>
      </c>
      <c r="EM53" s="22">
        <f t="shared" si="19"/>
        <v>388.4328841840873</v>
      </c>
      <c r="EN53" s="62">
        <f t="shared" si="20"/>
        <v>681.76621751742061</v>
      </c>
      <c r="EO53" s="62">
        <f ca="1">AVERAGE(OFFSET($EN$3,0,0,'Données projet'!$E$15+1,1))-AVERAGE(OFFSET($H$3,0,0,'Données projet'!$E$15+1,1))</f>
        <v>406.24139966722936</v>
      </c>
      <c r="EP53" s="62">
        <f t="shared" si="46"/>
        <v>295.95724296920577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231</v>
      </c>
      <c r="FC53" s="13">
        <f>VLOOKUP(A53,'Données projet'!$A$217:$I$237,9,0)</f>
        <v>11</v>
      </c>
      <c r="FD53" s="13">
        <f t="array" ref="FD53">INDEX(FC:FC,MIN(IF(ISNUMBER(FC53:FC249),ROW(FC53:FC249),"")))</f>
        <v>11</v>
      </c>
      <c r="FE53" s="13">
        <f>IF('Données projet'!$A$218&gt;35,FE52+FD53-FM52,IF(A53&lt;'Données projet'!$A$218,$FB$205^A53,IF(A53='Données projet'!$A$218,'Données projet'!$B$218,FE52+FD53-FM52)))</f>
        <v>231.00000000000006</v>
      </c>
      <c r="FF53" s="18">
        <f>FE53*VLOOKUP('Données projet'!$B$16,Paramètres!$A$1:$I$89,3,0)*VLOOKUP('Données projet'!$B$16,Paramètres!$A$1:$I$89,5,0)</f>
        <v>223.42320000000004</v>
      </c>
      <c r="FG53" s="14">
        <f t="shared" si="47"/>
        <v>54.858231422257631</v>
      </c>
      <c r="FH53" s="22">
        <f t="shared" si="22"/>
        <v>484.67349306043207</v>
      </c>
      <c r="FI53" s="62">
        <f t="shared" si="23"/>
        <v>778.00682639376532</v>
      </c>
      <c r="FJ53" s="62">
        <f ca="1">AVERAGE(OFFSET($FI$3,0,0,'Données projet'!$E$16+1,1))-AVERAGE(OFFSET($H$3,0,0,'Données projet'!$E$16+1,1))</f>
        <v>540.83352418045502</v>
      </c>
      <c r="FK53" s="62">
        <f t="shared" si="48"/>
        <v>294.45557293177131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10.375</v>
      </c>
      <c r="FZ53" s="13">
        <f>IF('Données projet'!$A$244&gt;35,FZ52+FY53-GH52,IF(A53&lt;'Données projet'!$A$244,$FW$205^A53,IF(A53='Données projet'!$A$244,'Données projet'!$B$244,FZ52+FY53-GH52)))</f>
        <v>249.24999999999994</v>
      </c>
      <c r="GA53" s="18">
        <f>FZ53*VLOOKUP('Données projet'!$B$17,Paramètres!$A$1:$I$89,3,0)*VLOOKUP('Données projet'!$B$17,Paramètres!$A$1:$I$89,5,0)</f>
        <v>194.41499999999996</v>
      </c>
      <c r="GB53" s="14">
        <f t="shared" si="49"/>
        <v>48.514737888684969</v>
      </c>
      <c r="GC53" s="22">
        <f t="shared" si="25"/>
        <v>423.1026268227929</v>
      </c>
      <c r="GD53" s="62">
        <f t="shared" si="26"/>
        <v>716.43596015612616</v>
      </c>
      <c r="GE53" s="62">
        <f ca="1">AVERAGE(OFFSET($GD$3,0,0,'Données projet'!$E$17+1,1))-AVERAGE(OFFSET($H$3,0,0,'Données projet'!$E$17+1,1))</f>
        <v>292.57482726862594</v>
      </c>
      <c r="GF53" s="62">
        <f t="shared" si="50"/>
        <v>283.48738729114024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226.92307692307691</v>
      </c>
      <c r="GS53" s="13">
        <f>VLOOKUP(A53,'Données projet'!$A$269:$I$289,9,0)</f>
        <v>6.6666666666666687</v>
      </c>
      <c r="GT53" s="13">
        <f t="array" ref="GT53">INDEX(GS:GS,MIN(IF(ISNUMBER(GS53:GS249),ROW(GS53:GS249),"")))</f>
        <v>6.6666666666666687</v>
      </c>
      <c r="GU53" s="13">
        <f>IF('Données projet'!$A$270&gt;35,GU52+GT53-HC52,IF(A53&lt;'Données projet'!$A$270,$GR$205^A53,IF(A53='Données projet'!$A$270,'Données projet'!$B$270,GU52+GT53-HC52)))</f>
        <v>226.92307692307693</v>
      </c>
      <c r="GV53" s="18">
        <f>GU53*VLOOKUP('Données projet'!$B$18,Paramètres!$A$1:$I$89,3,0)*VLOOKUP('Données projet'!$B$18,Paramètres!$A$1:$I$89,5,0)</f>
        <v>152.22</v>
      </c>
      <c r="GW53" s="14">
        <f t="shared" si="51"/>
        <v>39.082656403139858</v>
      </c>
      <c r="GX53" s="22">
        <f t="shared" si="28"/>
        <v>333.18545990213522</v>
      </c>
      <c r="GY53" s="62">
        <f t="shared" si="29"/>
        <v>626.51879323546859</v>
      </c>
      <c r="GZ53" s="62">
        <f ca="1">AVERAGE(OFFSET($GY$3,0,0,'Données projet'!$E$18+1,1))-AVERAGE(OFFSET($H$3,0,0,'Données projet'!$E$18+1,1))</f>
        <v>343.33067866534634</v>
      </c>
      <c r="HA53" s="62">
        <f t="shared" si="52"/>
        <v>261.91036689641402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767.01346305295999</v>
      </c>
      <c r="S54" s="62">
        <f ca="1">AVERAGE(OFFSET($R$3,0,0,'Données projet'!$E$9+1,1))-AVERAGE(OFFSET($H$3,0,0,'Données projet'!$E$9+1,1))</f>
        <v>508.77990078889337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projet'!$B$10,Paramètres!$A$1:$I$89,3,0)*VLOOKUP('Données projet'!$B$10,Paramètres!$A$1:$I$89,5,0)</f>
        <v>244.57680000000005</v>
      </c>
      <c r="AK54" s="14">
        <f t="shared" si="35"/>
        <v>59.423166060201147</v>
      </c>
      <c r="AL54" s="22">
        <f t="shared" si="4"/>
        <v>529.46660755485038</v>
      </c>
      <c r="AM54" s="62">
        <f t="shared" si="5"/>
        <v>822.79994088818376</v>
      </c>
      <c r="AN54" s="62">
        <f ca="1">AVERAGE(OFFSET($AM$3,0,0,'Données projet'!$E$10+1,1))-AVERAGE(OFFSET($H$3,0,0,'Données projet'!$E$10+1,1))</f>
        <v>564.84596170333884</v>
      </c>
      <c r="AO54" s="62">
        <f t="shared" si="36"/>
        <v>306.61893266146666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249.40000000000009</v>
      </c>
      <c r="BE54" s="14">
        <f>BD54*VLOOKUP('Données projet'!$B$11,Paramètres!$A$1:$I$89,3,0)*VLOOKUP('Données projet'!$B$11,Paramètres!$A$1:$I$89,5,0)</f>
        <v>198.42264000000009</v>
      </c>
      <c r="BF54" s="14">
        <f t="shared" si="37"/>
        <v>49.397352151183256</v>
      </c>
      <c r="BG54" s="22">
        <f t="shared" si="7"/>
        <v>431.61981966331092</v>
      </c>
      <c r="BH54" s="62">
        <f t="shared" si="8"/>
        <v>724.95315299664423</v>
      </c>
      <c r="BI54" s="62">
        <f ca="1">AVERAGE(OFFSET($BH$3,0,0,'Données projet'!$E$11+1,1))-AVERAGE(OFFSET($H$3,0,0,'Données projet'!$E$11+1,1))</f>
        <v>370.79299728190904</v>
      </c>
      <c r="BJ54" s="62">
        <f t="shared" si="38"/>
        <v>404.95703400805775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7.4</v>
      </c>
      <c r="BY54" s="13">
        <f>IF('Données projet'!$A$114&gt;35,BY53+BX54-CG53,IF(A54&lt;'Données projet'!$A$114,$BV$205^A54,IF(A54='Données projet'!$A$114,'Données projet'!$B$114,BY53+BX54-CG53)))</f>
        <v>249.40000000000009</v>
      </c>
      <c r="BZ54" s="14">
        <f>BY54*VLOOKUP('Données projet'!$B$12,Paramètres!$A$1:$I$89,3,0)*VLOOKUP('Données projet'!$B$12,Paramètres!$A$1:$I$89,5,0)</f>
        <v>198.42264000000009</v>
      </c>
      <c r="CA54" s="14">
        <f t="shared" si="39"/>
        <v>49.397352151183256</v>
      </c>
      <c r="CB54" s="22">
        <f t="shared" si="10"/>
        <v>431.61981966331092</v>
      </c>
      <c r="CC54" s="62">
        <f t="shared" si="11"/>
        <v>724.95315299664423</v>
      </c>
      <c r="CD54" s="62">
        <f ca="1">AVERAGE(OFFSET($CC$3,0,0,'Données projet'!$E$12+1,1))-AVERAGE(OFFSET($H$3,0,0,'Données projet'!$E$12+1,1))</f>
        <v>370.79299728190904</v>
      </c>
      <c r="CE54" s="62">
        <f t="shared" si="40"/>
        <v>404.95703400805775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6.4</v>
      </c>
      <c r="CT54" s="13">
        <f>IF('Données projet'!$A$140&gt;35,CT53+CS54-DB53,IF(A54&lt;'Données projet'!$A$140,$CQ$205^A54,IF(A54='Données projet'!$A$140,'Données projet'!$B$140,CT53+CS54-DB53)))</f>
        <v>207.39999999999984</v>
      </c>
      <c r="CU54" s="18">
        <f>CT54*VLOOKUP('Données projet'!$B$13,Paramètres!$A$1:$I$89,3,0)*VLOOKUP('Données projet'!$B$13,Paramètres!$A$1:$I$89,5,0)</f>
        <v>181.18463999999989</v>
      </c>
      <c r="CV54" s="14">
        <f t="shared" si="41"/>
        <v>45.585646034700282</v>
      </c>
      <c r="CW54" s="22">
        <f t="shared" si="13"/>
        <v>394.9582481771028</v>
      </c>
      <c r="CX54" s="62">
        <f t="shared" si="14"/>
        <v>688.29158151043612</v>
      </c>
      <c r="CY54" s="62">
        <f ca="1">AVERAGE(OFFSET($CX$3,0,0,'Données projet'!$E$13+1,1))-AVERAGE(OFFSET($H$3,0,0,'Données projet'!$E$13+1,1))</f>
        <v>339.58437495284466</v>
      </c>
      <c r="CZ54" s="62">
        <f t="shared" si="42"/>
        <v>371.26234252426531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7.4</v>
      </c>
      <c r="DO54" s="13">
        <f>IF('Données projet'!$A$166&gt;35,DO53+DN54-DW53,IF(A54&lt;'Données projet'!$A$166,$DL$205^A54,IF(A54='Données projet'!$A$166,'Données projet'!$B$166,DO53+DN54-DW53)))</f>
        <v>249.40000000000009</v>
      </c>
      <c r="DP54" s="18">
        <f>DO54*VLOOKUP('Données projet'!$B$14,Paramètres!$A$1:$I$89,3,0)*VLOOKUP('Données projet'!$B$14,Paramètres!$A$1:$I$89,5,0)</f>
        <v>182.86008000000007</v>
      </c>
      <c r="DQ54" s="14">
        <f t="shared" si="43"/>
        <v>45.957916284909516</v>
      </c>
      <c r="DR54" s="22">
        <f t="shared" si="16"/>
        <v>398.52467686288418</v>
      </c>
      <c r="DS54" s="62">
        <f t="shared" si="17"/>
        <v>691.85801019621749</v>
      </c>
      <c r="DT54" s="62">
        <f ca="1">AVERAGE(OFFSET($DS$3,0,0,'Données projet'!$E$14+1,1))-AVERAGE(OFFSET($H$3,0,0,'Données projet'!$E$14+1,1))</f>
        <v>344.63665697794022</v>
      </c>
      <c r="DU54" s="62">
        <f t="shared" si="44"/>
        <v>376.72762011188041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5.6410256410256405</v>
      </c>
      <c r="EJ54" s="13">
        <f>IF('Données projet'!$A$192&gt;35,EJ53+EI54-ER53,IF(A54&lt;'Données projet'!$A$192,$EG$205^A54,IF(A54='Données projet'!$A$192,'Données projet'!$B$192,EJ53+EI54-ER53)))</f>
        <v>192.82051282051273</v>
      </c>
      <c r="EK54" s="18">
        <f>EJ54*VLOOKUP('Données projet'!$B$15,Paramètres!$A$1:$I$89,3,0)*VLOOKUP('Données projet'!$B$15,Paramètres!$A$1:$I$89,5,0)</f>
        <v>183.48799999999991</v>
      </c>
      <c r="EL54" s="14">
        <f t="shared" si="45"/>
        <v>46.097332970867861</v>
      </c>
      <c r="EM54" s="22">
        <f t="shared" si="19"/>
        <v>399.86112159092801</v>
      </c>
      <c r="EN54" s="62">
        <f t="shared" si="20"/>
        <v>693.19445492426132</v>
      </c>
      <c r="EO54" s="62">
        <f ca="1">AVERAGE(OFFSET($EN$3,0,0,'Données projet'!$E$15+1,1))-AVERAGE(OFFSET($H$3,0,0,'Données projet'!$E$15+1,1))</f>
        <v>406.24139966722936</v>
      </c>
      <c r="EP54" s="62">
        <f t="shared" si="46"/>
        <v>295.95724296920577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10.199999999999999</v>
      </c>
      <c r="FE54" s="13">
        <f>IF('Données projet'!$A$218&gt;35,FE53+FD54-FM53,IF(A54&lt;'Données projet'!$A$218,$FB$205^A54,IF(A54='Données projet'!$A$218,'Données projet'!$B$218,FE53+FD54-FM53)))</f>
        <v>241.20000000000005</v>
      </c>
      <c r="FF54" s="18">
        <f>FE54*VLOOKUP('Données projet'!$B$16,Paramètres!$A$1:$I$89,3,0)*VLOOKUP('Données projet'!$B$16,Paramètres!$A$1:$I$89,5,0)</f>
        <v>233.28864000000007</v>
      </c>
      <c r="FG54" s="14">
        <f t="shared" si="47"/>
        <v>56.993173773170618</v>
      </c>
      <c r="FH54" s="22">
        <f t="shared" si="22"/>
        <v>505.5741589882723</v>
      </c>
      <c r="FI54" s="62">
        <f t="shared" si="23"/>
        <v>798.90749232160556</v>
      </c>
      <c r="FJ54" s="62">
        <f ca="1">AVERAGE(OFFSET($FI$3,0,0,'Données projet'!$E$16+1,1))-AVERAGE(OFFSET($H$3,0,0,'Données projet'!$E$16+1,1))</f>
        <v>540.83352418045502</v>
      </c>
      <c r="FK54" s="62">
        <f t="shared" si="48"/>
        <v>294.45557293177131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10.375</v>
      </c>
      <c r="FZ54" s="13">
        <f>IF('Données projet'!$A$244&gt;35,FZ53+FY54-GH53,IF(A54&lt;'Données projet'!$A$244,$FW$205^A54,IF(A54='Données projet'!$A$244,'Données projet'!$B$244,FZ53+FY54-GH53)))</f>
        <v>259.62499999999994</v>
      </c>
      <c r="GA54" s="18">
        <f>FZ54*VLOOKUP('Données projet'!$B$17,Paramètres!$A$1:$I$89,3,0)*VLOOKUP('Données projet'!$B$17,Paramètres!$A$1:$I$89,5,0)</f>
        <v>202.50749999999996</v>
      </c>
      <c r="GB54" s="14">
        <f t="shared" si="49"/>
        <v>50.294840086606349</v>
      </c>
      <c r="GC54" s="22">
        <f t="shared" si="25"/>
        <v>440.29740898417259</v>
      </c>
      <c r="GD54" s="62">
        <f t="shared" si="26"/>
        <v>733.63074231750591</v>
      </c>
      <c r="GE54" s="62">
        <f ca="1">AVERAGE(OFFSET($GD$3,0,0,'Données projet'!$E$17+1,1))-AVERAGE(OFFSET($H$3,0,0,'Données projet'!$E$17+1,1))</f>
        <v>292.57482726862594</v>
      </c>
      <c r="GF54" s="62">
        <f t="shared" si="50"/>
        <v>283.48738729114024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6.2820512820512819</v>
      </c>
      <c r="GU54" s="13">
        <f>IF('Données projet'!$A$270&gt;35,GU53+GT54-HC53,IF(A54&lt;'Données projet'!$A$270,$GR$205^A54,IF(A54='Données projet'!$A$270,'Données projet'!$B$270,GU53+GT54-HC53)))</f>
        <v>233.2051282051282</v>
      </c>
      <c r="GV54" s="18">
        <f>GU54*VLOOKUP('Données projet'!$B$18,Paramètres!$A$1:$I$89,3,0)*VLOOKUP('Données projet'!$B$18,Paramètres!$A$1:$I$89,5,0)</f>
        <v>156.434</v>
      </c>
      <c r="GW54" s="14">
        <f t="shared" si="51"/>
        <v>40.037142084940008</v>
      </c>
      <c r="GX54" s="22">
        <f t="shared" si="28"/>
        <v>342.18723913127047</v>
      </c>
      <c r="GY54" s="62">
        <f t="shared" si="29"/>
        <v>635.52057246460379</v>
      </c>
      <c r="GZ54" s="62">
        <f ca="1">AVERAGE(OFFSET($GY$3,0,0,'Données projet'!$E$18+1,1))-AVERAGE(OFFSET($H$3,0,0,'Données projet'!$E$18+1,1))</f>
        <v>343.33067866534634</v>
      </c>
      <c r="HA54" s="62">
        <f t="shared" si="52"/>
        <v>261.91036689641402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786.57558808183126</v>
      </c>
      <c r="S55" s="62">
        <f ca="1">AVERAGE(OFFSET($R$3,0,0,'Données projet'!$E$9+1,1))-AVERAGE(OFFSET($H$3,0,0,'Données projet'!$E$9+1,1))</f>
        <v>508.77990078889337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projet'!$B$10,Paramètres!$A$1:$I$89,3,0)*VLOOKUP('Données projet'!$B$10,Paramètres!$A$1:$I$89,5,0)</f>
        <v>254.91960000000006</v>
      </c>
      <c r="AK55" s="14">
        <f t="shared" si="35"/>
        <v>61.638201385772277</v>
      </c>
      <c r="AL55" s="22">
        <f t="shared" si="4"/>
        <v>551.33817074688682</v>
      </c>
      <c r="AM55" s="62">
        <f t="shared" si="5"/>
        <v>844.67150408022007</v>
      </c>
      <c r="AN55" s="62">
        <f ca="1">AVERAGE(OFFSET($AM$3,0,0,'Données projet'!$E$10+1,1))-AVERAGE(OFFSET($H$3,0,0,'Données projet'!$E$10+1,1))</f>
        <v>564.84596170333884</v>
      </c>
      <c r="AO55" s="62">
        <f t="shared" si="36"/>
        <v>306.61893266146666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256.80000000000007</v>
      </c>
      <c r="BE55" s="14">
        <f>BD55*VLOOKUP('Données projet'!$B$11,Paramètres!$A$1:$I$89,3,0)*VLOOKUP('Données projet'!$B$11,Paramètres!$A$1:$I$89,5,0)</f>
        <v>204.31008000000008</v>
      </c>
      <c r="BF55" s="14">
        <f t="shared" si="37"/>
        <v>50.690214235398379</v>
      </c>
      <c r="BG55" s="22">
        <f t="shared" si="7"/>
        <v>444.12551245998566</v>
      </c>
      <c r="BH55" s="62">
        <f t="shared" si="8"/>
        <v>737.45884579331891</v>
      </c>
      <c r="BI55" s="62">
        <f ca="1">AVERAGE(OFFSET($BH$3,0,0,'Données projet'!$E$11+1,1))-AVERAGE(OFFSET($H$3,0,0,'Données projet'!$E$11+1,1))</f>
        <v>370.79299728190904</v>
      </c>
      <c r="BJ55" s="62">
        <f t="shared" si="38"/>
        <v>404.95703400805775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7.4</v>
      </c>
      <c r="BY55" s="13">
        <f>IF('Données projet'!$A$114&gt;35,BY54+BX55-CG54,IF(A55&lt;'Données projet'!$A$114,$BV$205^A55,IF(A55='Données projet'!$A$114,'Données projet'!$B$114,BY54+BX55-CG54)))</f>
        <v>256.80000000000007</v>
      </c>
      <c r="BZ55" s="14">
        <f>BY55*VLOOKUP('Données projet'!$B$12,Paramètres!$A$1:$I$89,3,0)*VLOOKUP('Données projet'!$B$12,Paramètres!$A$1:$I$89,5,0)</f>
        <v>204.31008000000008</v>
      </c>
      <c r="CA55" s="14">
        <f t="shared" si="39"/>
        <v>50.690214235398379</v>
      </c>
      <c r="CB55" s="22">
        <f t="shared" si="10"/>
        <v>444.12551245998566</v>
      </c>
      <c r="CC55" s="62">
        <f t="shared" si="11"/>
        <v>737.45884579331891</v>
      </c>
      <c r="CD55" s="62">
        <f ca="1">AVERAGE(OFFSET($CC$3,0,0,'Données projet'!$E$12+1,1))-AVERAGE(OFFSET($H$3,0,0,'Données projet'!$E$12+1,1))</f>
        <v>370.79299728190904</v>
      </c>
      <c r="CE55" s="62">
        <f t="shared" si="40"/>
        <v>404.95703400805775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6.4</v>
      </c>
      <c r="CT55" s="13">
        <f>IF('Données projet'!$A$140&gt;35,CT54+CS55-DB54,IF(A55&lt;'Données projet'!$A$140,$CQ$205^A55,IF(A55='Données projet'!$A$140,'Données projet'!$B$140,CT54+CS55-DB54)))</f>
        <v>213.79999999999984</v>
      </c>
      <c r="CU55" s="18">
        <f>CT55*VLOOKUP('Données projet'!$B$13,Paramètres!$A$1:$I$89,3,0)*VLOOKUP('Données projet'!$B$13,Paramètres!$A$1:$I$89,5,0)</f>
        <v>186.77567999999988</v>
      </c>
      <c r="CV55" s="14">
        <f t="shared" si="41"/>
        <v>46.826392937381165</v>
      </c>
      <c r="CW55" s="22">
        <f t="shared" si="13"/>
        <v>406.85694369927199</v>
      </c>
      <c r="CX55" s="62">
        <f t="shared" si="14"/>
        <v>700.19027703260531</v>
      </c>
      <c r="CY55" s="62">
        <f ca="1">AVERAGE(OFFSET($CX$3,0,0,'Données projet'!$E$13+1,1))-AVERAGE(OFFSET($H$3,0,0,'Données projet'!$E$13+1,1))</f>
        <v>339.58437495284466</v>
      </c>
      <c r="CZ55" s="62">
        <f t="shared" si="42"/>
        <v>371.26234252426531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7.4</v>
      </c>
      <c r="DO55" s="13">
        <f>IF('Données projet'!$A$166&gt;35,DO54+DN55-DW54,IF(A55&lt;'Données projet'!$A$166,$DL$205^A55,IF(A55='Données projet'!$A$166,'Données projet'!$B$166,DO54+DN55-DW54)))</f>
        <v>256.80000000000007</v>
      </c>
      <c r="DP55" s="18">
        <f>DO55*VLOOKUP('Données projet'!$B$14,Paramètres!$A$1:$I$89,3,0)*VLOOKUP('Données projet'!$B$14,Paramètres!$A$1:$I$89,5,0)</f>
        <v>188.28576000000004</v>
      </c>
      <c r="DQ55" s="14">
        <f t="shared" si="43"/>
        <v>47.160759045639651</v>
      </c>
      <c r="DR55" s="22">
        <f t="shared" si="16"/>
        <v>410.06935400448907</v>
      </c>
      <c r="DS55" s="62">
        <f t="shared" si="17"/>
        <v>703.40268733782239</v>
      </c>
      <c r="DT55" s="62">
        <f ca="1">AVERAGE(OFFSET($DS$3,0,0,'Données projet'!$E$14+1,1))-AVERAGE(OFFSET($H$3,0,0,'Données projet'!$E$14+1,1))</f>
        <v>344.63665697794022</v>
      </c>
      <c r="DU55" s="62">
        <f t="shared" si="44"/>
        <v>376.72762011188041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5.6410256410256405</v>
      </c>
      <c r="EJ55" s="13">
        <f>IF('Données projet'!$A$192&gt;35,EJ54+EI55-ER54,IF(A55&lt;'Données projet'!$A$192,$EG$205^A55,IF(A55='Données projet'!$A$192,'Données projet'!$B$192,EJ54+EI55-ER54)))</f>
        <v>198.46153846153837</v>
      </c>
      <c r="EK55" s="18">
        <f>EJ55*VLOOKUP('Données projet'!$B$15,Paramètres!$A$1:$I$89,3,0)*VLOOKUP('Données projet'!$B$15,Paramètres!$A$1:$I$89,5,0)</f>
        <v>188.85599999999991</v>
      </c>
      <c r="EL55" s="14">
        <f t="shared" si="45"/>
        <v>47.286941864448139</v>
      </c>
      <c r="EM55" s="22">
        <f t="shared" si="19"/>
        <v>411.28229041391364</v>
      </c>
      <c r="EN55" s="62">
        <f t="shared" si="20"/>
        <v>704.6156237472469</v>
      </c>
      <c r="EO55" s="62">
        <f ca="1">AVERAGE(OFFSET($EN$3,0,0,'Données projet'!$E$15+1,1))-AVERAGE(OFFSET($H$3,0,0,'Données projet'!$E$15+1,1))</f>
        <v>406.24139966722936</v>
      </c>
      <c r="EP55" s="62">
        <f t="shared" si="46"/>
        <v>295.95724296920577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10.199999999999999</v>
      </c>
      <c r="FE55" s="13">
        <f>IF('Données projet'!$A$218&gt;35,FE54+FD55-FM54,IF(A55&lt;'Données projet'!$A$218,$FB$205^A55,IF(A55='Données projet'!$A$218,'Données projet'!$B$218,FE54+FD55-FM54)))</f>
        <v>251.40000000000003</v>
      </c>
      <c r="FF55" s="18">
        <f>FE55*VLOOKUP('Données projet'!$B$16,Paramètres!$A$1:$I$89,3,0)*VLOOKUP('Données projet'!$B$16,Paramètres!$A$1:$I$89,5,0)</f>
        <v>243.15408000000005</v>
      </c>
      <c r="FG55" s="14">
        <f t="shared" si="47"/>
        <v>59.117629630943199</v>
      </c>
      <c r="FH55" s="22">
        <f t="shared" si="22"/>
        <v>526.45656094055948</v>
      </c>
      <c r="FI55" s="62">
        <f t="shared" si="23"/>
        <v>819.78989427389274</v>
      </c>
      <c r="FJ55" s="62">
        <f ca="1">AVERAGE(OFFSET($FI$3,0,0,'Données projet'!$E$16+1,1))-AVERAGE(OFFSET($H$3,0,0,'Données projet'!$E$16+1,1))</f>
        <v>540.83352418045502</v>
      </c>
      <c r="FK55" s="62">
        <f t="shared" si="48"/>
        <v>294.45557293177131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>
        <f>VLOOKUP(A55,'Données projet'!$A$243:$I$263,2,0)</f>
        <v>270</v>
      </c>
      <c r="FX55" s="13">
        <f>VLOOKUP(A55,'Données projet'!$A$243:$I$263,9,0)</f>
        <v>10.375</v>
      </c>
      <c r="FY55" s="13">
        <f t="array" ref="FY55">INDEX(FX:FX,MIN(IF(ISNUMBER(FX55:FX251),ROW(FX55:FX251),"")))</f>
        <v>10.375</v>
      </c>
      <c r="FZ55" s="13">
        <f>IF('Données projet'!$A$244&gt;35,FZ54+FY55-GH54,IF(A55&lt;'Données projet'!$A$244,$FW$205^A55,IF(A55='Données projet'!$A$244,'Données projet'!$B$244,FZ54+FY55-GH54)))</f>
        <v>269.99999999999994</v>
      </c>
      <c r="GA55" s="18">
        <f>FZ55*VLOOKUP('Données projet'!$B$17,Paramètres!$A$1:$I$89,3,0)*VLOOKUP('Données projet'!$B$17,Paramètres!$A$1:$I$89,5,0)</f>
        <v>210.59999999999997</v>
      </c>
      <c r="GB55" s="14">
        <f t="shared" si="49"/>
        <v>52.066679014659961</v>
      </c>
      <c r="GC55" s="22">
        <f t="shared" si="25"/>
        <v>457.47779928386598</v>
      </c>
      <c r="GD55" s="62">
        <f t="shared" si="26"/>
        <v>750.81113261719929</v>
      </c>
      <c r="GE55" s="62">
        <f ca="1">AVERAGE(OFFSET($GD$3,0,0,'Données projet'!$E$17+1,1))-AVERAGE(OFFSET($H$3,0,0,'Données projet'!$E$17+1,1))</f>
        <v>292.57482726862594</v>
      </c>
      <c r="GF55" s="62">
        <f t="shared" si="50"/>
        <v>283.48738729114024</v>
      </c>
      <c r="GG55" s="16">
        <f>IF(ISNA(VLOOKUP(A55,'Données projet'!$A$243:$I$263,3,0)),0,VLOOKUP(A55,'Données projet'!$A$243:$I$263,3,0))</f>
        <v>5</v>
      </c>
      <c r="GH55" s="16">
        <f>IF(ISNA(VLOOKUP(A55,'Données projet'!$A$243:$I$263,4,0)),0,VLOOKUP(A55,'Données projet'!$A$243:$I$263,4,0))</f>
        <v>48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6.2820512820512819</v>
      </c>
      <c r="GU55" s="13">
        <f>IF('Données projet'!$A$270&gt;35,GU54+GT55-HC54,IF(A55&lt;'Données projet'!$A$270,$GR$205^A55,IF(A55='Données projet'!$A$270,'Données projet'!$B$270,GU54+GT55-HC54)))</f>
        <v>239.48717948717947</v>
      </c>
      <c r="GV55" s="18">
        <f>GU55*VLOOKUP('Données projet'!$B$18,Paramètres!$A$1:$I$89,3,0)*VLOOKUP('Données projet'!$B$18,Paramètres!$A$1:$I$89,5,0)</f>
        <v>160.648</v>
      </c>
      <c r="GW55" s="14">
        <f t="shared" si="51"/>
        <v>40.988639216339969</v>
      </c>
      <c r="GX55" s="22">
        <f t="shared" si="28"/>
        <v>351.1838133017921</v>
      </c>
      <c r="GY55" s="62">
        <f t="shared" si="29"/>
        <v>644.51714663512541</v>
      </c>
      <c r="GZ55" s="62">
        <f ca="1">AVERAGE(OFFSET($GY$3,0,0,'Données projet'!$E$18+1,1))-AVERAGE(OFFSET($H$3,0,0,'Données projet'!$E$18+1,1))</f>
        <v>343.33067866534634</v>
      </c>
      <c r="HA55" s="62">
        <f t="shared" si="52"/>
        <v>261.91036689641402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806.12127283656628</v>
      </c>
      <c r="S56" s="62">
        <f ca="1">AVERAGE(OFFSET($R$3,0,0,'Données projet'!$E$9+1,1))-AVERAGE(OFFSET($H$3,0,0,'Données projet'!$E$9+1,1))</f>
        <v>508.77990078889337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projet'!$B$10,Paramètres!$A$1:$I$89,3,0)*VLOOKUP('Données projet'!$B$10,Paramètres!$A$1:$I$89,5,0)</f>
        <v>265.26240000000001</v>
      </c>
      <c r="AK56" s="14">
        <f t="shared" si="35"/>
        <v>63.842797461739814</v>
      </c>
      <c r="AL56" s="22">
        <f t="shared" si="4"/>
        <v>573.19155224586348</v>
      </c>
      <c r="AM56" s="62">
        <f t="shared" si="5"/>
        <v>866.52488557919673</v>
      </c>
      <c r="AN56" s="62">
        <f ca="1">AVERAGE(OFFSET($AM$3,0,0,'Données projet'!$E$10+1,1))-AVERAGE(OFFSET($H$3,0,0,'Données projet'!$E$10+1,1))</f>
        <v>564.84596170333884</v>
      </c>
      <c r="AO56" s="62">
        <f t="shared" si="36"/>
        <v>306.61893266146666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264.20000000000005</v>
      </c>
      <c r="BE56" s="14">
        <f>BD56*VLOOKUP('Données projet'!$B$11,Paramètres!$A$1:$I$89,3,0)*VLOOKUP('Données projet'!$B$11,Paramètres!$A$1:$I$89,5,0)</f>
        <v>210.19752000000003</v>
      </c>
      <c r="BF56" s="14">
        <f t="shared" si="37"/>
        <v>51.978746425856599</v>
      </c>
      <c r="BG56" s="22">
        <f t="shared" si="7"/>
        <v>456.62366402503358</v>
      </c>
      <c r="BH56" s="62">
        <f t="shared" si="8"/>
        <v>749.95699735836683</v>
      </c>
      <c r="BI56" s="62">
        <f ca="1">AVERAGE(OFFSET($BH$3,0,0,'Données projet'!$E$11+1,1))-AVERAGE(OFFSET($H$3,0,0,'Données projet'!$E$11+1,1))</f>
        <v>370.79299728190904</v>
      </c>
      <c r="BJ56" s="62">
        <f t="shared" si="38"/>
        <v>404.95703400805775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7.4</v>
      </c>
      <c r="BY56" s="13">
        <f>IF('Données projet'!$A$114&gt;35,BY55+BX56-CG55,IF(A56&lt;'Données projet'!$A$114,$BV$205^A56,IF(A56='Données projet'!$A$114,'Données projet'!$B$114,BY55+BX56-CG55)))</f>
        <v>264.20000000000005</v>
      </c>
      <c r="BZ56" s="14">
        <f>BY56*VLOOKUP('Données projet'!$B$12,Paramètres!$A$1:$I$89,3,0)*VLOOKUP('Données projet'!$B$12,Paramètres!$A$1:$I$89,5,0)</f>
        <v>210.19752000000003</v>
      </c>
      <c r="CA56" s="14">
        <f t="shared" si="39"/>
        <v>51.978746425856599</v>
      </c>
      <c r="CB56" s="22">
        <f t="shared" si="10"/>
        <v>456.62366402503358</v>
      </c>
      <c r="CC56" s="62">
        <f t="shared" si="11"/>
        <v>749.95699735836683</v>
      </c>
      <c r="CD56" s="62">
        <f ca="1">AVERAGE(OFFSET($CC$3,0,0,'Données projet'!$E$12+1,1))-AVERAGE(OFFSET($H$3,0,0,'Données projet'!$E$12+1,1))</f>
        <v>370.79299728190904</v>
      </c>
      <c r="CE56" s="62">
        <f t="shared" si="40"/>
        <v>404.95703400805775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6.4</v>
      </c>
      <c r="CT56" s="13">
        <f>IF('Données projet'!$A$140&gt;35,CT55+CS56-DB55,IF(A56&lt;'Données projet'!$A$140,$CQ$205^A56,IF(A56='Données projet'!$A$140,'Données projet'!$B$140,CT55+CS56-DB55)))</f>
        <v>220.19999999999985</v>
      </c>
      <c r="CU56" s="18">
        <f>CT56*VLOOKUP('Données projet'!$B$13,Paramètres!$A$1:$I$89,3,0)*VLOOKUP('Données projet'!$B$13,Paramètres!$A$1:$I$89,5,0)</f>
        <v>192.3667199999999</v>
      </c>
      <c r="CV56" s="14">
        <f t="shared" si="41"/>
        <v>48.062823450978094</v>
      </c>
      <c r="CW56" s="22">
        <f t="shared" si="13"/>
        <v>418.7481215104533</v>
      </c>
      <c r="CX56" s="62">
        <f t="shared" si="14"/>
        <v>712.08145484378656</v>
      </c>
      <c r="CY56" s="62">
        <f ca="1">AVERAGE(OFFSET($CX$3,0,0,'Données projet'!$E$13+1,1))-AVERAGE(OFFSET($H$3,0,0,'Données projet'!$E$13+1,1))</f>
        <v>339.58437495284466</v>
      </c>
      <c r="CZ56" s="62">
        <f t="shared" si="42"/>
        <v>371.26234252426531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7.4</v>
      </c>
      <c r="DO56" s="13">
        <f>IF('Données projet'!$A$166&gt;35,DO55+DN56-DW55,IF(A56&lt;'Données projet'!$A$166,$DL$205^A56,IF(A56='Données projet'!$A$166,'Données projet'!$B$166,DO55+DN56-DW55)))</f>
        <v>264.20000000000005</v>
      </c>
      <c r="DP56" s="18">
        <f>DO56*VLOOKUP('Données projet'!$B$14,Paramètres!$A$1:$I$89,3,0)*VLOOKUP('Données projet'!$B$14,Paramètres!$A$1:$I$89,5,0)</f>
        <v>193.71144000000004</v>
      </c>
      <c r="DQ56" s="14">
        <f t="shared" si="43"/>
        <v>48.359573394195252</v>
      </c>
      <c r="DR56" s="22">
        <f t="shared" si="16"/>
        <v>421.60701499489011</v>
      </c>
      <c r="DS56" s="62">
        <f t="shared" si="17"/>
        <v>714.94034832822342</v>
      </c>
      <c r="DT56" s="62">
        <f ca="1">AVERAGE(OFFSET($DS$3,0,0,'Données projet'!$E$14+1,1))-AVERAGE(OFFSET($H$3,0,0,'Données projet'!$E$14+1,1))</f>
        <v>344.63665697794022</v>
      </c>
      <c r="DU56" s="62">
        <f t="shared" si="44"/>
        <v>376.72762011188041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5.6410256410256405</v>
      </c>
      <c r="EJ56" s="13">
        <f>IF('Données projet'!$A$192&gt;35,EJ55+EI56-ER55,IF(A56&lt;'Données projet'!$A$192,$EG$205^A56,IF(A56='Données projet'!$A$192,'Données projet'!$B$192,EJ55+EI56-ER55)))</f>
        <v>204.102564102564</v>
      </c>
      <c r="EK56" s="18">
        <f>EJ56*VLOOKUP('Données projet'!$B$15,Paramètres!$A$1:$I$89,3,0)*VLOOKUP('Données projet'!$B$15,Paramètres!$A$1:$I$89,5,0)</f>
        <v>194.2239999999999</v>
      </c>
      <c r="EL56" s="14">
        <f t="shared" si="45"/>
        <v>48.472620849341268</v>
      </c>
      <c r="EM56" s="22">
        <f t="shared" si="19"/>
        <v>422.69661464593588</v>
      </c>
      <c r="EN56" s="62">
        <f t="shared" si="20"/>
        <v>716.0299479792692</v>
      </c>
      <c r="EO56" s="62">
        <f ca="1">AVERAGE(OFFSET($EN$3,0,0,'Données projet'!$E$15+1,1))-AVERAGE(OFFSET($H$3,0,0,'Données projet'!$E$15+1,1))</f>
        <v>406.24139966722936</v>
      </c>
      <c r="EP56" s="62">
        <f t="shared" si="46"/>
        <v>295.95724296920577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10.199999999999999</v>
      </c>
      <c r="FE56" s="13">
        <f>IF('Données projet'!$A$218&gt;35,FE55+FD56-FM55,IF(A56&lt;'Données projet'!$A$218,$FB$205^A56,IF(A56='Données projet'!$A$218,'Données projet'!$B$218,FE55+FD56-FM55)))</f>
        <v>261.60000000000002</v>
      </c>
      <c r="FF56" s="18">
        <f>FE56*VLOOKUP('Données projet'!$B$16,Paramètres!$A$1:$I$89,3,0)*VLOOKUP('Données projet'!$B$16,Paramètres!$A$1:$I$89,5,0)</f>
        <v>253.01952000000003</v>
      </c>
      <c r="FG56" s="14">
        <f t="shared" si="47"/>
        <v>61.232073131479261</v>
      </c>
      <c r="FH56" s="22">
        <f t="shared" si="22"/>
        <v>547.32152470399308</v>
      </c>
      <c r="FI56" s="62">
        <f t="shared" si="23"/>
        <v>840.65485803732645</v>
      </c>
      <c r="FJ56" s="62">
        <f ca="1">AVERAGE(OFFSET($FI$3,0,0,'Données projet'!$E$16+1,1))-AVERAGE(OFFSET($H$3,0,0,'Données projet'!$E$16+1,1))</f>
        <v>540.83352418045502</v>
      </c>
      <c r="FK56" s="62">
        <f t="shared" si="48"/>
        <v>294.45557293177131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9.375</v>
      </c>
      <c r="FZ56" s="13">
        <f>IF('Données projet'!$A$244&gt;35,FZ55+FY56-GH55,IF(A56&lt;'Données projet'!$A$244,$FW$205^A56,IF(A56='Données projet'!$A$244,'Données projet'!$B$244,FZ55+FY56-GH55)))</f>
        <v>231.37499999999994</v>
      </c>
      <c r="GA56" s="18">
        <f>FZ56*VLOOKUP('Données projet'!$B$17,Paramètres!$A$1:$I$89,3,0)*VLOOKUP('Données projet'!$B$17,Paramètres!$A$1:$I$89,5,0)</f>
        <v>180.47249999999997</v>
      </c>
      <c r="GB56" s="14">
        <f t="shared" si="49"/>
        <v>45.427292666837829</v>
      </c>
      <c r="GC56" s="22">
        <f t="shared" si="25"/>
        <v>393.44213889474253</v>
      </c>
      <c r="GD56" s="62">
        <f t="shared" si="26"/>
        <v>686.77547222807584</v>
      </c>
      <c r="GE56" s="62">
        <f ca="1">AVERAGE(OFFSET($GD$3,0,0,'Données projet'!$E$17+1,1))-AVERAGE(OFFSET($H$3,0,0,'Données projet'!$E$17+1,1))</f>
        <v>292.57482726862594</v>
      </c>
      <c r="GF56" s="62">
        <f t="shared" si="50"/>
        <v>283.48738729114024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6.2820512820512819</v>
      </c>
      <c r="GU56" s="13">
        <f>IF('Données projet'!$A$270&gt;35,GU55+GT56-HC55,IF(A56&lt;'Données projet'!$A$270,$GR$205^A56,IF(A56='Données projet'!$A$270,'Données projet'!$B$270,GU55+GT56-HC55)))</f>
        <v>245.76923076923075</v>
      </c>
      <c r="GV56" s="18">
        <f>GU56*VLOOKUP('Données projet'!$B$18,Paramètres!$A$1:$I$89,3,0)*VLOOKUP('Données projet'!$B$18,Paramètres!$A$1:$I$89,5,0)</f>
        <v>164.86199999999999</v>
      </c>
      <c r="GW56" s="14">
        <f t="shared" si="51"/>
        <v>41.937235202605208</v>
      </c>
      <c r="GX56" s="22">
        <f t="shared" si="28"/>
        <v>360.17533464453732</v>
      </c>
      <c r="GY56" s="62">
        <f t="shared" si="29"/>
        <v>653.50866797787057</v>
      </c>
      <c r="GZ56" s="62">
        <f ca="1">AVERAGE(OFFSET($GY$3,0,0,'Données projet'!$E$18+1,1))-AVERAGE(OFFSET($H$3,0,0,'Données projet'!$E$18+1,1))</f>
        <v>343.33067866534634</v>
      </c>
      <c r="HA56" s="62">
        <f t="shared" si="52"/>
        <v>261.91036689641402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825.65123169891604</v>
      </c>
      <c r="S57" s="62">
        <f ca="1">AVERAGE(OFFSET($R$3,0,0,'Données projet'!$E$9+1,1))-AVERAGE(OFFSET($H$3,0,0,'Données projet'!$E$9+1,1))</f>
        <v>508.77990078889337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projet'!$B$10,Paramètres!$A$1:$I$89,3,0)*VLOOKUP('Données projet'!$B$10,Paramètres!$A$1:$I$89,5,0)</f>
        <v>275.60520000000002</v>
      </c>
      <c r="AK57" s="14">
        <f t="shared" si="35"/>
        <v>66.037407906416391</v>
      </c>
      <c r="AL57" s="22">
        <f t="shared" si="4"/>
        <v>595.02754210367516</v>
      </c>
      <c r="AM57" s="62">
        <f t="shared" si="5"/>
        <v>888.36087543700842</v>
      </c>
      <c r="AN57" s="62">
        <f ca="1">AVERAGE(OFFSET($AM$3,0,0,'Données projet'!$E$10+1,1))-AVERAGE(OFFSET($H$3,0,0,'Données projet'!$E$10+1,1))</f>
        <v>564.84596170333884</v>
      </c>
      <c r="AO57" s="62">
        <f t="shared" si="36"/>
        <v>306.61893266146666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271.60000000000002</v>
      </c>
      <c r="BE57" s="14">
        <f>BD57*VLOOKUP('Données projet'!$B$11,Paramètres!$A$1:$I$89,3,0)*VLOOKUP('Données projet'!$B$11,Paramètres!$A$1:$I$89,5,0)</f>
        <v>216.08496000000002</v>
      </c>
      <c r="BF57" s="14">
        <f t="shared" si="37"/>
        <v>53.26308393083157</v>
      </c>
      <c r="BG57" s="22">
        <f t="shared" si="7"/>
        <v>469.11450984619825</v>
      </c>
      <c r="BH57" s="62">
        <f t="shared" si="8"/>
        <v>762.44784317953156</v>
      </c>
      <c r="BI57" s="62">
        <f ca="1">AVERAGE(OFFSET($BH$3,0,0,'Données projet'!$E$11+1,1))-AVERAGE(OFFSET($H$3,0,0,'Données projet'!$E$11+1,1))</f>
        <v>370.79299728190904</v>
      </c>
      <c r="BJ57" s="62">
        <f t="shared" si="38"/>
        <v>404.95703400805775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7.4</v>
      </c>
      <c r="BY57" s="13">
        <f>IF('Données projet'!$A$114&gt;35,BY56+BX57-CG56,IF(A57&lt;'Données projet'!$A$114,$BV$205^A57,IF(A57='Données projet'!$A$114,'Données projet'!$B$114,BY56+BX57-CG56)))</f>
        <v>271.60000000000002</v>
      </c>
      <c r="BZ57" s="14">
        <f>BY57*VLOOKUP('Données projet'!$B$12,Paramètres!$A$1:$I$89,3,0)*VLOOKUP('Données projet'!$B$12,Paramètres!$A$1:$I$89,5,0)</f>
        <v>216.08496000000002</v>
      </c>
      <c r="CA57" s="14">
        <f t="shared" si="39"/>
        <v>53.26308393083157</v>
      </c>
      <c r="CB57" s="22">
        <f t="shared" si="10"/>
        <v>469.11450984619825</v>
      </c>
      <c r="CC57" s="62">
        <f t="shared" si="11"/>
        <v>762.44784317953156</v>
      </c>
      <c r="CD57" s="62">
        <f ca="1">AVERAGE(OFFSET($CC$3,0,0,'Données projet'!$E$12+1,1))-AVERAGE(OFFSET($H$3,0,0,'Données projet'!$E$12+1,1))</f>
        <v>370.79299728190904</v>
      </c>
      <c r="CE57" s="62">
        <f t="shared" si="40"/>
        <v>404.95703400805775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6.4</v>
      </c>
      <c r="CT57" s="13">
        <f>IF('Données projet'!$A$140&gt;35,CT56+CS57-DB56,IF(A57&lt;'Données projet'!$A$140,$CQ$205^A57,IF(A57='Données projet'!$A$140,'Données projet'!$B$140,CT56+CS57-DB56)))</f>
        <v>226.59999999999985</v>
      </c>
      <c r="CU57" s="18">
        <f>CT57*VLOOKUP('Données projet'!$B$13,Paramètres!$A$1:$I$89,3,0)*VLOOKUP('Données projet'!$B$13,Paramètres!$A$1:$I$89,5,0)</f>
        <v>197.95775999999989</v>
      </c>
      <c r="CV57" s="14">
        <f t="shared" si="41"/>
        <v>49.295077435194607</v>
      </c>
      <c r="CW57" s="22">
        <f t="shared" si="13"/>
        <v>430.63202519963039</v>
      </c>
      <c r="CX57" s="62">
        <f t="shared" si="14"/>
        <v>723.96535853296371</v>
      </c>
      <c r="CY57" s="62">
        <f ca="1">AVERAGE(OFFSET($CX$3,0,0,'Données projet'!$E$13+1,1))-AVERAGE(OFFSET($H$3,0,0,'Données projet'!$E$13+1,1))</f>
        <v>339.58437495284466</v>
      </c>
      <c r="CZ57" s="62">
        <f t="shared" si="42"/>
        <v>371.26234252426531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7.4</v>
      </c>
      <c r="DO57" s="13">
        <f>IF('Données projet'!$A$166&gt;35,DO56+DN57-DW56,IF(A57&lt;'Données projet'!$A$166,$DL$205^A57,IF(A57='Données projet'!$A$166,'Données projet'!$B$166,DO56+DN57-DW56)))</f>
        <v>271.60000000000002</v>
      </c>
      <c r="DP57" s="18">
        <f>DO57*VLOOKUP('Données projet'!$B$14,Paramètres!$A$1:$I$89,3,0)*VLOOKUP('Données projet'!$B$14,Paramètres!$A$1:$I$89,5,0)</f>
        <v>199.13712000000001</v>
      </c>
      <c r="DQ57" s="14">
        <f t="shared" si="43"/>
        <v>49.554485124576232</v>
      </c>
      <c r="DR57" s="22">
        <f t="shared" si="16"/>
        <v>433.1378789253036</v>
      </c>
      <c r="DS57" s="62">
        <f t="shared" si="17"/>
        <v>726.47121225863691</v>
      </c>
      <c r="DT57" s="62">
        <f ca="1">AVERAGE(OFFSET($DS$3,0,0,'Données projet'!$E$14+1,1))-AVERAGE(OFFSET($H$3,0,0,'Données projet'!$E$14+1,1))</f>
        <v>344.63665697794022</v>
      </c>
      <c r="DU57" s="62">
        <f t="shared" si="44"/>
        <v>376.72762011188041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5.6410256410256405</v>
      </c>
      <c r="EJ57" s="13">
        <f>IF('Données projet'!$A$192&gt;35,EJ56+EI57-ER56,IF(A57&lt;'Données projet'!$A$192,$EG$205^A57,IF(A57='Données projet'!$A$192,'Données projet'!$B$192,EJ56+EI57-ER56)))</f>
        <v>209.74358974358964</v>
      </c>
      <c r="EK57" s="18">
        <f>EJ57*VLOOKUP('Données projet'!$B$15,Paramètres!$A$1:$I$89,3,0)*VLOOKUP('Données projet'!$B$15,Paramètres!$A$1:$I$89,5,0)</f>
        <v>199.5919999999999</v>
      </c>
      <c r="EL57" s="14">
        <f t="shared" si="45"/>
        <v>49.654491020353277</v>
      </c>
      <c r="EM57" s="22">
        <f t="shared" si="19"/>
        <v>434.10430519378178</v>
      </c>
      <c r="EN57" s="62">
        <f t="shared" si="20"/>
        <v>727.43763852711504</v>
      </c>
      <c r="EO57" s="62">
        <f ca="1">AVERAGE(OFFSET($EN$3,0,0,'Données projet'!$E$15+1,1))-AVERAGE(OFFSET($H$3,0,0,'Données projet'!$E$15+1,1))</f>
        <v>406.24139966722936</v>
      </c>
      <c r="EP57" s="62">
        <f t="shared" si="46"/>
        <v>295.95724296920577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10.199999999999999</v>
      </c>
      <c r="FE57" s="13">
        <f>IF('Données projet'!$A$218&gt;35,FE56+FD57-FM56,IF(A57&lt;'Données projet'!$A$218,$FB$205^A57,IF(A57='Données projet'!$A$218,'Données projet'!$B$218,FE56+FD57-FM56)))</f>
        <v>271.8</v>
      </c>
      <c r="FF57" s="18">
        <f>FE57*VLOOKUP('Données projet'!$B$16,Paramètres!$A$1:$I$89,3,0)*VLOOKUP('Données projet'!$B$16,Paramètres!$A$1:$I$89,5,0)</f>
        <v>262.88496000000004</v>
      </c>
      <c r="FG57" s="14">
        <f t="shared" si="47"/>
        <v>63.336939343271965</v>
      </c>
      <c r="FH57" s="22">
        <f t="shared" si="22"/>
        <v>568.16980802286537</v>
      </c>
      <c r="FI57" s="62">
        <f t="shared" si="23"/>
        <v>861.50314135619874</v>
      </c>
      <c r="FJ57" s="62">
        <f ca="1">AVERAGE(OFFSET($FI$3,0,0,'Données projet'!$E$16+1,1))-AVERAGE(OFFSET($H$3,0,0,'Données projet'!$E$16+1,1))</f>
        <v>540.83352418045502</v>
      </c>
      <c r="FK57" s="62">
        <f t="shared" si="48"/>
        <v>294.45557293177131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9.375</v>
      </c>
      <c r="FZ57" s="13">
        <f>IF('Données projet'!$A$244&gt;35,FZ56+FY57-GH56,IF(A57&lt;'Données projet'!$A$244,$FW$205^A57,IF(A57='Données projet'!$A$244,'Données projet'!$B$244,FZ56+FY57-GH56)))</f>
        <v>240.74999999999994</v>
      </c>
      <c r="GA57" s="18">
        <f>FZ57*VLOOKUP('Données projet'!$B$17,Paramètres!$A$1:$I$89,3,0)*VLOOKUP('Données projet'!$B$17,Paramètres!$A$1:$I$89,5,0)</f>
        <v>187.78499999999997</v>
      </c>
      <c r="GB57" s="14">
        <f t="shared" si="49"/>
        <v>47.049914090154054</v>
      </c>
      <c r="GC57" s="22">
        <f t="shared" si="25"/>
        <v>409.00414204035161</v>
      </c>
      <c r="GD57" s="62">
        <f t="shared" si="26"/>
        <v>702.33747537368492</v>
      </c>
      <c r="GE57" s="62">
        <f ca="1">AVERAGE(OFFSET($GD$3,0,0,'Données projet'!$E$17+1,1))-AVERAGE(OFFSET($H$3,0,0,'Données projet'!$E$17+1,1))</f>
        <v>292.57482726862594</v>
      </c>
      <c r="GF57" s="62">
        <f t="shared" si="50"/>
        <v>283.48738729114024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6.2820512820512819</v>
      </c>
      <c r="GU57" s="13">
        <f>IF('Données projet'!$A$270&gt;35,GU56+GT57-HC56,IF(A57&lt;'Données projet'!$A$270,$GR$205^A57,IF(A57='Données projet'!$A$270,'Données projet'!$B$270,GU56+GT57-HC56)))</f>
        <v>252.05128205128202</v>
      </c>
      <c r="GV57" s="18">
        <f>GU57*VLOOKUP('Données projet'!$B$18,Paramètres!$A$1:$I$89,3,0)*VLOOKUP('Données projet'!$B$18,Paramètres!$A$1:$I$89,5,0)</f>
        <v>169.07599999999996</v>
      </c>
      <c r="GW57" s="14">
        <f t="shared" si="51"/>
        <v>42.883012726130275</v>
      </c>
      <c r="GX57" s="22">
        <f t="shared" si="28"/>
        <v>369.1619471646768</v>
      </c>
      <c r="GY57" s="62">
        <f t="shared" si="29"/>
        <v>662.49528049801006</v>
      </c>
      <c r="GZ57" s="62">
        <f ca="1">AVERAGE(OFFSET($GY$3,0,0,'Données projet'!$E$18+1,1))-AVERAGE(OFFSET($H$3,0,0,'Données projet'!$E$18+1,1))</f>
        <v>343.33067866534634</v>
      </c>
      <c r="HA57" s="62">
        <f t="shared" si="52"/>
        <v>261.91036689641402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845.16612239513051</v>
      </c>
      <c r="S58" s="62">
        <f ca="1">AVERAGE(OFFSET($R$3,0,0,'Données projet'!$E$9+1,1))-AVERAGE(OFFSET($H$3,0,0,'Données projet'!$E$9+1,1))</f>
        <v>508.77990078889337</v>
      </c>
      <c r="T58" s="62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projet'!$B$10,Paramètres!$A$1:$I$89,3,0)*VLOOKUP('Données projet'!$B$10,Paramètres!$A$1:$I$89,5,0)</f>
        <v>285.94800000000004</v>
      </c>
      <c r="AK58" s="14">
        <f t="shared" si="35"/>
        <v>68.222450362989363</v>
      </c>
      <c r="AL58" s="22">
        <f t="shared" si="4"/>
        <v>616.84686771553982</v>
      </c>
      <c r="AM58" s="62">
        <f t="shared" si="5"/>
        <v>910.18020104887319</v>
      </c>
      <c r="AN58" s="62">
        <f ca="1">AVERAGE(OFFSET($AM$3,0,0,'Données projet'!$E$10+1,1))-AVERAGE(OFFSET($H$3,0,0,'Données projet'!$E$10+1,1))</f>
        <v>564.84596170333884</v>
      </c>
      <c r="AO58" s="62">
        <f t="shared" si="36"/>
        <v>306.61893266146666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279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279</v>
      </c>
      <c r="BE58" s="14">
        <f>BD58*VLOOKUP('Données projet'!$B$11,Paramètres!$A$1:$I$89,3,0)*VLOOKUP('Données projet'!$B$11,Paramètres!$A$1:$I$89,5,0)</f>
        <v>221.97239999999999</v>
      </c>
      <c r="BF58" s="14">
        <f t="shared" si="37"/>
        <v>54.543354171476821</v>
      </c>
      <c r="BG58" s="22">
        <f t="shared" si="7"/>
        <v>481.59827184865549</v>
      </c>
      <c r="BH58" s="62">
        <f t="shared" si="8"/>
        <v>774.93160518198874</v>
      </c>
      <c r="BI58" s="62">
        <f ca="1">AVERAGE(OFFSET($BH$3,0,0,'Données projet'!$E$11+1,1))-AVERAGE(OFFSET($H$3,0,0,'Données projet'!$E$11+1,1))</f>
        <v>370.79299728190904</v>
      </c>
      <c r="BJ58" s="62">
        <f t="shared" si="38"/>
        <v>404.95703400805775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279</v>
      </c>
      <c r="BW58" s="13">
        <f>VLOOKUP(A58,'Données projet'!$A$113:$I$133,9,0)</f>
        <v>7.4</v>
      </c>
      <c r="BX58" s="13">
        <f t="array" ref="BX58">INDEX(BW:BW,MIN(IF(ISNUMBER(BW58:BW254),ROW(BW58:BW254),"")))</f>
        <v>7.4</v>
      </c>
      <c r="BY58" s="13">
        <f>IF('Données projet'!$A$114&gt;35,BY57+BX58-CG57,IF(A58&lt;'Données projet'!$A$114,$BV$205^A58,IF(A58='Données projet'!$A$114,'Données projet'!$B$114,BY57+BX58-CG57)))</f>
        <v>279</v>
      </c>
      <c r="BZ58" s="14">
        <f>BY58*VLOOKUP('Données projet'!$B$12,Paramètres!$A$1:$I$89,3,0)*VLOOKUP('Données projet'!$B$12,Paramètres!$A$1:$I$89,5,0)</f>
        <v>221.97239999999999</v>
      </c>
      <c r="CA58" s="14">
        <f t="shared" si="39"/>
        <v>54.543354171476821</v>
      </c>
      <c r="CB58" s="22">
        <f t="shared" si="10"/>
        <v>481.59827184865549</v>
      </c>
      <c r="CC58" s="62">
        <f t="shared" si="11"/>
        <v>774.93160518198874</v>
      </c>
      <c r="CD58" s="62">
        <f ca="1">AVERAGE(OFFSET($CC$3,0,0,'Données projet'!$E$12+1,1))-AVERAGE(OFFSET($H$3,0,0,'Données projet'!$E$12+1,1))</f>
        <v>370.79299728190904</v>
      </c>
      <c r="CE58" s="62">
        <f t="shared" si="40"/>
        <v>404.95703400805775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233</v>
      </c>
      <c r="CR58" s="13">
        <f>VLOOKUP(A58,'Données projet'!$A$139:$I$159,9,0)</f>
        <v>6.4</v>
      </c>
      <c r="CS58" s="13">
        <f t="array" ref="CS58">INDEX(CR:CR,MIN(IF(ISNUMBER(CR58:CR254),ROW(CR58:CR254),"")))</f>
        <v>6.4</v>
      </c>
      <c r="CT58" s="13">
        <f>IF('Données projet'!$A$140&gt;35,CT57+CS58-DB57,IF(A58&lt;'Données projet'!$A$140,$CQ$205^A58,IF(A58='Données projet'!$A$140,'Données projet'!$B$140,CT57+CS58-DB57)))</f>
        <v>232.99999999999986</v>
      </c>
      <c r="CU58" s="18">
        <f>CT58*VLOOKUP('Données projet'!$B$13,Paramètres!$A$1:$I$89,3,0)*VLOOKUP('Données projet'!$B$13,Paramètres!$A$1:$I$89,5,0)</f>
        <v>203.54879999999991</v>
      </c>
      <c r="CV58" s="14">
        <f t="shared" si="41"/>
        <v>50.523286400023437</v>
      </c>
      <c r="CW58" s="22">
        <f t="shared" si="13"/>
        <v>442.50888381337398</v>
      </c>
      <c r="CX58" s="62">
        <f t="shared" si="14"/>
        <v>735.8422171467073</v>
      </c>
      <c r="CY58" s="62">
        <f ca="1">AVERAGE(OFFSET($CX$3,0,0,'Données projet'!$E$13+1,1))-AVERAGE(OFFSET($H$3,0,0,'Données projet'!$E$13+1,1))</f>
        <v>339.58437495284466</v>
      </c>
      <c r="CZ58" s="62">
        <f t="shared" si="42"/>
        <v>371.26234252426531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279</v>
      </c>
      <c r="DM58" s="13">
        <f>VLOOKUP(A58,'Données projet'!$A$165:$I$185,9,0)</f>
        <v>7.4</v>
      </c>
      <c r="DN58" s="13">
        <f t="array" ref="DN58">INDEX(DM:DM,MIN(IF(ISNUMBER(DM58:DM254),ROW(DM58:DM254),"")))</f>
        <v>7.4</v>
      </c>
      <c r="DO58" s="13">
        <f>IF('Données projet'!$A$166&gt;35,DO57+DN58-DW57,IF(A58&lt;'Données projet'!$A$166,$DL$205^A58,IF(A58='Données projet'!$A$166,'Données projet'!$B$166,DO57+DN58-DW57)))</f>
        <v>279</v>
      </c>
      <c r="DP58" s="18">
        <f>DO58*VLOOKUP('Données projet'!$B$14,Paramètres!$A$1:$I$89,3,0)*VLOOKUP('Données projet'!$B$14,Paramètres!$A$1:$I$89,5,0)</f>
        <v>204.56280000000001</v>
      </c>
      <c r="DQ58" s="14">
        <f t="shared" si="43"/>
        <v>50.74561278586372</v>
      </c>
      <c r="DR58" s="22">
        <f t="shared" si="16"/>
        <v>444.66215226871265</v>
      </c>
      <c r="DS58" s="62">
        <f t="shared" si="17"/>
        <v>737.99548560204596</v>
      </c>
      <c r="DT58" s="62">
        <f ca="1">AVERAGE(OFFSET($DS$3,0,0,'Données projet'!$E$14+1,1))-AVERAGE(OFFSET($H$3,0,0,'Données projet'!$E$14+1,1))</f>
        <v>344.63665697794022</v>
      </c>
      <c r="DU58" s="62">
        <f t="shared" si="44"/>
        <v>376.72762011188041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215.38461538461539</v>
      </c>
      <c r="EH58" s="13">
        <f>VLOOKUP(A58,'Données projet'!$A$191:$I$211,9,0)</f>
        <v>5.6410256410256405</v>
      </c>
      <c r="EI58" s="13">
        <f t="array" ref="EI58">INDEX(EH:EH,MIN(IF(ISNUMBER(EH58:EH254),ROW(EH58:EH254),"")))</f>
        <v>5.6410256410256405</v>
      </c>
      <c r="EJ58" s="13">
        <f>IF('Données projet'!$A$192&gt;35,EJ57+EI58-ER57,IF(A58&lt;'Données projet'!$A$192,$EG$205^A58,IF(A58='Données projet'!$A$192,'Données projet'!$B$192,EJ57+EI58-ER57)))</f>
        <v>215.38461538461527</v>
      </c>
      <c r="EK58" s="18">
        <f>EJ58*VLOOKUP('Données projet'!$B$15,Paramètres!$A$1:$I$89,3,0)*VLOOKUP('Données projet'!$B$15,Paramètres!$A$1:$I$89,5,0)</f>
        <v>204.95999999999987</v>
      </c>
      <c r="EL58" s="14">
        <f t="shared" si="45"/>
        <v>50.832666587809335</v>
      </c>
      <c r="EM58" s="22">
        <f t="shared" si="19"/>
        <v>445.50556097376767</v>
      </c>
      <c r="EN58" s="62">
        <f t="shared" si="20"/>
        <v>738.83889430710099</v>
      </c>
      <c r="EO58" s="62">
        <f ca="1">AVERAGE(OFFSET($EN$3,0,0,'Données projet'!$E$15+1,1))-AVERAGE(OFFSET($H$3,0,0,'Données projet'!$E$15+1,1))</f>
        <v>406.24139966722936</v>
      </c>
      <c r="EP58" s="62">
        <f t="shared" si="46"/>
        <v>295.95724296920577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34.615384615384613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282</v>
      </c>
      <c r="FC58" s="13">
        <f>VLOOKUP(A58,'Données projet'!$A$217:$I$237,9,0)</f>
        <v>10.199999999999999</v>
      </c>
      <c r="FD58" s="13">
        <f t="array" ref="FD58">INDEX(FC:FC,MIN(IF(ISNUMBER(FC58:FC254),ROW(FC58:FC254),"")))</f>
        <v>10.199999999999999</v>
      </c>
      <c r="FE58" s="13">
        <f>IF('Données projet'!$A$218&gt;35,FE57+FD58-FM57,IF(A58&lt;'Données projet'!$A$218,$FB$205^A58,IF(A58='Données projet'!$A$218,'Données projet'!$B$218,FE57+FD58-FM57)))</f>
        <v>282</v>
      </c>
      <c r="FF58" s="18">
        <f>FE58*VLOOKUP('Données projet'!$B$16,Paramètres!$A$1:$I$89,3,0)*VLOOKUP('Données projet'!$B$16,Paramètres!$A$1:$I$89,5,0)</f>
        <v>272.75040000000001</v>
      </c>
      <c r="FG58" s="14">
        <f t="shared" si="47"/>
        <v>65.43262883082069</v>
      </c>
      <c r="FH58" s="22">
        <f t="shared" si="22"/>
        <v>589.00210854701277</v>
      </c>
      <c r="FI58" s="62">
        <f t="shared" si="23"/>
        <v>882.33544188034602</v>
      </c>
      <c r="FJ58" s="62">
        <f ca="1">AVERAGE(OFFSET($FI$3,0,0,'Données projet'!$E$16+1,1))-AVERAGE(OFFSET($H$3,0,0,'Données projet'!$E$16+1,1))</f>
        <v>540.83352418045502</v>
      </c>
      <c r="FK58" s="62">
        <f t="shared" si="48"/>
        <v>294.45557293177131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56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9.375</v>
      </c>
      <c r="FZ58" s="13">
        <f>IF('Données projet'!$A$244&gt;35,FZ57+FY58-GH57,IF(A58&lt;'Données projet'!$A$244,$FW$205^A58,IF(A58='Données projet'!$A$244,'Données projet'!$B$244,FZ57+FY58-GH57)))</f>
        <v>250.12499999999994</v>
      </c>
      <c r="GA58" s="18">
        <f>FZ58*VLOOKUP('Données projet'!$B$17,Paramètres!$A$1:$I$89,3,0)*VLOOKUP('Données projet'!$B$17,Paramètres!$A$1:$I$89,5,0)</f>
        <v>195.09749999999997</v>
      </c>
      <c r="GB58" s="14">
        <f t="shared" si="49"/>
        <v>48.66519532492584</v>
      </c>
      <c r="GC58" s="22">
        <f t="shared" si="25"/>
        <v>424.55336102424576</v>
      </c>
      <c r="GD58" s="62">
        <f t="shared" si="26"/>
        <v>717.88669435757902</v>
      </c>
      <c r="GE58" s="62">
        <f ca="1">AVERAGE(OFFSET($GD$3,0,0,'Données projet'!$E$17+1,1))-AVERAGE(OFFSET($H$3,0,0,'Données projet'!$E$17+1,1))</f>
        <v>292.57482726862594</v>
      </c>
      <c r="GF58" s="62">
        <f t="shared" si="50"/>
        <v>283.48738729114024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258.33333333333331</v>
      </c>
      <c r="GS58" s="13">
        <f>VLOOKUP(A58,'Données projet'!$A$269:$I$289,9,0)</f>
        <v>6.2820512820512819</v>
      </c>
      <c r="GT58" s="13">
        <f t="array" ref="GT58">INDEX(GS:GS,MIN(IF(ISNUMBER(GS58:GS254),ROW(GS58:GS254),"")))</f>
        <v>6.2820512820512819</v>
      </c>
      <c r="GU58" s="13">
        <f>IF('Données projet'!$A$270&gt;35,GU57+GT58-HC57,IF(A58&lt;'Données projet'!$A$270,$GR$205^A58,IF(A58='Données projet'!$A$270,'Données projet'!$B$270,GU57+GT58-HC57)))</f>
        <v>258.33333333333331</v>
      </c>
      <c r="GV58" s="18">
        <f>GU58*VLOOKUP('Données projet'!$B$18,Paramètres!$A$1:$I$89,3,0)*VLOOKUP('Données projet'!$B$18,Paramètres!$A$1:$I$89,5,0)</f>
        <v>173.29</v>
      </c>
      <c r="GW58" s="14">
        <f t="shared" si="51"/>
        <v>43.826050112896013</v>
      </c>
      <c r="GX58" s="22">
        <f t="shared" si="28"/>
        <v>378.14378727996046</v>
      </c>
      <c r="GY58" s="62">
        <f t="shared" si="29"/>
        <v>671.47712061329378</v>
      </c>
      <c r="GZ58" s="62">
        <f ca="1">AVERAGE(OFFSET($GY$3,0,0,'Données projet'!$E$18+1,1))-AVERAGE(OFFSET($H$3,0,0,'Données projet'!$E$18+1,1))</f>
        <v>343.33067866534634</v>
      </c>
      <c r="HA58" s="62">
        <f t="shared" si="52"/>
        <v>261.91036689641402</v>
      </c>
      <c r="HB58" s="16">
        <f>IF(ISNA(VLOOKUP(A58,'Données projet'!$A$269:$I$289,3,0)),0,VLOOKUP(A58,'Données projet'!$A$269:$I$289,3,0))</f>
        <v>5</v>
      </c>
      <c r="HC58" s="16">
        <f>IF(ISNA(VLOOKUP(A58,'Données projet'!$A$269:$I$289,4,0)),0,VLOOKUP(A58,'Données projet'!$A$269:$I$289,4,0))</f>
        <v>32.692307692307693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508.77990078889337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238.69559999999998</v>
      </c>
      <c r="AK59" s="14">
        <f t="shared" si="35"/>
        <v>58.158793514165929</v>
      </c>
      <c r="AL59" s="22">
        <f t="shared" si="4"/>
        <v>517.02140203717238</v>
      </c>
      <c r="AM59" s="62">
        <f t="shared" si="5"/>
        <v>810.35473537050575</v>
      </c>
      <c r="AN59" s="62">
        <f ca="1">AVERAGE(OFFSET($AM$3,0,0,'Données projet'!$E$10+1,1))-AVERAGE(OFFSET($H$3,0,0,'Données projet'!$E$10+1,1))</f>
        <v>564.84596170333884</v>
      </c>
      <c r="AO59" s="62">
        <f t="shared" si="36"/>
        <v>306.61893266146666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</v>
      </c>
      <c r="BD59" s="13">
        <f>IF('Données projet'!$A$88&gt;35,BD58+BC59-BL58,IF(A59&lt;'Données projet'!$A$88,$BA$205^A59,IF(A59='Données projet'!$A$88,'Données projet'!$B$88,BD58+BC59-BL58)))</f>
        <v>285.2</v>
      </c>
      <c r="BE59" s="14">
        <f>BD59*VLOOKUP('Données projet'!$B$11,Paramètres!$A$1:$I$89,3,0)*VLOOKUP('Données projet'!$B$11,Paramètres!$A$1:$I$89,5,0)</f>
        <v>226.90512000000001</v>
      </c>
      <c r="BF59" s="14">
        <f t="shared" si="37"/>
        <v>55.612969408444414</v>
      </c>
      <c r="BG59" s="22">
        <f t="shared" si="7"/>
        <v>492.05233905304067</v>
      </c>
      <c r="BH59" s="62">
        <f t="shared" si="8"/>
        <v>785.38567238637393</v>
      </c>
      <c r="BI59" s="62">
        <f ca="1">AVERAGE(OFFSET($BH$3,0,0,'Données projet'!$E$11+1,1))-AVERAGE(OFFSET($H$3,0,0,'Données projet'!$E$11+1,1))</f>
        <v>370.79299728190904</v>
      </c>
      <c r="BJ59" s="62">
        <f t="shared" si="38"/>
        <v>404.95703400805775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6.2</v>
      </c>
      <c r="BY59" s="13">
        <f>IF('Données projet'!$A$114&gt;35,BY58+BX59-CG58,IF(A59&lt;'Données projet'!$A$114,$BV$205^A59,IF(A59='Données projet'!$A$114,'Données projet'!$B$114,BY58+BX59-CG58)))</f>
        <v>285.2</v>
      </c>
      <c r="BZ59" s="14">
        <f>BY59*VLOOKUP('Données projet'!$B$12,Paramètres!$A$1:$I$89,3,0)*VLOOKUP('Données projet'!$B$12,Paramètres!$A$1:$I$89,5,0)</f>
        <v>226.90512000000001</v>
      </c>
      <c r="CA59" s="14">
        <f t="shared" si="39"/>
        <v>55.612969408444414</v>
      </c>
      <c r="CB59" s="22">
        <f t="shared" si="10"/>
        <v>492.05233905304067</v>
      </c>
      <c r="CC59" s="62">
        <f t="shared" si="11"/>
        <v>785.38567238637393</v>
      </c>
      <c r="CD59" s="62">
        <f ca="1">AVERAGE(OFFSET($CC$3,0,0,'Données projet'!$E$12+1,1))-AVERAGE(OFFSET($H$3,0,0,'Données projet'!$E$12+1,1))</f>
        <v>370.79299728190904</v>
      </c>
      <c r="CE59" s="62">
        <f t="shared" si="40"/>
        <v>404.95703400805775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</v>
      </c>
      <c r="CT59" s="13">
        <f>IF('Données projet'!$A$140&gt;35,CT58+CS59-DB58,IF(A59&lt;'Données projet'!$A$140,$CQ$205^A59,IF(A59='Données projet'!$A$140,'Données projet'!$B$140,CT58+CS59-DB58)))</f>
        <v>237.99999999999986</v>
      </c>
      <c r="CU59" s="18">
        <f>CT59*VLOOKUP('Données projet'!$B$13,Paramètres!$A$1:$I$89,3,0)*VLOOKUP('Données projet'!$B$13,Paramètres!$A$1:$I$89,5,0)</f>
        <v>207.91679999999991</v>
      </c>
      <c r="CV59" s="14">
        <f t="shared" si="41"/>
        <v>51.4800902851525</v>
      </c>
      <c r="CW59" s="22">
        <f t="shared" si="13"/>
        <v>451.78291724664041</v>
      </c>
      <c r="CX59" s="62">
        <f t="shared" si="14"/>
        <v>745.11625057997367</v>
      </c>
      <c r="CY59" s="62">
        <f ca="1">AVERAGE(OFFSET($CX$3,0,0,'Données projet'!$E$13+1,1))-AVERAGE(OFFSET($H$3,0,0,'Données projet'!$E$13+1,1))</f>
        <v>339.58437495284466</v>
      </c>
      <c r="CZ59" s="62">
        <f t="shared" si="42"/>
        <v>371.26234252426531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6.2</v>
      </c>
      <c r="DO59" s="13">
        <f>IF('Données projet'!$A$166&gt;35,DO58+DN59-DW58,IF(A59&lt;'Données projet'!$A$166,$DL$205^A59,IF(A59='Données projet'!$A$166,'Données projet'!$B$166,DO58+DN59-DW58)))</f>
        <v>285.2</v>
      </c>
      <c r="DP59" s="18">
        <f>DO59*VLOOKUP('Données projet'!$B$14,Paramètres!$A$1:$I$89,3,0)*VLOOKUP('Données projet'!$B$14,Paramètres!$A$1:$I$89,5,0)</f>
        <v>209.10863999999998</v>
      </c>
      <c r="DQ59" s="14">
        <f t="shared" si="43"/>
        <v>51.740752917407036</v>
      </c>
      <c r="DR59" s="22">
        <f t="shared" si="16"/>
        <v>454.3126926644839</v>
      </c>
      <c r="DS59" s="62">
        <f t="shared" si="17"/>
        <v>747.64602599781722</v>
      </c>
      <c r="DT59" s="62">
        <f ca="1">AVERAGE(OFFSET($DS$3,0,0,'Données projet'!$E$14+1,1))-AVERAGE(OFFSET($H$3,0,0,'Données projet'!$E$14+1,1))</f>
        <v>344.63665697794022</v>
      </c>
      <c r="DU59" s="62">
        <f t="shared" si="44"/>
        <v>376.72762011188041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5.3846153846153815</v>
      </c>
      <c r="EJ59" s="13">
        <f>IF('Données projet'!$A$192&gt;35,EJ58+EI59-ER58,IF(A59&lt;'Données projet'!$A$192,$EG$205^A59,IF(A59='Données projet'!$A$192,'Données projet'!$B$192,EJ58+EI59-ER58)))</f>
        <v>186.15384615384605</v>
      </c>
      <c r="EK59" s="18">
        <f>EJ59*VLOOKUP('Données projet'!$B$15,Paramètres!$A$1:$I$89,3,0)*VLOOKUP('Données projet'!$B$15,Paramètres!$A$1:$I$89,5,0)</f>
        <v>177.14399999999989</v>
      </c>
      <c r="EL59" s="14">
        <f t="shared" si="45"/>
        <v>44.6861885307368</v>
      </c>
      <c r="EM59" s="22">
        <f t="shared" si="19"/>
        <v>386.35424502436632</v>
      </c>
      <c r="EN59" s="62">
        <f t="shared" si="20"/>
        <v>679.68757835769964</v>
      </c>
      <c r="EO59" s="62">
        <f ca="1">AVERAGE(OFFSET($EN$3,0,0,'Données projet'!$E$15+1,1))-AVERAGE(OFFSET($H$3,0,0,'Données projet'!$E$15+1,1))</f>
        <v>406.24139966722936</v>
      </c>
      <c r="EP59" s="62">
        <f t="shared" si="46"/>
        <v>295.95724296920577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9.4</v>
      </c>
      <c r="FE59" s="13">
        <f>IF('Données projet'!$A$218&gt;35,FE58+FD59-FM58,IF(A59&lt;'Données projet'!$A$218,$FB$205^A59,IF(A59='Données projet'!$A$218,'Données projet'!$B$218,FE58+FD59-FM58)))</f>
        <v>235.39999999999998</v>
      </c>
      <c r="FF59" s="18">
        <f>FE59*VLOOKUP('Données projet'!$B$16,Paramètres!$A$1:$I$89,3,0)*VLOOKUP('Données projet'!$B$16,Paramètres!$A$1:$I$89,5,0)</f>
        <v>227.67887999999996</v>
      </c>
      <c r="FG59" s="14">
        <f t="shared" si="47"/>
        <v>55.780505229774469</v>
      </c>
      <c r="FH59" s="22">
        <f t="shared" si="22"/>
        <v>493.69176260852379</v>
      </c>
      <c r="FI59" s="62">
        <f t="shared" si="23"/>
        <v>787.0250959418571</v>
      </c>
      <c r="FJ59" s="62">
        <f ca="1">AVERAGE(OFFSET($FI$3,0,0,'Données projet'!$E$16+1,1))-AVERAGE(OFFSET($H$3,0,0,'Données projet'!$E$16+1,1))</f>
        <v>540.83352418045502</v>
      </c>
      <c r="FK59" s="62">
        <f t="shared" si="48"/>
        <v>294.45557293177131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9.375</v>
      </c>
      <c r="FZ59" s="13">
        <f>IF('Données projet'!$A$244&gt;35,FZ58+FY59-GH58,IF(A59&lt;'Données projet'!$A$244,$FW$205^A59,IF(A59='Données projet'!$A$244,'Données projet'!$B$244,FZ58+FY59-GH58)))</f>
        <v>259.49999999999994</v>
      </c>
      <c r="GA59" s="18">
        <f>FZ59*VLOOKUP('Données projet'!$B$17,Paramètres!$A$1:$I$89,3,0)*VLOOKUP('Données projet'!$B$17,Paramètres!$A$1:$I$89,5,0)</f>
        <v>202.40999999999997</v>
      </c>
      <c r="GB59" s="14">
        <f t="shared" si="49"/>
        <v>50.273442991661867</v>
      </c>
      <c r="GC59" s="22">
        <f t="shared" si="25"/>
        <v>440.09032987714431</v>
      </c>
      <c r="GD59" s="62">
        <f t="shared" si="26"/>
        <v>733.42366321047757</v>
      </c>
      <c r="GE59" s="62">
        <f ca="1">AVERAGE(OFFSET($GD$3,0,0,'Données projet'!$E$17+1,1))-AVERAGE(OFFSET($H$3,0,0,'Données projet'!$E$17+1,1))</f>
        <v>292.57482726862594</v>
      </c>
      <c r="GF59" s="62">
        <f t="shared" si="50"/>
        <v>283.48738729114024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5.8974358974358951</v>
      </c>
      <c r="GU59" s="13">
        <f>IF('Données projet'!$A$270&gt;35,GU58+GT59-HC58,IF(A59&lt;'Données projet'!$A$270,$GR$205^A59,IF(A59='Données projet'!$A$270,'Données projet'!$B$270,GU58+GT59-HC58)))</f>
        <v>231.53846153846155</v>
      </c>
      <c r="GV59" s="18">
        <f>GU59*VLOOKUP('Données projet'!$B$18,Paramètres!$A$1:$I$89,3,0)*VLOOKUP('Données projet'!$B$18,Paramètres!$A$1:$I$89,5,0)</f>
        <v>155.316</v>
      </c>
      <c r="GW59" s="14">
        <f t="shared" si="51"/>
        <v>39.784206160846679</v>
      </c>
      <c r="GX59" s="22">
        <f t="shared" si="28"/>
        <v>339.79952573014128</v>
      </c>
      <c r="GY59" s="62">
        <f t="shared" si="29"/>
        <v>633.1328590634746</v>
      </c>
      <c r="GZ59" s="62">
        <f ca="1">AVERAGE(OFFSET($GY$3,0,0,'Données projet'!$E$18+1,1))-AVERAGE(OFFSET($H$3,0,0,'Données projet'!$E$18+1,1))</f>
        <v>343.33067866534634</v>
      </c>
      <c r="HA59" s="62">
        <f t="shared" si="52"/>
        <v>261.91036689641402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508.77990078889337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248.22720000000001</v>
      </c>
      <c r="AK60" s="14">
        <f t="shared" si="35"/>
        <v>60.20616532763993</v>
      </c>
      <c r="AL60" s="22">
        <f t="shared" si="4"/>
        <v>537.18811127897277</v>
      </c>
      <c r="AM60" s="62">
        <f t="shared" si="5"/>
        <v>830.52144461230614</v>
      </c>
      <c r="AN60" s="62">
        <f ca="1">AVERAGE(OFFSET($AM$3,0,0,'Données projet'!$E$10+1,1))-AVERAGE(OFFSET($H$3,0,0,'Données projet'!$E$10+1,1))</f>
        <v>564.84596170333884</v>
      </c>
      <c r="AO60" s="62">
        <f t="shared" si="36"/>
        <v>306.61893266146666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</v>
      </c>
      <c r="BD60" s="13">
        <f>IF('Données projet'!$A$88&gt;35,BD59+BC60-BL59,IF(A60&lt;'Données projet'!$A$88,$BA$205^A60,IF(A60='Données projet'!$A$88,'Données projet'!$B$88,BD59+BC60-BL59)))</f>
        <v>291.39999999999998</v>
      </c>
      <c r="BE60" s="14">
        <f>BD60*VLOOKUP('Données projet'!$B$11,Paramètres!$A$1:$I$89,3,0)*VLOOKUP('Données projet'!$B$11,Paramètres!$A$1:$I$89,5,0)</f>
        <v>231.83784000000003</v>
      </c>
      <c r="BF60" s="14">
        <f t="shared" si="37"/>
        <v>56.679881250286201</v>
      </c>
      <c r="BG60" s="22">
        <f t="shared" si="7"/>
        <v>502.50169784424844</v>
      </c>
      <c r="BH60" s="62">
        <f t="shared" si="8"/>
        <v>795.83503117758175</v>
      </c>
      <c r="BI60" s="62">
        <f ca="1">AVERAGE(OFFSET($BH$3,0,0,'Données projet'!$E$11+1,1))-AVERAGE(OFFSET($H$3,0,0,'Données projet'!$E$11+1,1))</f>
        <v>370.79299728190904</v>
      </c>
      <c r="BJ60" s="62">
        <f t="shared" si="38"/>
        <v>404.95703400805775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6.2</v>
      </c>
      <c r="BY60" s="13">
        <f>IF('Données projet'!$A$114&gt;35,BY59+BX60-CG59,IF(A60&lt;'Données projet'!$A$114,$BV$205^A60,IF(A60='Données projet'!$A$114,'Données projet'!$B$114,BY59+BX60-CG59)))</f>
        <v>291.39999999999998</v>
      </c>
      <c r="BZ60" s="14">
        <f>BY60*VLOOKUP('Données projet'!$B$12,Paramètres!$A$1:$I$89,3,0)*VLOOKUP('Données projet'!$B$12,Paramètres!$A$1:$I$89,5,0)</f>
        <v>231.83784000000003</v>
      </c>
      <c r="CA60" s="14">
        <f t="shared" si="39"/>
        <v>56.679881250286201</v>
      </c>
      <c r="CB60" s="22">
        <f t="shared" si="10"/>
        <v>502.50169784424844</v>
      </c>
      <c r="CC60" s="62">
        <f t="shared" si="11"/>
        <v>795.83503117758175</v>
      </c>
      <c r="CD60" s="62">
        <f ca="1">AVERAGE(OFFSET($CC$3,0,0,'Données projet'!$E$12+1,1))-AVERAGE(OFFSET($H$3,0,0,'Données projet'!$E$12+1,1))</f>
        <v>370.79299728190904</v>
      </c>
      <c r="CE60" s="62">
        <f t="shared" si="40"/>
        <v>404.95703400805775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</v>
      </c>
      <c r="CT60" s="13">
        <f>IF('Données projet'!$A$140&gt;35,CT59+CS60-DB59,IF(A60&lt;'Données projet'!$A$140,$CQ$205^A60,IF(A60='Données projet'!$A$140,'Données projet'!$B$140,CT59+CS60-DB59)))</f>
        <v>242.99999999999986</v>
      </c>
      <c r="CU60" s="18">
        <f>CT60*VLOOKUP('Données projet'!$B$13,Paramètres!$A$1:$I$89,3,0)*VLOOKUP('Données projet'!$B$13,Paramètres!$A$1:$I$89,5,0)</f>
        <v>212.2847999999999</v>
      </c>
      <c r="CV60" s="14">
        <f t="shared" si="41"/>
        <v>52.434557099704143</v>
      </c>
      <c r="CW60" s="22">
        <f t="shared" si="13"/>
        <v>461.05288028198453</v>
      </c>
      <c r="CX60" s="62">
        <f t="shared" si="14"/>
        <v>754.38621361531784</v>
      </c>
      <c r="CY60" s="62">
        <f ca="1">AVERAGE(OFFSET($CX$3,0,0,'Données projet'!$E$13+1,1))-AVERAGE(OFFSET($H$3,0,0,'Données projet'!$E$13+1,1))</f>
        <v>339.58437495284466</v>
      </c>
      <c r="CZ60" s="62">
        <f t="shared" si="42"/>
        <v>371.26234252426531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6.2</v>
      </c>
      <c r="DO60" s="13">
        <f>IF('Données projet'!$A$166&gt;35,DO59+DN60-DW59,IF(A60&lt;'Données projet'!$A$166,$DL$205^A60,IF(A60='Données projet'!$A$166,'Données projet'!$B$166,DO59+DN60-DW59)))</f>
        <v>291.39999999999998</v>
      </c>
      <c r="DP60" s="18">
        <f>DO60*VLOOKUP('Données projet'!$B$14,Paramètres!$A$1:$I$89,3,0)*VLOOKUP('Données projet'!$B$14,Paramètres!$A$1:$I$89,5,0)</f>
        <v>213.65447999999995</v>
      </c>
      <c r="DQ60" s="14">
        <f t="shared" si="43"/>
        <v>52.733377885657866</v>
      </c>
      <c r="DR60" s="22">
        <f t="shared" si="16"/>
        <v>463.95885248418728</v>
      </c>
      <c r="DS60" s="62">
        <f t="shared" si="17"/>
        <v>757.29218581752059</v>
      </c>
      <c r="DT60" s="62">
        <f ca="1">AVERAGE(OFFSET($DS$3,0,0,'Données projet'!$E$14+1,1))-AVERAGE(OFFSET($H$3,0,0,'Données projet'!$E$14+1,1))</f>
        <v>344.63665697794022</v>
      </c>
      <c r="DU60" s="62">
        <f t="shared" si="44"/>
        <v>376.72762011188041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5.3846153846153815</v>
      </c>
      <c r="EJ60" s="13">
        <f>IF('Données projet'!$A$192&gt;35,EJ59+EI60-ER59,IF(A60&lt;'Données projet'!$A$192,$EG$205^A60,IF(A60='Données projet'!$A$192,'Données projet'!$B$192,EJ59+EI60-ER59)))</f>
        <v>191.53846153846143</v>
      </c>
      <c r="EK60" s="18">
        <f>EJ60*VLOOKUP('Données projet'!$B$15,Paramètres!$A$1:$I$89,3,0)*VLOOKUP('Données projet'!$B$15,Paramètres!$A$1:$I$89,5,0)</f>
        <v>182.26799999999992</v>
      </c>
      <c r="EL60" s="14">
        <f t="shared" si="45"/>
        <v>45.82640608003836</v>
      </c>
      <c r="EM60" s="22">
        <f t="shared" si="19"/>
        <v>397.26442392273333</v>
      </c>
      <c r="EN60" s="62">
        <f t="shared" si="20"/>
        <v>690.59775725606664</v>
      </c>
      <c r="EO60" s="62">
        <f ca="1">AVERAGE(OFFSET($EN$3,0,0,'Données projet'!$E$15+1,1))-AVERAGE(OFFSET($H$3,0,0,'Données projet'!$E$15+1,1))</f>
        <v>406.24139966722936</v>
      </c>
      <c r="EP60" s="62">
        <f t="shared" si="46"/>
        <v>295.95724296920577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9.4</v>
      </c>
      <c r="FE60" s="13">
        <f>IF('Données projet'!$A$218&gt;35,FE59+FD60-FM59,IF(A60&lt;'Données projet'!$A$218,$FB$205^A60,IF(A60='Données projet'!$A$218,'Données projet'!$B$218,FE59+FD60-FM59)))</f>
        <v>244.79999999999998</v>
      </c>
      <c r="FF60" s="18">
        <f>FE60*VLOOKUP('Données projet'!$B$16,Paramètres!$A$1:$I$89,3,0)*VLOOKUP('Données projet'!$B$16,Paramètres!$A$1:$I$89,5,0)</f>
        <v>236.77055999999999</v>
      </c>
      <c r="FG60" s="14">
        <f t="shared" si="47"/>
        <v>57.744153841586929</v>
      </c>
      <c r="FH60" s="22">
        <f t="shared" si="22"/>
        <v>512.94645994076382</v>
      </c>
      <c r="FI60" s="62">
        <f t="shared" si="23"/>
        <v>806.27979327409707</v>
      </c>
      <c r="FJ60" s="62">
        <f ca="1">AVERAGE(OFFSET($FI$3,0,0,'Données projet'!$E$16+1,1))-AVERAGE(OFFSET($H$3,0,0,'Données projet'!$E$16+1,1))</f>
        <v>540.83352418045502</v>
      </c>
      <c r="FK60" s="62">
        <f t="shared" si="48"/>
        <v>294.45557293177131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9.375</v>
      </c>
      <c r="FZ60" s="13">
        <f>IF('Données projet'!$A$244&gt;35,FZ59+FY60-GH59,IF(A60&lt;'Données projet'!$A$244,$FW$205^A60,IF(A60='Données projet'!$A$244,'Données projet'!$B$244,FZ59+FY60-GH59)))</f>
        <v>268.87499999999994</v>
      </c>
      <c r="GA60" s="18">
        <f>FZ60*VLOOKUP('Données projet'!$B$17,Paramètres!$A$1:$I$89,3,0)*VLOOKUP('Données projet'!$B$17,Paramètres!$A$1:$I$89,5,0)</f>
        <v>209.72249999999997</v>
      </c>
      <c r="GB60" s="14">
        <f t="shared" si="49"/>
        <v>51.874940300502296</v>
      </c>
      <c r="GC60" s="22">
        <f t="shared" si="25"/>
        <v>455.61554185670815</v>
      </c>
      <c r="GD60" s="62">
        <f t="shared" si="26"/>
        <v>748.94887519004146</v>
      </c>
      <c r="GE60" s="62">
        <f ca="1">AVERAGE(OFFSET($GD$3,0,0,'Données projet'!$E$17+1,1))-AVERAGE(OFFSET($H$3,0,0,'Données projet'!$E$17+1,1))</f>
        <v>292.57482726862594</v>
      </c>
      <c r="GF60" s="62">
        <f t="shared" si="50"/>
        <v>283.48738729114024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5.8974358974358951</v>
      </c>
      <c r="GU60" s="13">
        <f>IF('Données projet'!$A$270&gt;35,GU59+GT60-HC59,IF(A60&lt;'Données projet'!$A$270,$GR$205^A60,IF(A60='Données projet'!$A$270,'Données projet'!$B$270,GU59+GT60-HC59)))</f>
        <v>237.43589743589743</v>
      </c>
      <c r="GV60" s="18">
        <f>GU60*VLOOKUP('Données projet'!$B$18,Paramètres!$A$1:$I$89,3,0)*VLOOKUP('Données projet'!$B$18,Paramètres!$A$1:$I$89,5,0)</f>
        <v>159.27200000000002</v>
      </c>
      <c r="GW60" s="14">
        <f t="shared" si="51"/>
        <v>40.678269418356507</v>
      </c>
      <c r="GX60" s="22">
        <f t="shared" si="28"/>
        <v>348.24671923697093</v>
      </c>
      <c r="GY60" s="62">
        <f t="shared" si="29"/>
        <v>641.58005257030425</v>
      </c>
      <c r="GZ60" s="62">
        <f ca="1">AVERAGE(OFFSET($GY$3,0,0,'Données projet'!$E$18+1,1))-AVERAGE(OFFSET($H$3,0,0,'Données projet'!$E$18+1,1))</f>
        <v>343.33067866534634</v>
      </c>
      <c r="HA60" s="62">
        <f t="shared" si="52"/>
        <v>261.91036689641402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508.77990078889337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257.75880000000001</v>
      </c>
      <c r="AK61" s="14">
        <f t="shared" si="35"/>
        <v>62.244404241627407</v>
      </c>
      <c r="AL61" s="22">
        <f t="shared" si="4"/>
        <v>557.33891405416773</v>
      </c>
      <c r="AM61" s="62">
        <f t="shared" si="5"/>
        <v>850.6722473875011</v>
      </c>
      <c r="AN61" s="62">
        <f ca="1">AVERAGE(OFFSET($AM$3,0,0,'Données projet'!$E$10+1,1))-AVERAGE(OFFSET($H$3,0,0,'Données projet'!$E$10+1,1))</f>
        <v>564.84596170333884</v>
      </c>
      <c r="AO61" s="62">
        <f t="shared" si="36"/>
        <v>306.61893266146666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</v>
      </c>
      <c r="BD61" s="13">
        <f>IF('Données projet'!$A$88&gt;35,BD60+BC61-BL60,IF(A61&lt;'Données projet'!$A$88,$BA$205^A61,IF(A61='Données projet'!$A$88,'Données projet'!$B$88,BD60+BC61-BL60)))</f>
        <v>297.59999999999997</v>
      </c>
      <c r="BE61" s="14">
        <f>BD61*VLOOKUP('Données projet'!$B$11,Paramètres!$A$1:$I$89,3,0)*VLOOKUP('Données projet'!$B$11,Paramètres!$A$1:$I$89,5,0)</f>
        <v>236.77055999999999</v>
      </c>
      <c r="BF61" s="14">
        <f t="shared" si="37"/>
        <v>57.744153841586929</v>
      </c>
      <c r="BG61" s="22">
        <f t="shared" si="7"/>
        <v>512.94645994076382</v>
      </c>
      <c r="BH61" s="62">
        <f t="shared" si="8"/>
        <v>806.27979327409707</v>
      </c>
      <c r="BI61" s="62">
        <f ca="1">AVERAGE(OFFSET($BH$3,0,0,'Données projet'!$E$11+1,1))-AVERAGE(OFFSET($H$3,0,0,'Données projet'!$E$11+1,1))</f>
        <v>370.79299728190904</v>
      </c>
      <c r="BJ61" s="62">
        <f t="shared" si="38"/>
        <v>404.95703400805775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6.2</v>
      </c>
      <c r="BY61" s="13">
        <f>IF('Données projet'!$A$114&gt;35,BY60+BX61-CG60,IF(A61&lt;'Données projet'!$A$114,$BV$205^A61,IF(A61='Données projet'!$A$114,'Données projet'!$B$114,BY60+BX61-CG60)))</f>
        <v>297.59999999999997</v>
      </c>
      <c r="BZ61" s="14">
        <f>BY61*VLOOKUP('Données projet'!$B$12,Paramètres!$A$1:$I$89,3,0)*VLOOKUP('Données projet'!$B$12,Paramètres!$A$1:$I$89,5,0)</f>
        <v>236.77055999999999</v>
      </c>
      <c r="CA61" s="14">
        <f t="shared" si="39"/>
        <v>57.744153841586929</v>
      </c>
      <c r="CB61" s="22">
        <f t="shared" si="10"/>
        <v>512.94645994076382</v>
      </c>
      <c r="CC61" s="62">
        <f t="shared" si="11"/>
        <v>806.27979327409707</v>
      </c>
      <c r="CD61" s="62">
        <f ca="1">AVERAGE(OFFSET($CC$3,0,0,'Données projet'!$E$12+1,1))-AVERAGE(OFFSET($H$3,0,0,'Données projet'!$E$12+1,1))</f>
        <v>370.79299728190904</v>
      </c>
      <c r="CE61" s="62">
        <f t="shared" si="40"/>
        <v>404.95703400805775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</v>
      </c>
      <c r="CT61" s="13">
        <f>IF('Données projet'!$A$140&gt;35,CT60+CS61-DB60,IF(A61&lt;'Données projet'!$A$140,$CQ$205^A61,IF(A61='Données projet'!$A$140,'Données projet'!$B$140,CT60+CS61-DB60)))</f>
        <v>247.99999999999986</v>
      </c>
      <c r="CU61" s="18">
        <f>CT61*VLOOKUP('Données projet'!$B$13,Paramètres!$A$1:$I$89,3,0)*VLOOKUP('Données projet'!$B$13,Paramètres!$A$1:$I$89,5,0)</f>
        <v>216.6527999999999</v>
      </c>
      <c r="CV61" s="14">
        <f t="shared" si="41"/>
        <v>53.38674047237982</v>
      </c>
      <c r="CW61" s="22">
        <f t="shared" si="13"/>
        <v>470.3188663227279</v>
      </c>
      <c r="CX61" s="62">
        <f t="shared" si="14"/>
        <v>763.65219965606116</v>
      </c>
      <c r="CY61" s="62">
        <f ca="1">AVERAGE(OFFSET($CX$3,0,0,'Données projet'!$E$13+1,1))-AVERAGE(OFFSET($H$3,0,0,'Données projet'!$E$13+1,1))</f>
        <v>339.58437495284466</v>
      </c>
      <c r="CZ61" s="62">
        <f t="shared" si="42"/>
        <v>371.26234252426531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6.2</v>
      </c>
      <c r="DO61" s="13">
        <f>IF('Données projet'!$A$166&gt;35,DO60+DN61-DW60,IF(A61&lt;'Données projet'!$A$166,$DL$205^A61,IF(A61='Données projet'!$A$166,'Données projet'!$B$166,DO60+DN61-DW60)))</f>
        <v>297.59999999999997</v>
      </c>
      <c r="DP61" s="18">
        <f>DO61*VLOOKUP('Données projet'!$B$14,Paramètres!$A$1:$I$89,3,0)*VLOOKUP('Données projet'!$B$14,Paramètres!$A$1:$I$89,5,0)</f>
        <v>218.20031999999998</v>
      </c>
      <c r="DQ61" s="14">
        <f t="shared" si="43"/>
        <v>53.723547368945667</v>
      </c>
      <c r="DR61" s="22">
        <f t="shared" si="16"/>
        <v>473.6007356675803</v>
      </c>
      <c r="DS61" s="62">
        <f t="shared" si="17"/>
        <v>766.93406900091361</v>
      </c>
      <c r="DT61" s="62">
        <f ca="1">AVERAGE(OFFSET($DS$3,0,0,'Données projet'!$E$14+1,1))-AVERAGE(OFFSET($H$3,0,0,'Données projet'!$E$14+1,1))</f>
        <v>344.63665697794022</v>
      </c>
      <c r="DU61" s="62">
        <f t="shared" si="44"/>
        <v>376.72762011188041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5.3846153846153815</v>
      </c>
      <c r="EJ61" s="13">
        <f>IF('Données projet'!$A$192&gt;35,EJ60+EI61-ER60,IF(A61&lt;'Données projet'!$A$192,$EG$205^A61,IF(A61='Données projet'!$A$192,'Données projet'!$B$192,EJ60+EI61-ER60)))</f>
        <v>196.92307692307682</v>
      </c>
      <c r="EK61" s="18">
        <f>EJ61*VLOOKUP('Données projet'!$B$15,Paramètres!$A$1:$I$89,3,0)*VLOOKUP('Données projet'!$B$15,Paramètres!$A$1:$I$89,5,0)</f>
        <v>187.39199999999988</v>
      </c>
      <c r="EL61" s="14">
        <f t="shared" si="45"/>
        <v>46.962898087285787</v>
      </c>
      <c r="EM61" s="22">
        <f t="shared" si="19"/>
        <v>408.16811416868921</v>
      </c>
      <c r="EN61" s="62">
        <f t="shared" si="20"/>
        <v>701.50144750202253</v>
      </c>
      <c r="EO61" s="62">
        <f ca="1">AVERAGE(OFFSET($EN$3,0,0,'Données projet'!$E$15+1,1))-AVERAGE(OFFSET($H$3,0,0,'Données projet'!$E$15+1,1))</f>
        <v>406.24139966722936</v>
      </c>
      <c r="EP61" s="62">
        <f t="shared" si="46"/>
        <v>295.95724296920577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9.4</v>
      </c>
      <c r="FE61" s="13">
        <f>IF('Données projet'!$A$218&gt;35,FE60+FD61-FM60,IF(A61&lt;'Données projet'!$A$218,$FB$205^A61,IF(A61='Données projet'!$A$218,'Données projet'!$B$218,FE60+FD61-FM60)))</f>
        <v>254.2</v>
      </c>
      <c r="FF61" s="18">
        <f>FE61*VLOOKUP('Données projet'!$B$16,Paramètres!$A$1:$I$89,3,0)*VLOOKUP('Données projet'!$B$16,Paramètres!$A$1:$I$89,5,0)</f>
        <v>245.86223999999999</v>
      </c>
      <c r="FG61" s="14">
        <f t="shared" si="47"/>
        <v>59.699043025687963</v>
      </c>
      <c r="FH61" s="22">
        <f t="shared" si="22"/>
        <v>532.18590126973982</v>
      </c>
      <c r="FI61" s="62">
        <f t="shared" si="23"/>
        <v>825.51923460307307</v>
      </c>
      <c r="FJ61" s="62">
        <f ca="1">AVERAGE(OFFSET($FI$3,0,0,'Données projet'!$E$16+1,1))-AVERAGE(OFFSET($H$3,0,0,'Données projet'!$E$16+1,1))</f>
        <v>540.83352418045502</v>
      </c>
      <c r="FK61" s="62">
        <f t="shared" si="48"/>
        <v>294.45557293177131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9.375</v>
      </c>
      <c r="FZ61" s="13">
        <f>IF('Données projet'!$A$244&gt;35,FZ60+FY61-GH60,IF(A61&lt;'Données projet'!$A$244,$FW$205^A61,IF(A61='Données projet'!$A$244,'Données projet'!$B$244,FZ60+FY61-GH60)))</f>
        <v>278.24999999999994</v>
      </c>
      <c r="GA61" s="18">
        <f>FZ61*VLOOKUP('Données projet'!$B$17,Paramètres!$A$1:$I$89,3,0)*VLOOKUP('Données projet'!$B$17,Paramètres!$A$1:$I$89,5,0)</f>
        <v>217.03499999999997</v>
      </c>
      <c r="GB61" s="14">
        <f t="shared" si="49"/>
        <v>53.469949591969474</v>
      </c>
      <c r="GC61" s="22">
        <f t="shared" si="25"/>
        <v>471.12945387268002</v>
      </c>
      <c r="GD61" s="62">
        <f t="shared" si="26"/>
        <v>764.46278720601333</v>
      </c>
      <c r="GE61" s="62">
        <f ca="1">AVERAGE(OFFSET($GD$3,0,0,'Données projet'!$E$17+1,1))-AVERAGE(OFFSET($H$3,0,0,'Données projet'!$E$17+1,1))</f>
        <v>292.57482726862594</v>
      </c>
      <c r="GF61" s="62">
        <f t="shared" si="50"/>
        <v>283.48738729114024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5.8974358974358951</v>
      </c>
      <c r="GU61" s="13">
        <f>IF('Données projet'!$A$270&gt;35,GU60+GT61-HC60,IF(A61&lt;'Données projet'!$A$270,$GR$205^A61,IF(A61='Données projet'!$A$270,'Données projet'!$B$270,GU60+GT61-HC60)))</f>
        <v>243.33333333333331</v>
      </c>
      <c r="GV61" s="18">
        <f>GU61*VLOOKUP('Données projet'!$B$18,Paramètres!$A$1:$I$89,3,0)*VLOOKUP('Données projet'!$B$18,Paramètres!$A$1:$I$89,5,0)</f>
        <v>163.22799999999998</v>
      </c>
      <c r="GW61" s="14">
        <f t="shared" si="51"/>
        <v>41.569751262115432</v>
      </c>
      <c r="GX61" s="22">
        <f t="shared" si="28"/>
        <v>356.68941678151765</v>
      </c>
      <c r="GY61" s="62">
        <f t="shared" si="29"/>
        <v>650.02275011485096</v>
      </c>
      <c r="GZ61" s="62">
        <f ca="1">AVERAGE(OFFSET($GY$3,0,0,'Données projet'!$E$18+1,1))-AVERAGE(OFFSET($H$3,0,0,'Données projet'!$E$18+1,1))</f>
        <v>343.33067866534634</v>
      </c>
      <c r="HA61" s="62">
        <f t="shared" si="52"/>
        <v>261.91036689641402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508.77990078889337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267.29039999999998</v>
      </c>
      <c r="AK62" s="14">
        <f t="shared" si="35"/>
        <v>64.273886654661325</v>
      </c>
      <c r="AL62" s="22">
        <f t="shared" si="4"/>
        <v>577.47446592353515</v>
      </c>
      <c r="AM62" s="62">
        <f t="shared" si="5"/>
        <v>870.80779925686852</v>
      </c>
      <c r="AN62" s="62">
        <f ca="1">AVERAGE(OFFSET($AM$3,0,0,'Données projet'!$E$10+1,1))-AVERAGE(OFFSET($H$3,0,0,'Données projet'!$E$10+1,1))</f>
        <v>564.84596170333884</v>
      </c>
      <c r="AO62" s="62">
        <f t="shared" si="36"/>
        <v>306.61893266146666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</v>
      </c>
      <c r="BD62" s="13">
        <f>IF('Données projet'!$A$88&gt;35,BD61+BC62-BL61,IF(A62&lt;'Données projet'!$A$88,$BA$205^A62,IF(A62='Données projet'!$A$88,'Données projet'!$B$88,BD61+BC62-BL61)))</f>
        <v>303.79999999999995</v>
      </c>
      <c r="BE62" s="14">
        <f>BD62*VLOOKUP('Données projet'!$B$11,Paramètres!$A$1:$I$89,3,0)*VLOOKUP('Données projet'!$B$11,Paramètres!$A$1:$I$89,5,0)</f>
        <v>241.70327999999998</v>
      </c>
      <c r="BF62" s="14">
        <f t="shared" si="37"/>
        <v>58.805848501502631</v>
      </c>
      <c r="BG62" s="22">
        <f t="shared" si="7"/>
        <v>523.38673214011703</v>
      </c>
      <c r="BH62" s="62">
        <f t="shared" si="8"/>
        <v>816.7200654734504</v>
      </c>
      <c r="BI62" s="62">
        <f ca="1">AVERAGE(OFFSET($BH$3,0,0,'Données projet'!$E$11+1,1))-AVERAGE(OFFSET($H$3,0,0,'Données projet'!$E$11+1,1))</f>
        <v>370.79299728190904</v>
      </c>
      <c r="BJ62" s="62">
        <f t="shared" si="38"/>
        <v>404.95703400805775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6.2</v>
      </c>
      <c r="BY62" s="13">
        <f>IF('Données projet'!$A$114&gt;35,BY61+BX62-CG61,IF(A62&lt;'Données projet'!$A$114,$BV$205^A62,IF(A62='Données projet'!$A$114,'Données projet'!$B$114,BY61+BX62-CG61)))</f>
        <v>303.79999999999995</v>
      </c>
      <c r="BZ62" s="14">
        <f>BY62*VLOOKUP('Données projet'!$B$12,Paramètres!$A$1:$I$89,3,0)*VLOOKUP('Données projet'!$B$12,Paramètres!$A$1:$I$89,5,0)</f>
        <v>241.70327999999998</v>
      </c>
      <c r="CA62" s="14">
        <f t="shared" si="39"/>
        <v>58.805848501502631</v>
      </c>
      <c r="CB62" s="22">
        <f t="shared" si="10"/>
        <v>523.38673214011703</v>
      </c>
      <c r="CC62" s="62">
        <f t="shared" si="11"/>
        <v>816.7200654734504</v>
      </c>
      <c r="CD62" s="62">
        <f ca="1">AVERAGE(OFFSET($CC$3,0,0,'Données projet'!$E$12+1,1))-AVERAGE(OFFSET($H$3,0,0,'Données projet'!$E$12+1,1))</f>
        <v>370.79299728190904</v>
      </c>
      <c r="CE62" s="62">
        <f t="shared" si="40"/>
        <v>404.95703400805775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</v>
      </c>
      <c r="CT62" s="13">
        <f>IF('Données projet'!$A$140&gt;35,CT61+CS62-DB61,IF(A62&lt;'Données projet'!$A$140,$CQ$205^A62,IF(A62='Données projet'!$A$140,'Données projet'!$B$140,CT61+CS62-DB61)))</f>
        <v>252.99999999999986</v>
      </c>
      <c r="CU62" s="18">
        <f>CT62*VLOOKUP('Données projet'!$B$13,Paramètres!$A$1:$I$89,3,0)*VLOOKUP('Données projet'!$B$13,Paramètres!$A$1:$I$89,5,0)</f>
        <v>221.02079999999989</v>
      </c>
      <c r="CV62" s="14">
        <f t="shared" si="41"/>
        <v>54.336691745796898</v>
      </c>
      <c r="CW62" s="22">
        <f t="shared" si="13"/>
        <v>479.58096479059606</v>
      </c>
      <c r="CX62" s="62">
        <f t="shared" si="14"/>
        <v>772.91429812392937</v>
      </c>
      <c r="CY62" s="62">
        <f ca="1">AVERAGE(OFFSET($CX$3,0,0,'Données projet'!$E$13+1,1))-AVERAGE(OFFSET($H$3,0,0,'Données projet'!$E$13+1,1))</f>
        <v>339.58437495284466</v>
      </c>
      <c r="CZ62" s="62">
        <f t="shared" si="42"/>
        <v>371.26234252426531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6.2</v>
      </c>
      <c r="DO62" s="13">
        <f>IF('Données projet'!$A$166&gt;35,DO61+DN62-DW61,IF(A62&lt;'Données projet'!$A$166,$DL$205^A62,IF(A62='Données projet'!$A$166,'Données projet'!$B$166,DO61+DN62-DW61)))</f>
        <v>303.79999999999995</v>
      </c>
      <c r="DP62" s="18">
        <f>DO62*VLOOKUP('Données projet'!$B$14,Paramètres!$A$1:$I$89,3,0)*VLOOKUP('Données projet'!$B$14,Paramètres!$A$1:$I$89,5,0)</f>
        <v>222.74615999999997</v>
      </c>
      <c r="DQ62" s="14">
        <f t="shared" si="43"/>
        <v>54.711318416900006</v>
      </c>
      <c r="DR62" s="22">
        <f t="shared" si="16"/>
        <v>483.23844157610074</v>
      </c>
      <c r="DS62" s="62">
        <f t="shared" si="17"/>
        <v>776.571774909434</v>
      </c>
      <c r="DT62" s="62">
        <f ca="1">AVERAGE(OFFSET($DS$3,0,0,'Données projet'!$E$14+1,1))-AVERAGE(OFFSET($H$3,0,0,'Données projet'!$E$14+1,1))</f>
        <v>344.63665697794022</v>
      </c>
      <c r="DU62" s="62">
        <f t="shared" si="44"/>
        <v>376.72762011188041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5.3846153846153815</v>
      </c>
      <c r="EJ62" s="13">
        <f>IF('Données projet'!$A$192&gt;35,EJ61+EI62-ER61,IF(A62&lt;'Données projet'!$A$192,$EG$205^A62,IF(A62='Données projet'!$A$192,'Données projet'!$B$192,EJ61+EI62-ER61)))</f>
        <v>202.30769230769221</v>
      </c>
      <c r="EK62" s="18">
        <f>EJ62*VLOOKUP('Données projet'!$B$15,Paramètres!$A$1:$I$89,3,0)*VLOOKUP('Données projet'!$B$15,Paramètres!$A$1:$I$89,5,0)</f>
        <v>192.51599999999991</v>
      </c>
      <c r="EL62" s="14">
        <f t="shared" si="45"/>
        <v>48.095778128339838</v>
      </c>
      <c r="EM62" s="22">
        <f t="shared" si="19"/>
        <v>419.06551357352504</v>
      </c>
      <c r="EN62" s="62">
        <f t="shared" si="20"/>
        <v>712.39884690685835</v>
      </c>
      <c r="EO62" s="62">
        <f ca="1">AVERAGE(OFFSET($EN$3,0,0,'Données projet'!$E$15+1,1))-AVERAGE(OFFSET($H$3,0,0,'Données projet'!$E$15+1,1))</f>
        <v>406.24139966722936</v>
      </c>
      <c r="EP62" s="62">
        <f t="shared" si="46"/>
        <v>295.95724296920577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9.4</v>
      </c>
      <c r="FE62" s="13">
        <f>IF('Données projet'!$A$218&gt;35,FE61+FD62-FM61,IF(A62&lt;'Données projet'!$A$218,$FB$205^A62,IF(A62='Données projet'!$A$218,'Données projet'!$B$218,FE61+FD62-FM61)))</f>
        <v>263.59999999999997</v>
      </c>
      <c r="FF62" s="18">
        <f>FE62*VLOOKUP('Données projet'!$B$16,Paramètres!$A$1:$I$89,3,0)*VLOOKUP('Données projet'!$B$16,Paramètres!$A$1:$I$89,5,0)</f>
        <v>254.95391999999998</v>
      </c>
      <c r="FG62" s="14">
        <f t="shared" si="47"/>
        <v>61.645533788540583</v>
      </c>
      <c r="FH62" s="22">
        <f t="shared" si="22"/>
        <v>551.41071534837477</v>
      </c>
      <c r="FI62" s="62">
        <f t="shared" si="23"/>
        <v>844.74404868170814</v>
      </c>
      <c r="FJ62" s="62">
        <f ca="1">AVERAGE(OFFSET($FI$3,0,0,'Données projet'!$E$16+1,1))-AVERAGE(OFFSET($H$3,0,0,'Données projet'!$E$16+1,1))</f>
        <v>540.83352418045502</v>
      </c>
      <c r="FK62" s="62">
        <f t="shared" si="48"/>
        <v>294.45557293177131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9.375</v>
      </c>
      <c r="FZ62" s="13">
        <f>IF('Données projet'!$A$244&gt;35,FZ61+FY62-GH61,IF(A62&lt;'Données projet'!$A$244,$FW$205^A62,IF(A62='Données projet'!$A$244,'Données projet'!$B$244,FZ61+FY62-GH61)))</f>
        <v>287.62499999999994</v>
      </c>
      <c r="GA62" s="18">
        <f>FZ62*VLOOKUP('Données projet'!$B$17,Paramètres!$A$1:$I$89,3,0)*VLOOKUP('Données projet'!$B$17,Paramètres!$A$1:$I$89,5,0)</f>
        <v>224.34749999999997</v>
      </c>
      <c r="GB62" s="14">
        <f t="shared" si="49"/>
        <v>55.058714525680479</v>
      </c>
      <c r="GC62" s="22">
        <f t="shared" si="25"/>
        <v>486.63249029889352</v>
      </c>
      <c r="GD62" s="62">
        <f t="shared" si="26"/>
        <v>779.96582363222683</v>
      </c>
      <c r="GE62" s="62">
        <f ca="1">AVERAGE(OFFSET($GD$3,0,0,'Données projet'!$E$17+1,1))-AVERAGE(OFFSET($H$3,0,0,'Données projet'!$E$17+1,1))</f>
        <v>292.57482726862594</v>
      </c>
      <c r="GF62" s="62">
        <f t="shared" si="50"/>
        <v>283.48738729114024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5.8974358974358951</v>
      </c>
      <c r="GU62" s="13">
        <f>IF('Données projet'!$A$270&gt;35,GU61+GT62-HC61,IF(A62&lt;'Données projet'!$A$270,$GR$205^A62,IF(A62='Données projet'!$A$270,'Données projet'!$B$270,GU61+GT62-HC61)))</f>
        <v>249.2307692307692</v>
      </c>
      <c r="GV62" s="18">
        <f>GU62*VLOOKUP('Données projet'!$B$18,Paramètres!$A$1:$I$89,3,0)*VLOOKUP('Données projet'!$B$18,Paramètres!$A$1:$I$89,5,0)</f>
        <v>167.18399999999997</v>
      </c>
      <c r="GW62" s="14">
        <f t="shared" si="51"/>
        <v>42.458721453110179</v>
      </c>
      <c r="GX62" s="22">
        <f t="shared" si="28"/>
        <v>365.12773986416681</v>
      </c>
      <c r="GY62" s="62">
        <f t="shared" si="29"/>
        <v>658.46107319750013</v>
      </c>
      <c r="GZ62" s="62">
        <f ca="1">AVERAGE(OFFSET($GY$3,0,0,'Données projet'!$E$18+1,1))-AVERAGE(OFFSET($H$3,0,0,'Données projet'!$E$18+1,1))</f>
        <v>343.33067866534634</v>
      </c>
      <c r="HA62" s="62">
        <f t="shared" si="52"/>
        <v>261.91036689641402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508.77990078889337</v>
      </c>
      <c r="T63" s="62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276.82199999999995</v>
      </c>
      <c r="AK63" s="14">
        <f t="shared" si="35"/>
        <v>66.29496059864374</v>
      </c>
      <c r="AL63" s="22">
        <f t="shared" si="4"/>
        <v>597.59537304263779</v>
      </c>
      <c r="AM63" s="62">
        <f t="shared" si="5"/>
        <v>890.92870637597116</v>
      </c>
      <c r="AN63" s="62">
        <f ca="1">AVERAGE(OFFSET($AM$3,0,0,'Données projet'!$E$10+1,1))-AVERAGE(OFFSET($H$3,0,0,'Données projet'!$E$10+1,1))</f>
        <v>564.84596170333884</v>
      </c>
      <c r="AO63" s="62">
        <f t="shared" si="36"/>
        <v>306.61893266146666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310</v>
      </c>
      <c r="BB63" s="13">
        <f>VLOOKUP(A63,'Données projet'!$A$87:$I$107,9,0)</f>
        <v>6.2</v>
      </c>
      <c r="BC63" s="13">
        <f t="array" ref="BC63">INDEX(BB:BB,MIN(IF(ISNUMBER(BB63:BB259),ROW(BB63:BB259),"")))</f>
        <v>6.2</v>
      </c>
      <c r="BD63" s="13">
        <f>IF('Données projet'!$A$88&gt;35,BD62+BC63-BL62,IF(A63&lt;'Données projet'!$A$88,$BA$205^A63,IF(A63='Données projet'!$A$88,'Données projet'!$B$88,BD62+BC63-BL62)))</f>
        <v>309.99999999999994</v>
      </c>
      <c r="BE63" s="14">
        <f>BD63*VLOOKUP('Données projet'!$B$11,Paramètres!$A$1:$I$89,3,0)*VLOOKUP('Données projet'!$B$11,Paramètres!$A$1:$I$89,5,0)</f>
        <v>246.63599999999997</v>
      </c>
      <c r="BF63" s="14">
        <f t="shared" si="37"/>
        <v>59.865023903294535</v>
      </c>
      <c r="BG63" s="22">
        <f t="shared" si="7"/>
        <v>533.82261663157112</v>
      </c>
      <c r="BH63" s="62">
        <f t="shared" si="8"/>
        <v>827.15594996490449</v>
      </c>
      <c r="BI63" s="62">
        <f ca="1">AVERAGE(OFFSET($BH$3,0,0,'Données projet'!$E$11+1,1))-AVERAGE(OFFSET($H$3,0,0,'Données projet'!$E$11+1,1))</f>
        <v>370.79299728190904</v>
      </c>
      <c r="BJ63" s="62">
        <f t="shared" si="38"/>
        <v>404.95703400805775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310</v>
      </c>
      <c r="BW63" s="13">
        <f>VLOOKUP(A63,'Données projet'!$A$113:$I$133,9,0)</f>
        <v>6.2</v>
      </c>
      <c r="BX63" s="13">
        <f t="array" ref="BX63">INDEX(BW:BW,MIN(IF(ISNUMBER(BW63:BW259),ROW(BW63:BW259),"")))</f>
        <v>6.2</v>
      </c>
      <c r="BY63" s="13">
        <f>IF('Données projet'!$A$114&gt;35,BY62+BX63-CG62,IF(A63&lt;'Données projet'!$A$114,$BV$205^A63,IF(A63='Données projet'!$A$114,'Données projet'!$B$114,BY62+BX63-CG62)))</f>
        <v>309.99999999999994</v>
      </c>
      <c r="BZ63" s="14">
        <f>BY63*VLOOKUP('Données projet'!$B$12,Paramètres!$A$1:$I$89,3,0)*VLOOKUP('Données projet'!$B$12,Paramètres!$A$1:$I$89,5,0)</f>
        <v>246.63599999999997</v>
      </c>
      <c r="CA63" s="14">
        <f t="shared" si="39"/>
        <v>59.865023903294535</v>
      </c>
      <c r="CB63" s="22">
        <f t="shared" si="10"/>
        <v>533.82261663157112</v>
      </c>
      <c r="CC63" s="62">
        <f t="shared" si="11"/>
        <v>827.15594996490449</v>
      </c>
      <c r="CD63" s="62">
        <f ca="1">AVERAGE(OFFSET($CC$3,0,0,'Données projet'!$E$12+1,1))-AVERAGE(OFFSET($H$3,0,0,'Données projet'!$E$12+1,1))</f>
        <v>370.79299728190904</v>
      </c>
      <c r="CE63" s="62">
        <f t="shared" si="40"/>
        <v>404.95703400805775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258</v>
      </c>
      <c r="CR63" s="13">
        <f>VLOOKUP(A63,'Données projet'!$A$139:$I$159,9,0)</f>
        <v>5</v>
      </c>
      <c r="CS63" s="13">
        <f t="array" ref="CS63">INDEX(CR:CR,MIN(IF(ISNUMBER(CR63:CR259),ROW(CR63:CR259),"")))</f>
        <v>5</v>
      </c>
      <c r="CT63" s="13">
        <f>IF('Données projet'!$A$140&gt;35,CT62+CS63-DB62,IF(A63&lt;'Données projet'!$A$140,$CQ$205^A63,IF(A63='Données projet'!$A$140,'Données projet'!$B$140,CT62+CS63-DB62)))</f>
        <v>257.99999999999989</v>
      </c>
      <c r="CU63" s="18">
        <f>CT63*VLOOKUP('Données projet'!$B$13,Paramètres!$A$1:$I$89,3,0)*VLOOKUP('Données projet'!$B$13,Paramètres!$A$1:$I$89,5,0)</f>
        <v>225.38879999999995</v>
      </c>
      <c r="CV63" s="14">
        <f t="shared" si="41"/>
        <v>55.284460117161544</v>
      </c>
      <c r="CW63" s="22">
        <f t="shared" si="13"/>
        <v>488.83926137072285</v>
      </c>
      <c r="CX63" s="62">
        <f t="shared" si="14"/>
        <v>782.17259470405611</v>
      </c>
      <c r="CY63" s="62">
        <f ca="1">AVERAGE(OFFSET($CX$3,0,0,'Données projet'!$E$13+1,1))-AVERAGE(OFFSET($H$3,0,0,'Données projet'!$E$13+1,1))</f>
        <v>339.58437495284466</v>
      </c>
      <c r="CZ63" s="62">
        <f t="shared" si="42"/>
        <v>371.26234252426531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25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310</v>
      </c>
      <c r="DM63" s="13">
        <f>VLOOKUP(A63,'Données projet'!$A$165:$I$185,9,0)</f>
        <v>6.2</v>
      </c>
      <c r="DN63" s="13">
        <f t="array" ref="DN63">INDEX(DM:DM,MIN(IF(ISNUMBER(DM63:DM259),ROW(DM63:DM259),"")))</f>
        <v>6.2</v>
      </c>
      <c r="DO63" s="13">
        <f>IF('Données projet'!$A$166&gt;35,DO62+DN63-DW62,IF(A63&lt;'Données projet'!$A$166,$DL$205^A63,IF(A63='Données projet'!$A$166,'Données projet'!$B$166,DO62+DN63-DW62)))</f>
        <v>309.99999999999994</v>
      </c>
      <c r="DP63" s="18">
        <f>DO63*VLOOKUP('Données projet'!$B$14,Paramètres!$A$1:$I$89,3,0)*VLOOKUP('Données projet'!$B$14,Paramètres!$A$1:$I$89,5,0)</f>
        <v>227.29199999999994</v>
      </c>
      <c r="DQ63" s="14">
        <f t="shared" si="43"/>
        <v>55.6967456174837</v>
      </c>
      <c r="DR63" s="22">
        <f t="shared" si="16"/>
        <v>492.87206528378402</v>
      </c>
      <c r="DS63" s="62">
        <f t="shared" si="17"/>
        <v>786.20539861711734</v>
      </c>
      <c r="DT63" s="62">
        <f ca="1">AVERAGE(OFFSET($DS$3,0,0,'Données projet'!$E$14+1,1))-AVERAGE(OFFSET($H$3,0,0,'Données projet'!$E$14+1,1))</f>
        <v>344.63665697794022</v>
      </c>
      <c r="DU63" s="62">
        <f t="shared" si="44"/>
        <v>376.72762011188041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207.69230769230768</v>
      </c>
      <c r="EH63" s="13">
        <f>VLOOKUP(A63,'Données projet'!$A$191:$I$211,9,0)</f>
        <v>5.3846153846153815</v>
      </c>
      <c r="EI63" s="13">
        <f t="array" ref="EI63">INDEX(EH:EH,MIN(IF(ISNUMBER(EH63:EH259),ROW(EH63:EH259),"")))</f>
        <v>5.3846153846153815</v>
      </c>
      <c r="EJ63" s="13">
        <f>IF('Données projet'!$A$192&gt;35,EJ62+EI63-ER62,IF(A63&lt;'Données projet'!$A$192,$EG$205^A63,IF(A63='Données projet'!$A$192,'Données projet'!$B$192,EJ62+EI63-ER62)))</f>
        <v>207.69230769230759</v>
      </c>
      <c r="EK63" s="18">
        <f>EJ63*VLOOKUP('Données projet'!$B$15,Paramètres!$A$1:$I$89,3,0)*VLOOKUP('Données projet'!$B$15,Paramètres!$A$1:$I$89,5,0)</f>
        <v>197.63999999999993</v>
      </c>
      <c r="EL63" s="14">
        <f t="shared" si="45"/>
        <v>49.22515338895078</v>
      </c>
      <c r="EM63" s="22">
        <f t="shared" si="19"/>
        <v>429.95680881908919</v>
      </c>
      <c r="EN63" s="62">
        <f t="shared" si="20"/>
        <v>723.2901421524225</v>
      </c>
      <c r="EO63" s="62">
        <f ca="1">AVERAGE(OFFSET($EN$3,0,0,'Données projet'!$E$15+1,1))-AVERAGE(OFFSET($H$3,0,0,'Données projet'!$E$15+1,1))</f>
        <v>406.24139966722936</v>
      </c>
      <c r="EP63" s="62">
        <f t="shared" si="46"/>
        <v>295.95724296920577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273</v>
      </c>
      <c r="FC63" s="13">
        <f>VLOOKUP(A63,'Données projet'!$A$217:$I$237,9,0)</f>
        <v>9.4</v>
      </c>
      <c r="FD63" s="13">
        <f t="array" ref="FD63">INDEX(FC:FC,MIN(IF(ISNUMBER(FC63:FC259),ROW(FC63:FC259),"")))</f>
        <v>9.4</v>
      </c>
      <c r="FE63" s="13">
        <f>IF('Données projet'!$A$218&gt;35,FE62+FD63-FM62,IF(A63&lt;'Données projet'!$A$218,$FB$205^A63,IF(A63='Données projet'!$A$218,'Données projet'!$B$218,FE62+FD63-FM62)))</f>
        <v>272.99999999999994</v>
      </c>
      <c r="FF63" s="18">
        <f>FE63*VLOOKUP('Données projet'!$B$16,Paramètres!$A$1:$I$89,3,0)*VLOOKUP('Données projet'!$B$16,Paramètres!$A$1:$I$89,5,0)</f>
        <v>264.04559999999992</v>
      </c>
      <c r="FG63" s="14">
        <f t="shared" si="47"/>
        <v>63.58395992997368</v>
      </c>
      <c r="FH63" s="22">
        <f t="shared" si="22"/>
        <v>570.62148354470401</v>
      </c>
      <c r="FI63" s="62">
        <f t="shared" si="23"/>
        <v>863.95481687803726</v>
      </c>
      <c r="FJ63" s="62">
        <f ca="1">AVERAGE(OFFSET($FI$3,0,0,'Données projet'!$E$16+1,1))-AVERAGE(OFFSET($H$3,0,0,'Données projet'!$E$16+1,1))</f>
        <v>540.83352418045502</v>
      </c>
      <c r="FK63" s="62">
        <f t="shared" si="48"/>
        <v>294.45557293177131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297</v>
      </c>
      <c r="FX63" s="13">
        <f>VLOOKUP(A63,'Données projet'!$A$243:$I$263,9,0)</f>
        <v>9.375</v>
      </c>
      <c r="FY63" s="13">
        <f t="array" ref="FY63">INDEX(FX:FX,MIN(IF(ISNUMBER(FX63:FX259),ROW(FX63:FX259),"")))</f>
        <v>9.375</v>
      </c>
      <c r="FZ63" s="13">
        <f>IF('Données projet'!$A$244&gt;35,FZ62+FY63-GH62,IF(A63&lt;'Données projet'!$A$244,$FW$205^A63,IF(A63='Données projet'!$A$244,'Données projet'!$B$244,FZ62+FY63-GH62)))</f>
        <v>296.99999999999994</v>
      </c>
      <c r="GA63" s="18">
        <f>FZ63*VLOOKUP('Données projet'!$B$17,Paramètres!$A$1:$I$89,3,0)*VLOOKUP('Données projet'!$B$17,Paramètres!$A$1:$I$89,5,0)</f>
        <v>231.65999999999997</v>
      </c>
      <c r="GB63" s="14">
        <f t="shared" si="49"/>
        <v>56.641461975682766</v>
      </c>
      <c r="GC63" s="22">
        <f t="shared" si="25"/>
        <v>502.12504627431412</v>
      </c>
      <c r="GD63" s="62">
        <f t="shared" si="26"/>
        <v>795.45837960764743</v>
      </c>
      <c r="GE63" s="62">
        <f ca="1">AVERAGE(OFFSET($GD$3,0,0,'Données projet'!$E$17+1,1))-AVERAGE(OFFSET($H$3,0,0,'Données projet'!$E$17+1,1))</f>
        <v>292.57482726862594</v>
      </c>
      <c r="GF63" s="62">
        <f t="shared" si="50"/>
        <v>283.48738729114024</v>
      </c>
      <c r="GG63" s="16">
        <f>IF(ISNA(VLOOKUP(A63,'Données projet'!$A$243:$I$263,3,0)),0,VLOOKUP(A63,'Données projet'!$A$243:$I$263,3,0))</f>
        <v>6</v>
      </c>
      <c r="GH63" s="16">
        <f>IF(ISNA(VLOOKUP(A63,'Données projet'!$A$243:$I$263,4,0)),0,VLOOKUP(A63,'Données projet'!$A$243:$I$263,4,0))</f>
        <v>47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255.12820512820511</v>
      </c>
      <c r="GS63" s="13">
        <f>VLOOKUP(A63,'Données projet'!$A$269:$I$289,9,0)</f>
        <v>5.8974358974358951</v>
      </c>
      <c r="GT63" s="13">
        <f t="array" ref="GT63">INDEX(GS:GS,MIN(IF(ISNUMBER(GS63:GS259),ROW(GS63:GS259),"")))</f>
        <v>5.8974358974358951</v>
      </c>
      <c r="GU63" s="13">
        <f>IF('Données projet'!$A$270&gt;35,GU62+GT63-HC62,IF(A63&lt;'Données projet'!$A$270,$GR$205^A63,IF(A63='Données projet'!$A$270,'Données projet'!$B$270,GU62+GT63-HC62)))</f>
        <v>255.12820512820508</v>
      </c>
      <c r="GV63" s="18">
        <f>GU63*VLOOKUP('Données projet'!$B$18,Paramètres!$A$1:$I$89,3,0)*VLOOKUP('Données projet'!$B$18,Paramètres!$A$1:$I$89,5,0)</f>
        <v>171.14</v>
      </c>
      <c r="GW63" s="14">
        <f t="shared" si="51"/>
        <v>43.345246262563791</v>
      </c>
      <c r="GX63" s="22">
        <f t="shared" si="28"/>
        <v>373.56180390729855</v>
      </c>
      <c r="GY63" s="62">
        <f t="shared" si="29"/>
        <v>666.89513724063181</v>
      </c>
      <c r="GZ63" s="62">
        <f ca="1">AVERAGE(OFFSET($GY$3,0,0,'Données projet'!$E$18+1,1))-AVERAGE(OFFSET($H$3,0,0,'Données projet'!$E$18+1,1))</f>
        <v>343.33067866534634</v>
      </c>
      <c r="HA63" s="62">
        <f t="shared" si="52"/>
        <v>261.91036689641402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844.78361837999637</v>
      </c>
      <c r="S64" s="62">
        <f ca="1">AVERAGE(OFFSET($R$3,0,0,'Données projet'!$E$9+1,1))-AVERAGE(OFFSET($H$3,0,0,'Données projet'!$E$9+1,1))</f>
        <v>508.77990078889337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projet'!$B$10,Paramètres!$A$1:$I$89,3,0)*VLOOKUP('Données projet'!$B$10,Paramètres!$A$1:$I$89,5,0)</f>
        <v>285.74520000000001</v>
      </c>
      <c r="AK64" s="14">
        <f t="shared" si="35"/>
        <v>68.179695862275295</v>
      </c>
      <c r="AL64" s="22">
        <f t="shared" si="4"/>
        <v>616.41919362679607</v>
      </c>
      <c r="AM64" s="62">
        <f t="shared" si="5"/>
        <v>909.75252696012944</v>
      </c>
      <c r="AN64" s="62">
        <f ca="1">AVERAGE(OFFSET($AM$3,0,0,'Données projet'!$E$10+1,1))-AVERAGE(OFFSET($H$3,0,0,'Données projet'!$E$10+1,1))</f>
        <v>564.84596170333884</v>
      </c>
      <c r="AO64" s="62">
        <f t="shared" si="36"/>
        <v>306.61893266146666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285.19999999999993</v>
      </c>
      <c r="BE64" s="14">
        <f>BD64*VLOOKUP('Données projet'!$B$11,Paramètres!$A$1:$I$89,3,0)*VLOOKUP('Données projet'!$B$11,Paramètres!$A$1:$I$89,5,0)</f>
        <v>226.90511999999995</v>
      </c>
      <c r="BF64" s="14">
        <f t="shared" si="37"/>
        <v>55.612969408444364</v>
      </c>
      <c r="BG64" s="22">
        <f t="shared" si="7"/>
        <v>492.05233905304044</v>
      </c>
      <c r="BH64" s="62">
        <f t="shared" si="8"/>
        <v>785.3856723863737</v>
      </c>
      <c r="BI64" s="62">
        <f ca="1">AVERAGE(OFFSET($BH$3,0,0,'Données projet'!$E$11+1,1))-AVERAGE(OFFSET($H$3,0,0,'Données projet'!$E$11+1,1))</f>
        <v>370.79299728190904</v>
      </c>
      <c r="BJ64" s="62">
        <f t="shared" si="38"/>
        <v>404.95703400805775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285.19999999999993</v>
      </c>
      <c r="BZ64" s="14">
        <f>BY64*VLOOKUP('Données projet'!$B$12,Paramètres!$A$1:$I$89,3,0)*VLOOKUP('Données projet'!$B$12,Paramètres!$A$1:$I$89,5,0)</f>
        <v>226.90511999999995</v>
      </c>
      <c r="CA64" s="14">
        <f t="shared" si="39"/>
        <v>55.612969408444364</v>
      </c>
      <c r="CB64" s="22">
        <f t="shared" si="10"/>
        <v>492.05233905304044</v>
      </c>
      <c r="CC64" s="62">
        <f t="shared" si="11"/>
        <v>785.3856723863737</v>
      </c>
      <c r="CD64" s="62">
        <f ca="1">AVERAGE(OFFSET($CC$3,0,0,'Données projet'!$E$12+1,1))-AVERAGE(OFFSET($H$3,0,0,'Données projet'!$E$12+1,1))</f>
        <v>370.79299728190904</v>
      </c>
      <c r="CE64" s="62">
        <f t="shared" si="40"/>
        <v>404.95703400805775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4.4000000000000004</v>
      </c>
      <c r="CT64" s="13">
        <f>IF('Données projet'!$A$140&gt;35,CT63+CS64-DB63,IF(A64&lt;'Données projet'!$A$140,$CQ$205^A64,IF(A64='Données projet'!$A$140,'Données projet'!$B$140,CT63+CS64-DB63)))</f>
        <v>237.39999999999986</v>
      </c>
      <c r="CU64" s="18">
        <f>CT64*VLOOKUP('Données projet'!$B$13,Paramètres!$A$1:$I$89,3,0)*VLOOKUP('Données projet'!$B$13,Paramètres!$A$1:$I$89,5,0)</f>
        <v>207.39263999999989</v>
      </c>
      <c r="CV64" s="14">
        <f t="shared" si="41"/>
        <v>51.365398298247158</v>
      </c>
      <c r="CW64" s="22">
        <f t="shared" si="13"/>
        <v>450.67025003611349</v>
      </c>
      <c r="CX64" s="62">
        <f t="shared" si="14"/>
        <v>744.0035833694468</v>
      </c>
      <c r="CY64" s="62">
        <f ca="1">AVERAGE(OFFSET($CX$3,0,0,'Données projet'!$E$13+1,1))-AVERAGE(OFFSET($H$3,0,0,'Données projet'!$E$13+1,1))</f>
        <v>339.58437495284466</v>
      </c>
      <c r="CZ64" s="62">
        <f t="shared" si="42"/>
        <v>371.26234252426531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</v>
      </c>
      <c r="DO64" s="13">
        <f>IF('Données projet'!$A$166&gt;35,DO63+DN64-DW63,IF(A64&lt;'Données projet'!$A$166,$DL$205^A64,IF(A64='Données projet'!$A$166,'Données projet'!$B$166,DO63+DN64-DW63)))</f>
        <v>285.19999999999993</v>
      </c>
      <c r="DP64" s="18">
        <f>DO64*VLOOKUP('Données projet'!$B$14,Paramètres!$A$1:$I$89,3,0)*VLOOKUP('Données projet'!$B$14,Paramètres!$A$1:$I$89,5,0)</f>
        <v>209.10863999999992</v>
      </c>
      <c r="DQ64" s="14">
        <f t="shared" si="43"/>
        <v>51.740752917407036</v>
      </c>
      <c r="DR64" s="22">
        <f t="shared" si="16"/>
        <v>454.31269266448368</v>
      </c>
      <c r="DS64" s="62">
        <f t="shared" si="17"/>
        <v>747.64602599781699</v>
      </c>
      <c r="DT64" s="62">
        <f ca="1">AVERAGE(OFFSET($DS$3,0,0,'Données projet'!$E$14+1,1))-AVERAGE(OFFSET($H$3,0,0,'Données projet'!$E$14+1,1))</f>
        <v>344.63665697794022</v>
      </c>
      <c r="DU64" s="62">
        <f t="shared" si="44"/>
        <v>376.72762011188041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</v>
      </c>
      <c r="EJ64" s="13">
        <f>IF('Données projet'!$A$192&gt;35,EJ63+EI64-ER63,IF(A64&lt;'Données projet'!$A$192,$EG$205^A64,IF(A64='Données projet'!$A$192,'Données projet'!$B$192,EJ63+EI64-ER63)))</f>
        <v>212.69230769230759</v>
      </c>
      <c r="EK64" s="18">
        <f>EJ64*VLOOKUP('Données projet'!$B$15,Paramètres!$A$1:$I$89,3,0)*VLOOKUP('Données projet'!$B$15,Paramètres!$A$1:$I$89,5,0)</f>
        <v>202.39799999999991</v>
      </c>
      <c r="EL64" s="14">
        <f t="shared" si="45"/>
        <v>50.270809420148282</v>
      </c>
      <c r="EM64" s="22">
        <f t="shared" si="19"/>
        <v>440.06484307342475</v>
      </c>
      <c r="EN64" s="62">
        <f t="shared" si="20"/>
        <v>733.39817640675801</v>
      </c>
      <c r="EO64" s="62">
        <f ca="1">AVERAGE(OFFSET($EN$3,0,0,'Données projet'!$E$15+1,1))-AVERAGE(OFFSET($H$3,0,0,'Données projet'!$E$15+1,1))</f>
        <v>406.24139966722936</v>
      </c>
      <c r="EP64" s="62">
        <f t="shared" si="46"/>
        <v>295.95724296920577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8.8000000000000007</v>
      </c>
      <c r="FE64" s="13">
        <f>IF('Données projet'!$A$218&gt;35,FE63+FD64-FM63,IF(A64&lt;'Données projet'!$A$218,$FB$205^A64,IF(A64='Données projet'!$A$218,'Données projet'!$B$218,FE63+FD64-FM63)))</f>
        <v>281.79999999999995</v>
      </c>
      <c r="FF64" s="18">
        <f>FE64*VLOOKUP('Données projet'!$B$16,Paramètres!$A$1:$I$89,3,0)*VLOOKUP('Données projet'!$B$16,Paramètres!$A$1:$I$89,5,0)</f>
        <v>272.55696</v>
      </c>
      <c r="FG64" s="14">
        <f t="shared" si="47"/>
        <v>65.391622690449097</v>
      </c>
      <c r="FH64" s="22">
        <f t="shared" si="22"/>
        <v>588.59378151919873</v>
      </c>
      <c r="FI64" s="62">
        <f t="shared" si="23"/>
        <v>881.92711485253199</v>
      </c>
      <c r="FJ64" s="62">
        <f ca="1">AVERAGE(OFFSET($FI$3,0,0,'Données projet'!$E$16+1,1))-AVERAGE(OFFSET($H$3,0,0,'Données projet'!$E$16+1,1))</f>
        <v>540.83352418045502</v>
      </c>
      <c r="FK64" s="62">
        <f t="shared" si="48"/>
        <v>294.45557293177131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8.6666666666666661</v>
      </c>
      <c r="FZ64" s="13">
        <f>IF('Données projet'!$A$244&gt;35,FZ63+FY64-GH63,IF(A64&lt;'Données projet'!$A$244,$FW$205^A64,IF(A64='Données projet'!$A$244,'Données projet'!$B$244,FZ63+FY64-GH63)))</f>
        <v>258.66666666666663</v>
      </c>
      <c r="GA64" s="18">
        <f>FZ64*VLOOKUP('Données projet'!$B$17,Paramètres!$A$1:$I$89,3,0)*VLOOKUP('Données projet'!$B$17,Paramètres!$A$1:$I$89,5,0)</f>
        <v>201.76</v>
      </c>
      <c r="GB64" s="14">
        <f t="shared" si="49"/>
        <v>50.130765000424212</v>
      </c>
      <c r="GC64" s="22">
        <f t="shared" si="25"/>
        <v>438.70974904240546</v>
      </c>
      <c r="GD64" s="62">
        <f t="shared" si="26"/>
        <v>732.04308237573878</v>
      </c>
      <c r="GE64" s="62">
        <f ca="1">AVERAGE(OFFSET($GD$3,0,0,'Données projet'!$E$17+1,1))-AVERAGE(OFFSET($H$3,0,0,'Données projet'!$E$17+1,1))</f>
        <v>292.57482726862594</v>
      </c>
      <c r="GF64" s="62">
        <f t="shared" si="50"/>
        <v>283.48738729114024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5.3846153846153868</v>
      </c>
      <c r="GU64" s="13">
        <f>IF('Données projet'!$A$270&gt;35,GU63+GT64-HC63,IF(A64&lt;'Données projet'!$A$270,$GR$205^A64,IF(A64='Données projet'!$A$270,'Données projet'!$B$270,GU63+GT64-HC63)))</f>
        <v>260.51282051282044</v>
      </c>
      <c r="GV64" s="18">
        <f>GU64*VLOOKUP('Données projet'!$B$18,Paramètres!$A$1:$I$89,3,0)*VLOOKUP('Données projet'!$B$18,Paramètres!$A$1:$I$89,5,0)</f>
        <v>174.75199999999995</v>
      </c>
      <c r="GW64" s="14">
        <f t="shared" si="51"/>
        <v>44.15259980412263</v>
      </c>
      <c r="GX64" s="22">
        <f t="shared" si="28"/>
        <v>381.25884465884684</v>
      </c>
      <c r="GY64" s="62">
        <f t="shared" si="29"/>
        <v>674.59217799218015</v>
      </c>
      <c r="GZ64" s="62">
        <f ca="1">AVERAGE(OFFSET($GY$3,0,0,'Données projet'!$E$18+1,1))-AVERAGE(OFFSET($H$3,0,0,'Données projet'!$E$18+1,1))</f>
        <v>343.33067866534634</v>
      </c>
      <c r="HA64" s="62">
        <f t="shared" si="52"/>
        <v>261.91036689641402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861.60859430939536</v>
      </c>
      <c r="S65" s="62">
        <f ca="1">AVERAGE(OFFSET($R$3,0,0,'Données projet'!$E$9+1,1))-AVERAGE(OFFSET($H$3,0,0,'Données projet'!$E$9+1,1))</f>
        <v>508.77990078889337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projet'!$B$10,Paramètres!$A$1:$I$89,3,0)*VLOOKUP('Données projet'!$B$10,Paramètres!$A$1:$I$89,5,0)</f>
        <v>294.66839999999996</v>
      </c>
      <c r="AK65" s="14">
        <f t="shared" si="35"/>
        <v>70.057591528661547</v>
      </c>
      <c r="AL65" s="22">
        <f t="shared" si="4"/>
        <v>635.23110191241869</v>
      </c>
      <c r="AM65" s="62">
        <f t="shared" si="5"/>
        <v>928.56443524575207</v>
      </c>
      <c r="AN65" s="62">
        <f ca="1">AVERAGE(OFFSET($AM$3,0,0,'Données projet'!$E$10+1,1))-AVERAGE(OFFSET($H$3,0,0,'Données projet'!$E$10+1,1))</f>
        <v>564.84596170333884</v>
      </c>
      <c r="AO65" s="62">
        <f t="shared" si="36"/>
        <v>306.61893266146666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290.39999999999992</v>
      </c>
      <c r="BE65" s="14">
        <f>BD65*VLOOKUP('Données projet'!$B$11,Paramètres!$A$1:$I$89,3,0)*VLOOKUP('Données projet'!$B$11,Paramètres!$A$1:$I$89,5,0)</f>
        <v>231.04223999999994</v>
      </c>
      <c r="BF65" s="14">
        <f t="shared" si="37"/>
        <v>56.507978852931409</v>
      </c>
      <c r="BG65" s="22">
        <f t="shared" si="7"/>
        <v>500.81663116885539</v>
      </c>
      <c r="BH65" s="62">
        <f t="shared" si="8"/>
        <v>794.14996450218871</v>
      </c>
      <c r="BI65" s="62">
        <f ca="1">AVERAGE(OFFSET($BH$3,0,0,'Données projet'!$E$11+1,1))-AVERAGE(OFFSET($H$3,0,0,'Données projet'!$E$11+1,1))</f>
        <v>370.79299728190904</v>
      </c>
      <c r="BJ65" s="62">
        <f t="shared" si="38"/>
        <v>404.95703400805775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290.39999999999992</v>
      </c>
      <c r="BZ65" s="14">
        <f>BY65*VLOOKUP('Données projet'!$B$12,Paramètres!$A$1:$I$89,3,0)*VLOOKUP('Données projet'!$B$12,Paramètres!$A$1:$I$89,5,0)</f>
        <v>231.04223999999994</v>
      </c>
      <c r="CA65" s="14">
        <f t="shared" si="39"/>
        <v>56.507978852931409</v>
      </c>
      <c r="CB65" s="22">
        <f t="shared" si="10"/>
        <v>500.81663116885539</v>
      </c>
      <c r="CC65" s="62">
        <f t="shared" si="11"/>
        <v>794.14996450218871</v>
      </c>
      <c r="CD65" s="62">
        <f ca="1">AVERAGE(OFFSET($CC$3,0,0,'Données projet'!$E$12+1,1))-AVERAGE(OFFSET($H$3,0,0,'Données projet'!$E$12+1,1))</f>
        <v>370.79299728190904</v>
      </c>
      <c r="CE65" s="62">
        <f t="shared" si="40"/>
        <v>404.95703400805775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4.4000000000000004</v>
      </c>
      <c r="CT65" s="13">
        <f>IF('Données projet'!$A$140&gt;35,CT64+CS65-DB64,IF(A65&lt;'Données projet'!$A$140,$CQ$205^A65,IF(A65='Données projet'!$A$140,'Données projet'!$B$140,CT64+CS65-DB64)))</f>
        <v>241.79999999999987</v>
      </c>
      <c r="CU65" s="18">
        <f>CT65*VLOOKUP('Données projet'!$B$13,Paramètres!$A$1:$I$89,3,0)*VLOOKUP('Données projet'!$B$13,Paramètres!$A$1:$I$89,5,0)</f>
        <v>211.23647999999989</v>
      </c>
      <c r="CV65" s="14">
        <f t="shared" si="41"/>
        <v>52.205695296687686</v>
      </c>
      <c r="CW65" s="22">
        <f t="shared" si="13"/>
        <v>458.82845530839751</v>
      </c>
      <c r="CX65" s="62">
        <f t="shared" si="14"/>
        <v>752.16178864173082</v>
      </c>
      <c r="CY65" s="62">
        <f ca="1">AVERAGE(OFFSET($CX$3,0,0,'Données projet'!$E$13+1,1))-AVERAGE(OFFSET($H$3,0,0,'Données projet'!$E$13+1,1))</f>
        <v>339.58437495284466</v>
      </c>
      <c r="CZ65" s="62">
        <f t="shared" si="42"/>
        <v>371.26234252426531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</v>
      </c>
      <c r="DO65" s="13">
        <f>IF('Données projet'!$A$166&gt;35,DO64+DN65-DW64,IF(A65&lt;'Données projet'!$A$166,$DL$205^A65,IF(A65='Données projet'!$A$166,'Données projet'!$B$166,DO64+DN65-DW64)))</f>
        <v>290.39999999999992</v>
      </c>
      <c r="DP65" s="18">
        <f>DO65*VLOOKUP('Données projet'!$B$14,Paramètres!$A$1:$I$89,3,0)*VLOOKUP('Données projet'!$B$14,Paramètres!$A$1:$I$89,5,0)</f>
        <v>212.92127999999991</v>
      </c>
      <c r="DQ65" s="14">
        <f t="shared" si="43"/>
        <v>52.57344469809297</v>
      </c>
      <c r="DR65" s="22">
        <f t="shared" si="16"/>
        <v>462.4033121825118</v>
      </c>
      <c r="DS65" s="62">
        <f t="shared" si="17"/>
        <v>755.73664551584511</v>
      </c>
      <c r="DT65" s="62">
        <f ca="1">AVERAGE(OFFSET($DS$3,0,0,'Données projet'!$E$14+1,1))-AVERAGE(OFFSET($H$3,0,0,'Données projet'!$E$14+1,1))</f>
        <v>344.63665697794022</v>
      </c>
      <c r="DU65" s="62">
        <f t="shared" si="44"/>
        <v>376.72762011188041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</v>
      </c>
      <c r="EJ65" s="13">
        <f>IF('Données projet'!$A$192&gt;35,EJ64+EI65-ER64,IF(A65&lt;'Données projet'!$A$192,$EG$205^A65,IF(A65='Données projet'!$A$192,'Données projet'!$B$192,EJ64+EI65-ER64)))</f>
        <v>217.69230769230759</v>
      </c>
      <c r="EK65" s="18">
        <f>EJ65*VLOOKUP('Données projet'!$B$15,Paramètres!$A$1:$I$89,3,0)*VLOOKUP('Données projet'!$B$15,Paramètres!$A$1:$I$89,5,0)</f>
        <v>207.15599999999989</v>
      </c>
      <c r="EL65" s="14">
        <f t="shared" si="45"/>
        <v>51.313607806372978</v>
      </c>
      <c r="EM65" s="22">
        <f t="shared" si="19"/>
        <v>450.16790026276612</v>
      </c>
      <c r="EN65" s="62">
        <f t="shared" si="20"/>
        <v>743.50123359609938</v>
      </c>
      <c r="EO65" s="62">
        <f ca="1">AVERAGE(OFFSET($EN$3,0,0,'Données projet'!$E$15+1,1))-AVERAGE(OFFSET($H$3,0,0,'Données projet'!$E$15+1,1))</f>
        <v>406.24139966722936</v>
      </c>
      <c r="EP65" s="62">
        <f t="shared" si="46"/>
        <v>295.95724296920577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8.8000000000000007</v>
      </c>
      <c r="FE65" s="13">
        <f>IF('Données projet'!$A$218&gt;35,FE64+FD65-FM64,IF(A65&lt;'Données projet'!$A$218,$FB$205^A65,IF(A65='Données projet'!$A$218,'Données projet'!$B$218,FE64+FD65-FM64)))</f>
        <v>290.59999999999997</v>
      </c>
      <c r="FF65" s="18">
        <f>FE65*VLOOKUP('Données projet'!$B$16,Paramètres!$A$1:$I$89,3,0)*VLOOKUP('Données projet'!$B$16,Paramètres!$A$1:$I$89,5,0)</f>
        <v>281.06831999999997</v>
      </c>
      <c r="FG65" s="14">
        <f t="shared" si="47"/>
        <v>67.19272554541665</v>
      </c>
      <c r="FH65" s="22">
        <f t="shared" si="22"/>
        <v>606.55465432493395</v>
      </c>
      <c r="FI65" s="62">
        <f t="shared" si="23"/>
        <v>899.88798765826732</v>
      </c>
      <c r="FJ65" s="62">
        <f ca="1">AVERAGE(OFFSET($FI$3,0,0,'Données projet'!$E$16+1,1))-AVERAGE(OFFSET($H$3,0,0,'Données projet'!$E$16+1,1))</f>
        <v>540.83352418045502</v>
      </c>
      <c r="FK65" s="62">
        <f t="shared" si="48"/>
        <v>294.45557293177131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8.6666666666666661</v>
      </c>
      <c r="FZ65" s="13">
        <f>IF('Données projet'!$A$244&gt;35,FZ64+FY65-GH64,IF(A65&lt;'Données projet'!$A$244,$FW$205^A65,IF(A65='Données projet'!$A$244,'Données projet'!$B$244,FZ64+FY65-GH64)))</f>
        <v>267.33333333333331</v>
      </c>
      <c r="GA65" s="18">
        <f>FZ65*VLOOKUP('Données projet'!$B$17,Paramètres!$A$1:$I$89,3,0)*VLOOKUP('Données projet'!$B$17,Paramètres!$A$1:$I$89,5,0)</f>
        <v>208.51999999999998</v>
      </c>
      <c r="GB65" s="14">
        <f t="shared" si="49"/>
        <v>51.612035456318509</v>
      </c>
      <c r="GC65" s="22">
        <f t="shared" si="25"/>
        <v>453.06329508642131</v>
      </c>
      <c r="GD65" s="62">
        <f t="shared" si="26"/>
        <v>746.39662841975462</v>
      </c>
      <c r="GE65" s="62">
        <f ca="1">AVERAGE(OFFSET($GD$3,0,0,'Données projet'!$E$17+1,1))-AVERAGE(OFFSET($H$3,0,0,'Données projet'!$E$17+1,1))</f>
        <v>292.57482726862594</v>
      </c>
      <c r="GF65" s="62">
        <f t="shared" si="50"/>
        <v>283.48738729114024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5.3846153846153868</v>
      </c>
      <c r="GU65" s="13">
        <f>IF('Données projet'!$A$270&gt;35,GU64+GT65-HC64,IF(A65&lt;'Données projet'!$A$270,$GR$205^A65,IF(A65='Données projet'!$A$270,'Données projet'!$B$270,GU64+GT65-HC64)))</f>
        <v>265.8974358974358</v>
      </c>
      <c r="GV65" s="18">
        <f>GU65*VLOOKUP('Données projet'!$B$18,Paramètres!$A$1:$I$89,3,0)*VLOOKUP('Données projet'!$B$18,Paramètres!$A$1:$I$89,5,0)</f>
        <v>178.36399999999995</v>
      </c>
      <c r="GW65" s="14">
        <f t="shared" si="51"/>
        <v>44.958013118077915</v>
      </c>
      <c r="GX65" s="22">
        <f t="shared" si="28"/>
        <v>388.95250618065228</v>
      </c>
      <c r="GY65" s="62">
        <f t="shared" si="29"/>
        <v>682.28583951398559</v>
      </c>
      <c r="GZ65" s="62">
        <f ca="1">AVERAGE(OFFSET($GY$3,0,0,'Données projet'!$E$18+1,1))-AVERAGE(OFFSET($H$3,0,0,'Données projet'!$E$18+1,1))</f>
        <v>343.33067866534634</v>
      </c>
      <c r="HA65" s="62">
        <f t="shared" si="52"/>
        <v>261.91036689641402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878.42316250379099</v>
      </c>
      <c r="S66" s="62">
        <f ca="1">AVERAGE(OFFSET($R$3,0,0,'Données projet'!$E$9+1,1))-AVERAGE(OFFSET($H$3,0,0,'Données projet'!$E$9+1,1))</f>
        <v>508.77990078889337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projet'!$B$10,Paramètres!$A$1:$I$89,3,0)*VLOOKUP('Données projet'!$B$10,Paramètres!$A$1:$I$89,5,0)</f>
        <v>303.59159999999997</v>
      </c>
      <c r="AK66" s="14">
        <f t="shared" si="35"/>
        <v>71.928878488732749</v>
      </c>
      <c r="AL66" s="22">
        <f t="shared" si="4"/>
        <v>654.03150003454277</v>
      </c>
      <c r="AM66" s="62">
        <f t="shared" si="5"/>
        <v>947.36483336787614</v>
      </c>
      <c r="AN66" s="62">
        <f ca="1">AVERAGE(OFFSET($AM$3,0,0,'Données projet'!$E$10+1,1))-AVERAGE(OFFSET($H$3,0,0,'Données projet'!$E$10+1,1))</f>
        <v>564.84596170333884</v>
      </c>
      <c r="AO66" s="62">
        <f t="shared" si="36"/>
        <v>306.61893266146666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295.59999999999991</v>
      </c>
      <c r="BE66" s="14">
        <f>BD66*VLOOKUP('Données projet'!$B$11,Paramètres!$A$1:$I$89,3,0)*VLOOKUP('Données projet'!$B$11,Paramètres!$A$1:$I$89,5,0)</f>
        <v>235.17935999999992</v>
      </c>
      <c r="BF66" s="14">
        <f t="shared" si="37"/>
        <v>57.401124668909425</v>
      </c>
      <c r="BG66" s="22">
        <f t="shared" si="7"/>
        <v>509.57767746501708</v>
      </c>
      <c r="BH66" s="62">
        <f t="shared" si="8"/>
        <v>802.91101079835039</v>
      </c>
      <c r="BI66" s="62">
        <f ca="1">AVERAGE(OFFSET($BH$3,0,0,'Données projet'!$E$11+1,1))-AVERAGE(OFFSET($H$3,0,0,'Données projet'!$E$11+1,1))</f>
        <v>370.79299728190904</v>
      </c>
      <c r="BJ66" s="62">
        <f t="shared" si="38"/>
        <v>404.95703400805775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295.59999999999991</v>
      </c>
      <c r="BZ66" s="14">
        <f>BY66*VLOOKUP('Données projet'!$B$12,Paramètres!$A$1:$I$89,3,0)*VLOOKUP('Données projet'!$B$12,Paramètres!$A$1:$I$89,5,0)</f>
        <v>235.17935999999992</v>
      </c>
      <c r="CA66" s="14">
        <f t="shared" si="39"/>
        <v>57.401124668909425</v>
      </c>
      <c r="CB66" s="22">
        <f t="shared" si="10"/>
        <v>509.57767746501708</v>
      </c>
      <c r="CC66" s="62">
        <f t="shared" si="11"/>
        <v>802.91101079835039</v>
      </c>
      <c r="CD66" s="62">
        <f ca="1">AVERAGE(OFFSET($CC$3,0,0,'Données projet'!$E$12+1,1))-AVERAGE(OFFSET($H$3,0,0,'Données projet'!$E$12+1,1))</f>
        <v>370.79299728190904</v>
      </c>
      <c r="CE66" s="62">
        <f t="shared" si="40"/>
        <v>404.95703400805775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4.4000000000000004</v>
      </c>
      <c r="CT66" s="13">
        <f>IF('Données projet'!$A$140&gt;35,CT65+CS66-DB65,IF(A66&lt;'Données projet'!$A$140,$CQ$205^A66,IF(A66='Données projet'!$A$140,'Données projet'!$B$140,CT65+CS66-DB65)))</f>
        <v>246.19999999999987</v>
      </c>
      <c r="CU66" s="18">
        <f>CT66*VLOOKUP('Données projet'!$B$13,Paramètres!$A$1:$I$89,3,0)*VLOOKUP('Données projet'!$B$13,Paramètres!$A$1:$I$89,5,0)</f>
        <v>215.08031999999994</v>
      </c>
      <c r="CV66" s="14">
        <f t="shared" si="41"/>
        <v>53.044214230061456</v>
      </c>
      <c r="CW66" s="22">
        <f t="shared" si="13"/>
        <v>466.98356378402354</v>
      </c>
      <c r="CX66" s="62">
        <f t="shared" si="14"/>
        <v>760.3168971173568</v>
      </c>
      <c r="CY66" s="62">
        <f ca="1">AVERAGE(OFFSET($CX$3,0,0,'Données projet'!$E$13+1,1))-AVERAGE(OFFSET($H$3,0,0,'Données projet'!$E$13+1,1))</f>
        <v>339.58437495284466</v>
      </c>
      <c r="CZ66" s="62">
        <f t="shared" si="42"/>
        <v>371.26234252426531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</v>
      </c>
      <c r="DO66" s="13">
        <f>IF('Données projet'!$A$166&gt;35,DO65+DN66-DW65,IF(A66&lt;'Données projet'!$A$166,$DL$205^A66,IF(A66='Données projet'!$A$166,'Données projet'!$B$166,DO65+DN66-DW65)))</f>
        <v>295.59999999999991</v>
      </c>
      <c r="DP66" s="18">
        <f>DO66*VLOOKUP('Données projet'!$B$14,Paramètres!$A$1:$I$89,3,0)*VLOOKUP('Données projet'!$B$14,Paramètres!$A$1:$I$89,5,0)</f>
        <v>216.73391999999996</v>
      </c>
      <c r="DQ66" s="14">
        <f t="shared" si="43"/>
        <v>53.404402610883679</v>
      </c>
      <c r="DR66" s="22">
        <f t="shared" si="16"/>
        <v>470.49091188062226</v>
      </c>
      <c r="DS66" s="62">
        <f t="shared" si="17"/>
        <v>763.82424521395558</v>
      </c>
      <c r="DT66" s="62">
        <f ca="1">AVERAGE(OFFSET($DS$3,0,0,'Données projet'!$E$14+1,1))-AVERAGE(OFFSET($H$3,0,0,'Données projet'!$E$14+1,1))</f>
        <v>344.63665697794022</v>
      </c>
      <c r="DU66" s="62">
        <f t="shared" si="44"/>
        <v>376.72762011188041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</v>
      </c>
      <c r="EJ66" s="13">
        <f>IF('Données projet'!$A$192&gt;35,EJ65+EI66-ER65,IF(A66&lt;'Données projet'!$A$192,$EG$205^A66,IF(A66='Données projet'!$A$192,'Données projet'!$B$192,EJ65+EI66-ER65)))</f>
        <v>222.69230769230759</v>
      </c>
      <c r="EK66" s="18">
        <f>EJ66*VLOOKUP('Données projet'!$B$15,Paramètres!$A$1:$I$89,3,0)*VLOOKUP('Données projet'!$B$15,Paramètres!$A$1:$I$89,5,0)</f>
        <v>211.9139999999999</v>
      </c>
      <c r="EL66" s="14">
        <f t="shared" si="45"/>
        <v>52.353621737631663</v>
      </c>
      <c r="EM66" s="22">
        <f t="shared" si="19"/>
        <v>460.26610785970826</v>
      </c>
      <c r="EN66" s="62">
        <f t="shared" si="20"/>
        <v>753.59944119304157</v>
      </c>
      <c r="EO66" s="62">
        <f ca="1">AVERAGE(OFFSET($EN$3,0,0,'Données projet'!$E$15+1,1))-AVERAGE(OFFSET($H$3,0,0,'Données projet'!$E$15+1,1))</f>
        <v>406.24139966722936</v>
      </c>
      <c r="EP66" s="62">
        <f t="shared" si="46"/>
        <v>295.95724296920577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8.8000000000000007</v>
      </c>
      <c r="FE66" s="13">
        <f>IF('Données projet'!$A$218&gt;35,FE65+FD66-FM65,IF(A66&lt;'Données projet'!$A$218,$FB$205^A66,IF(A66='Données projet'!$A$218,'Données projet'!$B$218,FE65+FD66-FM65)))</f>
        <v>299.39999999999998</v>
      </c>
      <c r="FF66" s="18">
        <f>FE66*VLOOKUP('Données projet'!$B$16,Paramètres!$A$1:$I$89,3,0)*VLOOKUP('Données projet'!$B$16,Paramètres!$A$1:$I$89,5,0)</f>
        <v>289.57968</v>
      </c>
      <c r="FG66" s="14">
        <f t="shared" si="47"/>
        <v>68.987489943980663</v>
      </c>
      <c r="FH66" s="22">
        <f t="shared" si="22"/>
        <v>624.504487652433</v>
      </c>
      <c r="FI66" s="62">
        <f t="shared" si="23"/>
        <v>917.83782098576626</v>
      </c>
      <c r="FJ66" s="62">
        <f ca="1">AVERAGE(OFFSET($FI$3,0,0,'Données projet'!$E$16+1,1))-AVERAGE(OFFSET($H$3,0,0,'Données projet'!$E$16+1,1))</f>
        <v>540.83352418045502</v>
      </c>
      <c r="FK66" s="62">
        <f t="shared" si="48"/>
        <v>294.45557293177131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8.6666666666666661</v>
      </c>
      <c r="FZ66" s="13">
        <f>IF('Données projet'!$A$244&gt;35,FZ65+FY66-GH65,IF(A66&lt;'Données projet'!$A$244,$FW$205^A66,IF(A66='Données projet'!$A$244,'Données projet'!$B$244,FZ65+FY66-GH65)))</f>
        <v>276</v>
      </c>
      <c r="GA66" s="18">
        <f>FZ66*VLOOKUP('Données projet'!$B$17,Paramètres!$A$1:$I$89,3,0)*VLOOKUP('Données projet'!$B$17,Paramètres!$A$1:$I$89,5,0)</f>
        <v>215.28</v>
      </c>
      <c r="GB66" s="14">
        <f t="shared" si="49"/>
        <v>53.087725740853138</v>
      </c>
      <c r="GC66" s="22">
        <f t="shared" si="25"/>
        <v>467.40712233198587</v>
      </c>
      <c r="GD66" s="62">
        <f t="shared" si="26"/>
        <v>760.74045566531913</v>
      </c>
      <c r="GE66" s="62">
        <f ca="1">AVERAGE(OFFSET($GD$3,0,0,'Données projet'!$E$17+1,1))-AVERAGE(OFFSET($H$3,0,0,'Données projet'!$E$17+1,1))</f>
        <v>292.57482726862594</v>
      </c>
      <c r="GF66" s="62">
        <f t="shared" si="50"/>
        <v>283.48738729114024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5.3846153846153868</v>
      </c>
      <c r="GU66" s="13">
        <f>IF('Données projet'!$A$270&gt;35,GU65+GT66-HC65,IF(A66&lt;'Données projet'!$A$270,$GR$205^A66,IF(A66='Données projet'!$A$270,'Données projet'!$B$270,GU65+GT66-HC65)))</f>
        <v>271.28205128205116</v>
      </c>
      <c r="GV66" s="18">
        <f>GU66*VLOOKUP('Données projet'!$B$18,Paramètres!$A$1:$I$89,3,0)*VLOOKUP('Données projet'!$B$18,Paramètres!$A$1:$I$89,5,0)</f>
        <v>181.97599999999991</v>
      </c>
      <c r="GW66" s="14">
        <f t="shared" si="51"/>
        <v>45.761530023303195</v>
      </c>
      <c r="GX66" s="22">
        <f t="shared" si="28"/>
        <v>396.6428647905862</v>
      </c>
      <c r="GY66" s="62">
        <f t="shared" si="29"/>
        <v>689.97619812391952</v>
      </c>
      <c r="GZ66" s="62">
        <f ca="1">AVERAGE(OFFSET($GY$3,0,0,'Données projet'!$E$18+1,1))-AVERAGE(OFFSET($H$3,0,0,'Données projet'!$E$18+1,1))</f>
        <v>343.33067866534634</v>
      </c>
      <c r="HA66" s="62">
        <f t="shared" si="52"/>
        <v>261.91036689641402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895.22766399195029</v>
      </c>
      <c r="S67" s="62">
        <f ca="1">AVERAGE(OFFSET($R$3,0,0,'Données projet'!$E$9+1,1))-AVERAGE(OFFSET($H$3,0,0,'Données projet'!$E$9+1,1))</f>
        <v>508.77990078889337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projet'!$B$10,Paramètres!$A$1:$I$89,3,0)*VLOOKUP('Données projet'!$B$10,Paramètres!$A$1:$I$89,5,0)</f>
        <v>312.51480000000004</v>
      </c>
      <c r="AK67" s="14">
        <f t="shared" si="35"/>
        <v>73.793773289024969</v>
      </c>
      <c r="AL67" s="22">
        <f t="shared" si="4"/>
        <v>672.82076514505184</v>
      </c>
      <c r="AM67" s="62">
        <f t="shared" si="5"/>
        <v>966.15409847838509</v>
      </c>
      <c r="AN67" s="62">
        <f ca="1">AVERAGE(OFFSET($AM$3,0,0,'Données projet'!$E$10+1,1))-AVERAGE(OFFSET($H$3,0,0,'Données projet'!$E$10+1,1))</f>
        <v>564.84596170333884</v>
      </c>
      <c r="AO67" s="62">
        <f t="shared" si="36"/>
        <v>306.61893266146666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300.7999999999999</v>
      </c>
      <c r="BE67" s="14">
        <f>BD67*VLOOKUP('Données projet'!$B$11,Paramètres!$A$1:$I$89,3,0)*VLOOKUP('Données projet'!$B$11,Paramètres!$A$1:$I$89,5,0)</f>
        <v>239.31647999999996</v>
      </c>
      <c r="BF67" s="14">
        <f t="shared" si="37"/>
        <v>58.292443422481945</v>
      </c>
      <c r="BG67" s="22">
        <f t="shared" si="7"/>
        <v>518.33554162748931</v>
      </c>
      <c r="BH67" s="62">
        <f t="shared" si="8"/>
        <v>811.66887496082268</v>
      </c>
      <c r="BI67" s="62">
        <f ca="1">AVERAGE(OFFSET($BH$3,0,0,'Données projet'!$E$11+1,1))-AVERAGE(OFFSET($H$3,0,0,'Données projet'!$E$11+1,1))</f>
        <v>370.79299728190904</v>
      </c>
      <c r="BJ67" s="62">
        <f t="shared" si="38"/>
        <v>404.95703400805775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300.7999999999999</v>
      </c>
      <c r="BZ67" s="14">
        <f>BY67*VLOOKUP('Données projet'!$B$12,Paramètres!$A$1:$I$89,3,0)*VLOOKUP('Données projet'!$B$12,Paramètres!$A$1:$I$89,5,0)</f>
        <v>239.31647999999996</v>
      </c>
      <c r="CA67" s="14">
        <f t="shared" si="39"/>
        <v>58.292443422481945</v>
      </c>
      <c r="CB67" s="22">
        <f t="shared" si="10"/>
        <v>518.33554162748931</v>
      </c>
      <c r="CC67" s="62">
        <f t="shared" si="11"/>
        <v>811.66887496082268</v>
      </c>
      <c r="CD67" s="62">
        <f ca="1">AVERAGE(OFFSET($CC$3,0,0,'Données projet'!$E$12+1,1))-AVERAGE(OFFSET($H$3,0,0,'Données projet'!$E$12+1,1))</f>
        <v>370.79299728190904</v>
      </c>
      <c r="CE67" s="62">
        <f t="shared" si="40"/>
        <v>404.95703400805775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4.4000000000000004</v>
      </c>
      <c r="CT67" s="13">
        <f>IF('Données projet'!$A$140&gt;35,CT66+CS67-DB66,IF(A67&lt;'Données projet'!$A$140,$CQ$205^A67,IF(A67='Données projet'!$A$140,'Données projet'!$B$140,CT66+CS67-DB66)))</f>
        <v>250.59999999999988</v>
      </c>
      <c r="CU67" s="18">
        <f>CT67*VLOOKUP('Données projet'!$B$13,Paramètres!$A$1:$I$89,3,0)*VLOOKUP('Données projet'!$B$13,Paramètres!$A$1:$I$89,5,0)</f>
        <v>218.92415999999994</v>
      </c>
      <c r="CV67" s="14">
        <f t="shared" si="41"/>
        <v>53.880990541091087</v>
      </c>
      <c r="CW67" s="22">
        <f t="shared" si="13"/>
        <v>475.13563719240022</v>
      </c>
      <c r="CX67" s="62">
        <f t="shared" si="14"/>
        <v>768.46897052573354</v>
      </c>
      <c r="CY67" s="62">
        <f ca="1">AVERAGE(OFFSET($CX$3,0,0,'Données projet'!$E$13+1,1))-AVERAGE(OFFSET($H$3,0,0,'Données projet'!$E$13+1,1))</f>
        <v>339.58437495284466</v>
      </c>
      <c r="CZ67" s="62">
        <f t="shared" si="42"/>
        <v>371.26234252426531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</v>
      </c>
      <c r="DO67" s="13">
        <f>IF('Données projet'!$A$166&gt;35,DO66+DN67-DW66,IF(A67&lt;'Données projet'!$A$166,$DL$205^A67,IF(A67='Données projet'!$A$166,'Données projet'!$B$166,DO66+DN67-DW66)))</f>
        <v>300.7999999999999</v>
      </c>
      <c r="DP67" s="18">
        <f>DO67*VLOOKUP('Données projet'!$B$14,Paramètres!$A$1:$I$89,3,0)*VLOOKUP('Données projet'!$B$14,Paramètres!$A$1:$I$89,5,0)</f>
        <v>220.54655999999991</v>
      </c>
      <c r="DQ67" s="14">
        <f t="shared" si="43"/>
        <v>54.233660675860236</v>
      </c>
      <c r="DR67" s="22">
        <f t="shared" si="16"/>
        <v>478.57555101045642</v>
      </c>
      <c r="DS67" s="62">
        <f t="shared" si="17"/>
        <v>771.90888434378974</v>
      </c>
      <c r="DT67" s="62">
        <f ca="1">AVERAGE(OFFSET($DS$3,0,0,'Données projet'!$E$14+1,1))-AVERAGE(OFFSET($H$3,0,0,'Données projet'!$E$14+1,1))</f>
        <v>344.63665697794022</v>
      </c>
      <c r="DU67" s="62">
        <f t="shared" si="44"/>
        <v>376.72762011188041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</v>
      </c>
      <c r="EJ67" s="13">
        <f>IF('Données projet'!$A$192&gt;35,EJ66+EI67-ER66,IF(A67&lt;'Données projet'!$A$192,$EG$205^A67,IF(A67='Données projet'!$A$192,'Données projet'!$B$192,EJ66+EI67-ER66)))</f>
        <v>227.69230769230759</v>
      </c>
      <c r="EK67" s="18">
        <f>EJ67*VLOOKUP('Données projet'!$B$15,Paramètres!$A$1:$I$89,3,0)*VLOOKUP('Données projet'!$B$15,Paramètres!$A$1:$I$89,5,0)</f>
        <v>216.67199999999991</v>
      </c>
      <c r="EL67" s="14">
        <f t="shared" si="45"/>
        <v>53.390920929716366</v>
      </c>
      <c r="EM67" s="22">
        <f t="shared" si="19"/>
        <v>470.35958728592249</v>
      </c>
      <c r="EN67" s="62">
        <f t="shared" si="20"/>
        <v>763.6929206192558</v>
      </c>
      <c r="EO67" s="62">
        <f ca="1">AVERAGE(OFFSET($EN$3,0,0,'Données projet'!$E$15+1,1))-AVERAGE(OFFSET($H$3,0,0,'Données projet'!$E$15+1,1))</f>
        <v>406.24139966722936</v>
      </c>
      <c r="EP67" s="62">
        <f t="shared" si="46"/>
        <v>295.95724296920577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8.8000000000000007</v>
      </c>
      <c r="FE67" s="13">
        <f>IF('Données projet'!$A$218&gt;35,FE66+FD67-FM66,IF(A67&lt;'Données projet'!$A$218,$FB$205^A67,IF(A67='Données projet'!$A$218,'Données projet'!$B$218,FE66+FD67-FM66)))</f>
        <v>308.2</v>
      </c>
      <c r="FF67" s="18">
        <f>FE67*VLOOKUP('Données projet'!$B$16,Paramètres!$A$1:$I$89,3,0)*VLOOKUP('Données projet'!$B$16,Paramètres!$A$1:$I$89,5,0)</f>
        <v>298.09104000000002</v>
      </c>
      <c r="FG67" s="14">
        <f t="shared" si="47"/>
        <v>70.776123577436934</v>
      </c>
      <c r="FH67" s="22">
        <f t="shared" si="22"/>
        <v>642.44364323070261</v>
      </c>
      <c r="FI67" s="62">
        <f t="shared" si="23"/>
        <v>935.77697656403598</v>
      </c>
      <c r="FJ67" s="62">
        <f ca="1">AVERAGE(OFFSET($FI$3,0,0,'Données projet'!$E$16+1,1))-AVERAGE(OFFSET($H$3,0,0,'Données projet'!$E$16+1,1))</f>
        <v>540.83352418045502</v>
      </c>
      <c r="FK67" s="62">
        <f t="shared" si="48"/>
        <v>294.45557293177131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8.6666666666666661</v>
      </c>
      <c r="FZ67" s="13">
        <f>IF('Données projet'!$A$244&gt;35,FZ66+FY67-GH66,IF(A67&lt;'Données projet'!$A$244,$FW$205^A67,IF(A67='Données projet'!$A$244,'Données projet'!$B$244,FZ66+FY67-GH66)))</f>
        <v>284.66666666666669</v>
      </c>
      <c r="GA67" s="18">
        <f>FZ67*VLOOKUP('Données projet'!$B$17,Paramètres!$A$1:$I$89,3,0)*VLOOKUP('Données projet'!$B$17,Paramètres!$A$1:$I$89,5,0)</f>
        <v>222.04000000000002</v>
      </c>
      <c r="GB67" s="14">
        <f t="shared" si="49"/>
        <v>54.558031180803596</v>
      </c>
      <c r="GC67" s="22">
        <f t="shared" si="25"/>
        <v>481.74157097323291</v>
      </c>
      <c r="GD67" s="62">
        <f t="shared" si="26"/>
        <v>775.07490430656617</v>
      </c>
      <c r="GE67" s="62">
        <f ca="1">AVERAGE(OFFSET($GD$3,0,0,'Données projet'!$E$17+1,1))-AVERAGE(OFFSET($H$3,0,0,'Données projet'!$E$17+1,1))</f>
        <v>292.57482726862594</v>
      </c>
      <c r="GF67" s="62">
        <f t="shared" si="50"/>
        <v>283.48738729114024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5.3846153846153868</v>
      </c>
      <c r="GU67" s="13">
        <f>IF('Données projet'!$A$270&gt;35,GU66+GT67-HC66,IF(A67&lt;'Données projet'!$A$270,$GR$205^A67,IF(A67='Données projet'!$A$270,'Données projet'!$B$270,GU66+GT67-HC66)))</f>
        <v>276.66666666666652</v>
      </c>
      <c r="GV67" s="18">
        <f>GU67*VLOOKUP('Données projet'!$B$18,Paramètres!$A$1:$I$89,3,0)*VLOOKUP('Données projet'!$B$18,Paramètres!$A$1:$I$89,5,0)</f>
        <v>185.58799999999991</v>
      </c>
      <c r="GW67" s="14">
        <f t="shared" si="51"/>
        <v>46.563192499694225</v>
      </c>
      <c r="GX67" s="22">
        <f t="shared" si="28"/>
        <v>404.32999360363391</v>
      </c>
      <c r="GY67" s="62">
        <f t="shared" si="29"/>
        <v>697.66332693696722</v>
      </c>
      <c r="GZ67" s="62">
        <f ca="1">AVERAGE(OFFSET($GY$3,0,0,'Données projet'!$E$18+1,1))-AVERAGE(OFFSET($H$3,0,0,'Données projet'!$E$18+1,1))</f>
        <v>343.33067866534634</v>
      </c>
      <c r="HA67" s="62">
        <f t="shared" si="52"/>
        <v>261.91036689641402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912.02241922024541</v>
      </c>
      <c r="S68" s="62">
        <f ca="1">AVERAGE(OFFSET($R$3,0,0,'Données projet'!$E$9+1,1))-AVERAGE(OFFSET($H$3,0,0,'Données projet'!$E$9+1,1))</f>
        <v>508.77990078889337</v>
      </c>
      <c r="T68" s="62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projet'!$B$10,Paramètres!$A$1:$I$89,3,0)*VLOOKUP('Données projet'!$B$10,Paramètres!$A$1:$I$89,5,0)</f>
        <v>321.43800000000005</v>
      </c>
      <c r="AK68" s="14">
        <f t="shared" si="35"/>
        <v>75.652479406660248</v>
      </c>
      <c r="AL68" s="22">
        <f t="shared" ref="AL68:AL131" si="58">(AJ68+AK68)*0.475*44/12</f>
        <v>691.59925163326659</v>
      </c>
      <c r="AM68" s="62">
        <f t="shared" ref="AM68:AM131" si="59">AL68+(AD68+AE68)*44/12</f>
        <v>984.93258496659996</v>
      </c>
      <c r="AN68" s="62">
        <f ca="1">AVERAGE(OFFSET($AM$3,0,0,'Données projet'!$E$10+1,1))-AVERAGE(OFFSET($H$3,0,0,'Données projet'!$E$10+1,1))</f>
        <v>564.84596170333884</v>
      </c>
      <c r="AO68" s="62">
        <f t="shared" si="36"/>
        <v>306.61893266146666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305.99999999999989</v>
      </c>
      <c r="BE68" s="14">
        <f>BD68*VLOOKUP('Données projet'!$B$11,Paramètres!$A$1:$I$89,3,0)*VLOOKUP('Données projet'!$B$11,Paramètres!$A$1:$I$89,5,0)</f>
        <v>243.45359999999991</v>
      </c>
      <c r="BF68" s="14">
        <f t="shared" si="37"/>
        <v>59.181970343065267</v>
      </c>
      <c r="BG68" s="22">
        <f t="shared" ref="BG68:BG131" si="61">(BE68+BF68)*0.475*44/12</f>
        <v>527.09028501417185</v>
      </c>
      <c r="BH68" s="62">
        <f t="shared" ref="BH68:BH131" si="62">BG68+(AY68+AZ68)*44/12</f>
        <v>820.42361834750523</v>
      </c>
      <c r="BI68" s="62">
        <f ca="1">AVERAGE(OFFSET($BH$3,0,0,'Données projet'!$E$11+1,1))-AVERAGE(OFFSET($H$3,0,0,'Données projet'!$E$11+1,1))</f>
        <v>370.79299728190904</v>
      </c>
      <c r="BJ68" s="62">
        <f t="shared" si="38"/>
        <v>404.95703400805775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305.99999999999989</v>
      </c>
      <c r="BZ68" s="14">
        <f>BY68*VLOOKUP('Données projet'!$B$12,Paramètres!$A$1:$I$89,3,0)*VLOOKUP('Données projet'!$B$12,Paramètres!$A$1:$I$89,5,0)</f>
        <v>243.45359999999991</v>
      </c>
      <c r="CA68" s="14">
        <f t="shared" si="39"/>
        <v>59.181970343065267</v>
      </c>
      <c r="CB68" s="22">
        <f t="shared" ref="CB68:CB131" si="64">(BZ68+CA68)*0.475*44/12</f>
        <v>527.09028501417185</v>
      </c>
      <c r="CC68" s="62">
        <f t="shared" ref="CC68:CC131" si="65">CB68+(BT68+BU68)*44/12</f>
        <v>820.42361834750523</v>
      </c>
      <c r="CD68" s="62">
        <f ca="1">AVERAGE(OFFSET($CC$3,0,0,'Données projet'!$E$12+1,1))-AVERAGE(OFFSET($H$3,0,0,'Données projet'!$E$12+1,1))</f>
        <v>370.79299728190904</v>
      </c>
      <c r="CE68" s="62">
        <f t="shared" si="40"/>
        <v>404.95703400805775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255</v>
      </c>
      <c r="CR68" s="13">
        <f>VLOOKUP(A68,'Données projet'!$A$139:$I$159,9,0)</f>
        <v>4.4000000000000004</v>
      </c>
      <c r="CS68" s="13">
        <f t="array" ref="CS68">INDEX(CR:CR,MIN(IF(ISNUMBER(CR68:CR264),ROW(CR68:CR264),"")))</f>
        <v>4.4000000000000004</v>
      </c>
      <c r="CT68" s="13">
        <f>IF('Données projet'!$A$140&gt;35,CT67+CS68-DB67,IF(A68&lt;'Données projet'!$A$140,$CQ$205^A68,IF(A68='Données projet'!$A$140,'Données projet'!$B$140,CT67+CS68-DB67)))</f>
        <v>254.99999999999989</v>
      </c>
      <c r="CU68" s="18">
        <f>CT68*VLOOKUP('Données projet'!$B$13,Paramètres!$A$1:$I$89,3,0)*VLOOKUP('Données projet'!$B$13,Paramètres!$A$1:$I$89,5,0)</f>
        <v>222.76799999999994</v>
      </c>
      <c r="CV68" s="14">
        <f t="shared" si="41"/>
        <v>54.716058356609508</v>
      </c>
      <c r="CW68" s="22">
        <f t="shared" ref="CW68:CW131" si="67">(CU68+CV68)*0.475*44/12</f>
        <v>483.28473497109485</v>
      </c>
      <c r="CX68" s="62">
        <f t="shared" ref="CX68:CX131" si="68">CW68+(CO68+CP68)*44/12</f>
        <v>776.61806830442811</v>
      </c>
      <c r="CY68" s="62">
        <f ca="1">AVERAGE(OFFSET($CX$3,0,0,'Données projet'!$E$13+1,1))-AVERAGE(OFFSET($H$3,0,0,'Données projet'!$E$13+1,1))</f>
        <v>339.58437495284466</v>
      </c>
      <c r="CZ68" s="62">
        <f t="shared" si="42"/>
        <v>371.26234252426531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306</v>
      </c>
      <c r="DM68" s="13">
        <f>VLOOKUP(A68,'Données projet'!$A$165:$I$185,9,0)</f>
        <v>5.2</v>
      </c>
      <c r="DN68" s="13">
        <f t="array" ref="DN68">INDEX(DM:DM,MIN(IF(ISNUMBER(DM68:DM264),ROW(DM68:DM264),"")))</f>
        <v>5.2</v>
      </c>
      <c r="DO68" s="13">
        <f>IF('Données projet'!$A$166&gt;35,DO67+DN68-DW67,IF(A68&lt;'Données projet'!$A$166,$DL$205^A68,IF(A68='Données projet'!$A$166,'Données projet'!$B$166,DO67+DN68-DW67)))</f>
        <v>305.99999999999989</v>
      </c>
      <c r="DP68" s="18">
        <f>DO68*VLOOKUP('Données projet'!$B$14,Paramètres!$A$1:$I$89,3,0)*VLOOKUP('Données projet'!$B$14,Paramètres!$A$1:$I$89,5,0)</f>
        <v>224.3591999999999</v>
      </c>
      <c r="DQ68" s="14">
        <f t="shared" si="43"/>
        <v>55.061251669487255</v>
      </c>
      <c r="DR68" s="22">
        <f t="shared" ref="DR68:DR131" si="70">(DP68+DQ68)*0.475*44/12</f>
        <v>486.65728665769001</v>
      </c>
      <c r="DS68" s="62">
        <f t="shared" ref="DS68:DS131" si="71">DR68+(DJ68+DK68)*44/12</f>
        <v>779.99061999102332</v>
      </c>
      <c r="DT68" s="62">
        <f ca="1">AVERAGE(OFFSET($DS$3,0,0,'Données projet'!$E$14+1,1))-AVERAGE(OFFSET($H$3,0,0,'Données projet'!$E$14+1,1))</f>
        <v>344.63665697794022</v>
      </c>
      <c r="DU68" s="62">
        <f t="shared" si="44"/>
        <v>376.72762011188041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232.69230769230768</v>
      </c>
      <c r="EH68" s="13">
        <f>VLOOKUP(A68,'Données projet'!$A$191:$I$211,9,0)</f>
        <v>5</v>
      </c>
      <c r="EI68" s="13">
        <f t="array" ref="EI68">INDEX(EH:EH,MIN(IF(ISNUMBER(EH68:EH264),ROW(EH68:EH264),"")))</f>
        <v>5</v>
      </c>
      <c r="EJ68" s="13">
        <f>IF('Données projet'!$A$192&gt;35,EJ67+EI68-ER67,IF(A68&lt;'Données projet'!$A$192,$EG$205^A68,IF(A68='Données projet'!$A$192,'Données projet'!$B$192,EJ67+EI68-ER67)))</f>
        <v>232.69230769230759</v>
      </c>
      <c r="EK68" s="18">
        <f>EJ68*VLOOKUP('Données projet'!$B$15,Paramètres!$A$1:$I$89,3,0)*VLOOKUP('Données projet'!$B$15,Paramètres!$A$1:$I$89,5,0)</f>
        <v>221.42999999999989</v>
      </c>
      <c r="EL68" s="14">
        <f t="shared" si="45"/>
        <v>54.425571861733111</v>
      </c>
      <c r="EM68" s="22">
        <f t="shared" ref="EM68:EM131" si="73">(EK68+EL68)*0.475*44/12</f>
        <v>480.44845432585157</v>
      </c>
      <c r="EN68" s="62">
        <f t="shared" ref="EN68:EN131" si="74">EM68+(EE68+EF68)*44/12</f>
        <v>773.78178765918483</v>
      </c>
      <c r="EO68" s="62">
        <f ca="1">AVERAGE(OFFSET($EN$3,0,0,'Données projet'!$E$15+1,1))-AVERAGE(OFFSET($H$3,0,0,'Données projet'!$E$15+1,1))</f>
        <v>406.24139966722936</v>
      </c>
      <c r="EP68" s="62">
        <f t="shared" si="46"/>
        <v>295.95724296920577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32.692307692307693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317</v>
      </c>
      <c r="FC68" s="13">
        <f>VLOOKUP(A68,'Données projet'!$A$217:$I$237,9,0)</f>
        <v>8.8000000000000007</v>
      </c>
      <c r="FD68" s="13">
        <f t="array" ref="FD68">INDEX(FC:FC,MIN(IF(ISNUMBER(FC68:FC264),ROW(FC68:FC264),"")))</f>
        <v>8.8000000000000007</v>
      </c>
      <c r="FE68" s="13">
        <f>IF('Données projet'!$A$218&gt;35,FE67+FD68-FM67,IF(A68&lt;'Données projet'!$A$218,$FB$205^A68,IF(A68='Données projet'!$A$218,'Données projet'!$B$218,FE67+FD68-FM67)))</f>
        <v>317</v>
      </c>
      <c r="FF68" s="18">
        <f>FE68*VLOOKUP('Données projet'!$B$16,Paramètres!$A$1:$I$89,3,0)*VLOOKUP('Données projet'!$B$16,Paramètres!$A$1:$I$89,5,0)</f>
        <v>306.60239999999999</v>
      </c>
      <c r="FG68" s="14">
        <f t="shared" si="47"/>
        <v>72.558821602115088</v>
      </c>
      <c r="FH68" s="22">
        <f t="shared" ref="FH68:FH131" si="76">(FF68+FG68)*0.475*44/12</f>
        <v>660.3724609570171</v>
      </c>
      <c r="FI68" s="62">
        <f t="shared" ref="FI68:FI131" si="77">FH68+(EZ68+FA68)*44/12</f>
        <v>953.70579429035047</v>
      </c>
      <c r="FJ68" s="62">
        <f ca="1">AVERAGE(OFFSET($FI$3,0,0,'Données projet'!$E$16+1,1))-AVERAGE(OFFSET($H$3,0,0,'Données projet'!$E$16+1,1))</f>
        <v>540.83352418045502</v>
      </c>
      <c r="FK68" s="62">
        <f t="shared" si="48"/>
        <v>294.45557293177131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56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8.6666666666666661</v>
      </c>
      <c r="FZ68" s="13">
        <f>IF('Données projet'!$A$244&gt;35,FZ67+FY68-GH67,IF(A68&lt;'Données projet'!$A$244,$FW$205^A68,IF(A68='Données projet'!$A$244,'Données projet'!$B$244,FZ67+FY68-GH67)))</f>
        <v>293.33333333333337</v>
      </c>
      <c r="GA68" s="18">
        <f>FZ68*VLOOKUP('Données projet'!$B$17,Paramètres!$A$1:$I$89,3,0)*VLOOKUP('Données projet'!$B$17,Paramètres!$A$1:$I$89,5,0)</f>
        <v>228.80000000000004</v>
      </c>
      <c r="GB68" s="14">
        <f t="shared" si="49"/>
        <v>56.023134533701196</v>
      </c>
      <c r="GC68" s="22">
        <f t="shared" ref="GC68:GC131" si="79">(GA68+GB68)*0.475*44/12</f>
        <v>496.06695931286299</v>
      </c>
      <c r="GD68" s="62">
        <f t="shared" ref="GD68:GD131" si="80">GC68+(FU68+FV68)*44/12</f>
        <v>789.40029264619625</v>
      </c>
      <c r="GE68" s="62">
        <f ca="1">AVERAGE(OFFSET($GD$3,0,0,'Données projet'!$E$17+1,1))-AVERAGE(OFFSET($H$3,0,0,'Données projet'!$E$17+1,1))</f>
        <v>292.57482726862594</v>
      </c>
      <c r="GF68" s="62">
        <f t="shared" si="50"/>
        <v>283.48738729114024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282.05128205128204</v>
      </c>
      <c r="GS68" s="13">
        <f>VLOOKUP(A68,'Données projet'!$A$269:$I$289,9,0)</f>
        <v>5.3846153846153868</v>
      </c>
      <c r="GT68" s="13">
        <f t="array" ref="GT68">INDEX(GS:GS,MIN(IF(ISNUMBER(GS68:GS264),ROW(GS68:GS264),"")))</f>
        <v>5.3846153846153868</v>
      </c>
      <c r="GU68" s="13">
        <f>IF('Données projet'!$A$270&gt;35,GU67+GT68-HC67,IF(A68&lt;'Données projet'!$A$270,$GR$205^A68,IF(A68='Données projet'!$A$270,'Données projet'!$B$270,GU67+GT68-HC67)))</f>
        <v>282.05128205128187</v>
      </c>
      <c r="GV68" s="18">
        <f>GU68*VLOOKUP('Données projet'!$B$18,Paramètres!$A$1:$I$89,3,0)*VLOOKUP('Données projet'!$B$18,Paramètres!$A$1:$I$89,5,0)</f>
        <v>189.19999999999987</v>
      </c>
      <c r="GW68" s="14">
        <f t="shared" si="51"/>
        <v>47.363040799609699</v>
      </c>
      <c r="GX68" s="22">
        <f t="shared" ref="GX68:GX131" si="82">(GV68+GW68)*0.475*44/12</f>
        <v>412.01396272598663</v>
      </c>
      <c r="GY68" s="62">
        <f t="shared" ref="GY68:GY131" si="83">GX68+(GP68+GQ68)*44/12</f>
        <v>705.34729605931989</v>
      </c>
      <c r="GZ68" s="62">
        <f ca="1">AVERAGE(OFFSET($GY$3,0,0,'Données projet'!$E$18+1,1))-AVERAGE(OFFSET($H$3,0,0,'Données projet'!$E$18+1,1))</f>
        <v>343.33067866534634</v>
      </c>
      <c r="HA68" s="62">
        <f t="shared" si="52"/>
        <v>261.91036689641402</v>
      </c>
      <c r="HB68" s="16">
        <f>IF(ISNA(VLOOKUP(A68,'Données projet'!$A$269:$I$289,3,0)),0,VLOOKUP(A68,'Données projet'!$A$269:$I$289,3,0))</f>
        <v>6</v>
      </c>
      <c r="HC68" s="16">
        <f>IF(ISNA(VLOOKUP(A68,'Données projet'!$A$269:$I$289,4,0)),0,VLOOKUP(A68,'Données projet'!$A$269:$I$289,4,0))</f>
        <v>31.410256410256409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508.77990078889337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272.96879999999999</v>
      </c>
      <c r="AK69" s="14">
        <f t="shared" ref="AK69:AK132" si="89">EXP(-1.0587+0.8836*LN(AJ69)+0.284)</f>
        <v>65.478922017818945</v>
      </c>
      <c r="AL69" s="22">
        <f t="shared" si="58"/>
        <v>589.46311584770126</v>
      </c>
      <c r="AM69" s="62">
        <f t="shared" si="59"/>
        <v>882.79644918103463</v>
      </c>
      <c r="AN69" s="62">
        <f ca="1">AVERAGE(OFFSET($AM$3,0,0,'Données projet'!$E$10+1,1))-AVERAGE(OFFSET($H$3,0,0,'Données projet'!$E$10+1,1))</f>
        <v>564.84596170333884</v>
      </c>
      <c r="AO69" s="62">
        <f t="shared" ref="AO69:AO132" si="90">$AO$3</f>
        <v>306.61893266146666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310.39999999999986</v>
      </c>
      <c r="BE69" s="14">
        <f>BD69*VLOOKUP('Données projet'!$B$11,Paramètres!$A$1:$I$89,3,0)*VLOOKUP('Données projet'!$B$11,Paramètres!$A$1:$I$89,5,0)</f>
        <v>246.95423999999991</v>
      </c>
      <c r="BF69" s="14">
        <f t="shared" ref="BF69:BF132" si="91">EXP(-1.0587+0.8836*LN(BE69)+0.284)</f>
        <v>59.933272631878893</v>
      </c>
      <c r="BG69" s="22">
        <f t="shared" si="61"/>
        <v>534.49575116718881</v>
      </c>
      <c r="BH69" s="62">
        <f t="shared" si="62"/>
        <v>827.82908450052219</v>
      </c>
      <c r="BI69" s="62">
        <f ca="1">AVERAGE(OFFSET($BH$3,0,0,'Données projet'!$E$11+1,1))-AVERAGE(OFFSET($H$3,0,0,'Données projet'!$E$11+1,1))</f>
        <v>370.79299728190904</v>
      </c>
      <c r="BJ69" s="62">
        <f t="shared" ref="BJ69:BJ132" si="92">$BJ$3</f>
        <v>404.95703400805775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4.4000000000000004</v>
      </c>
      <c r="BY69" s="13">
        <f>IF('Données projet'!$A$114&gt;35,BY68+BX69-CG68,IF(A69&lt;'Données projet'!$A$114,$BV$205^A69,IF(A69='Données projet'!$A$114,'Données projet'!$B$114,BY68+BX69-CG68)))</f>
        <v>310.39999999999986</v>
      </c>
      <c r="BZ69" s="14">
        <f>BY69*VLOOKUP('Données projet'!$B$12,Paramètres!$A$1:$I$89,3,0)*VLOOKUP('Données projet'!$B$12,Paramètres!$A$1:$I$89,5,0)</f>
        <v>246.95423999999991</v>
      </c>
      <c r="CA69" s="14">
        <f t="shared" ref="CA69:CA132" si="93">EXP(-1.0587+0.8836*LN(BZ69)+0.284)</f>
        <v>59.933272631878893</v>
      </c>
      <c r="CB69" s="22">
        <f t="shared" si="64"/>
        <v>534.49575116718881</v>
      </c>
      <c r="CC69" s="62">
        <f t="shared" si="65"/>
        <v>827.82908450052219</v>
      </c>
      <c r="CD69" s="62">
        <f ca="1">AVERAGE(OFFSET($CC$3,0,0,'Données projet'!$E$12+1,1))-AVERAGE(OFFSET($H$3,0,0,'Données projet'!$E$12+1,1))</f>
        <v>370.79299728190904</v>
      </c>
      <c r="CE69" s="62">
        <f t="shared" ref="CE69:CE132" si="94">$CE$3</f>
        <v>404.95703400805775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3.8</v>
      </c>
      <c r="CT69" s="13">
        <f>IF('Données projet'!$A$140&gt;35,CT68+CS69-DB68,IF(A69&lt;'Données projet'!$A$140,$CQ$205^A69,IF(A69='Données projet'!$A$140,'Données projet'!$B$140,CT68+CS69-DB68)))</f>
        <v>258.7999999999999</v>
      </c>
      <c r="CU69" s="18">
        <f>CT69*VLOOKUP('Données projet'!$B$13,Paramètres!$A$1:$I$89,3,0)*VLOOKUP('Données projet'!$B$13,Paramètres!$A$1:$I$89,5,0)</f>
        <v>226.08767999999995</v>
      </c>
      <c r="CV69" s="14">
        <f t="shared" ref="CV69:CV132" si="95">EXP(-1.0587+0.8836*LN(CU69)+0.284)</f>
        <v>55.435903662934471</v>
      </c>
      <c r="CW69" s="22">
        <f t="shared" si="67"/>
        <v>490.32024154627743</v>
      </c>
      <c r="CX69" s="62">
        <f t="shared" si="68"/>
        <v>783.65357487961069</v>
      </c>
      <c r="CY69" s="62">
        <f ca="1">AVERAGE(OFFSET($CX$3,0,0,'Données projet'!$E$13+1,1))-AVERAGE(OFFSET($H$3,0,0,'Données projet'!$E$13+1,1))</f>
        <v>339.58437495284466</v>
      </c>
      <c r="CZ69" s="62">
        <f t="shared" ref="CZ69:CZ132" si="96">$CZ$3</f>
        <v>371.26234252426531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4.4000000000000004</v>
      </c>
      <c r="DO69" s="13">
        <f>IF('Données projet'!$A$166&gt;35,DO68+DN69-DW68,IF(A69&lt;'Données projet'!$A$166,$DL$205^A69,IF(A69='Données projet'!$A$166,'Données projet'!$B$166,DO68+DN69-DW68)))</f>
        <v>310.39999999999986</v>
      </c>
      <c r="DP69" s="18">
        <f>DO69*VLOOKUP('Données projet'!$B$14,Paramètres!$A$1:$I$89,3,0)*VLOOKUP('Données projet'!$B$14,Paramètres!$A$1:$I$89,5,0)</f>
        <v>227.58527999999987</v>
      </c>
      <c r="DQ69" s="14">
        <f t="shared" ref="DQ69:DQ132" si="97">EXP(-1.0587+0.8836*LN(DP69)+0.284)</f>
        <v>55.760242327696616</v>
      </c>
      <c r="DR69" s="22">
        <f t="shared" si="70"/>
        <v>493.49345138740472</v>
      </c>
      <c r="DS69" s="62">
        <f t="shared" si="71"/>
        <v>786.82678472073803</v>
      </c>
      <c r="DT69" s="62">
        <f ca="1">AVERAGE(OFFSET($DS$3,0,0,'Données projet'!$E$14+1,1))-AVERAGE(OFFSET($H$3,0,0,'Données projet'!$E$14+1,1))</f>
        <v>344.63665697794022</v>
      </c>
      <c r="DU69" s="62">
        <f t="shared" ref="DU69:DU132" si="98">$DU$3</f>
        <v>376.72762011188041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4.7435897435897401</v>
      </c>
      <c r="EJ69" s="13">
        <f>IF('Données projet'!$A$192&gt;35,EJ68+EI69-ER68,IF(A69&lt;'Données projet'!$A$192,$EG$205^A69,IF(A69='Données projet'!$A$192,'Données projet'!$B$192,EJ68+EI69-ER68)))</f>
        <v>204.74358974358967</v>
      </c>
      <c r="EK69" s="18">
        <f>EJ69*VLOOKUP('Données projet'!$B$15,Paramètres!$A$1:$I$89,3,0)*VLOOKUP('Données projet'!$B$15,Paramètres!$A$1:$I$89,5,0)</f>
        <v>194.83399999999995</v>
      </c>
      <c r="EL69" s="14">
        <f t="shared" ref="EL69:EL132" si="99">EXP(-1.0587+0.8836*LN(EK69)+0.284)</f>
        <v>48.607113902081203</v>
      </c>
      <c r="EM69" s="22">
        <f t="shared" si="73"/>
        <v>423.993273379458</v>
      </c>
      <c r="EN69" s="62">
        <f t="shared" si="74"/>
        <v>717.32660671279132</v>
      </c>
      <c r="EO69" s="62">
        <f ca="1">AVERAGE(OFFSET($EN$3,0,0,'Données projet'!$E$15+1,1))-AVERAGE(OFFSET($H$3,0,0,'Données projet'!$E$15+1,1))</f>
        <v>406.24139966722936</v>
      </c>
      <c r="EP69" s="62">
        <f t="shared" ref="EP69:EP132" si="100">$EP$3</f>
        <v>295.95724296920577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8.1999999999999993</v>
      </c>
      <c r="FE69" s="13">
        <f>IF('Données projet'!$A$218&gt;35,FE68+FD69-FM68,IF(A69&lt;'Données projet'!$A$218,$FB$205^A69,IF(A69='Données projet'!$A$218,'Données projet'!$B$218,FE68+FD69-FM68)))</f>
        <v>269.2</v>
      </c>
      <c r="FF69" s="18">
        <f>FE69*VLOOKUP('Données projet'!$B$16,Paramètres!$A$1:$I$89,3,0)*VLOOKUP('Données projet'!$B$16,Paramètres!$A$1:$I$89,5,0)</f>
        <v>260.37024000000002</v>
      </c>
      <c r="FG69" s="14">
        <f t="shared" ref="FG69:FG132" si="101">EXP(-1.0587+0.8836*LN(FF69)+0.284)</f>
        <v>62.801291625234725</v>
      </c>
      <c r="FH69" s="22">
        <f t="shared" si="76"/>
        <v>562.85708424728386</v>
      </c>
      <c r="FI69" s="62">
        <f t="shared" si="77"/>
        <v>856.19041758061712</v>
      </c>
      <c r="FJ69" s="62">
        <f ca="1">AVERAGE(OFFSET($FI$3,0,0,'Données projet'!$E$16+1,1))-AVERAGE(OFFSET($H$3,0,0,'Données projet'!$E$16+1,1))</f>
        <v>540.83352418045502</v>
      </c>
      <c r="FK69" s="62">
        <f t="shared" ref="FK69:FK132" si="102">$FK$3</f>
        <v>294.45557293177131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8.6666666666666661</v>
      </c>
      <c r="FZ69" s="13">
        <f>IF('Données projet'!$A$244&gt;35,FZ68+FY69-GH68,IF(A69&lt;'Données projet'!$A$244,$FW$205^A69,IF(A69='Données projet'!$A$244,'Données projet'!$B$244,FZ68+FY69-GH68)))</f>
        <v>302.00000000000006</v>
      </c>
      <c r="GA69" s="18">
        <f>FZ69*VLOOKUP('Données projet'!$B$17,Paramètres!$A$1:$I$89,3,0)*VLOOKUP('Données projet'!$B$17,Paramètres!$A$1:$I$89,5,0)</f>
        <v>235.56000000000006</v>
      </c>
      <c r="GB69" s="14">
        <f t="shared" ref="GB69:GB132" si="103">EXP(-1.0587+0.8836*LN(GA69)+0.284)</f>
        <v>57.483207143847771</v>
      </c>
      <c r="GC69" s="22">
        <f t="shared" si="79"/>
        <v>510.38358577553487</v>
      </c>
      <c r="GD69" s="62">
        <f t="shared" si="80"/>
        <v>803.71691910886818</v>
      </c>
      <c r="GE69" s="62">
        <f ca="1">AVERAGE(OFFSET($GD$3,0,0,'Données projet'!$E$17+1,1))-AVERAGE(OFFSET($H$3,0,0,'Données projet'!$E$17+1,1))</f>
        <v>292.57482726862594</v>
      </c>
      <c r="GF69" s="62">
        <f t="shared" ref="GF69:GF132" si="104">$GF$3</f>
        <v>283.48738729114024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5.1282051282051269</v>
      </c>
      <c r="GU69" s="13">
        <f>IF('Données projet'!$A$270&gt;35,GU68+GT69-HC68,IF(A69&lt;'Données projet'!$A$270,$GR$205^A69,IF(A69='Données projet'!$A$270,'Données projet'!$B$270,GU68+GT69-HC68)))</f>
        <v>255.7692307692306</v>
      </c>
      <c r="GV69" s="18">
        <f>GU69*VLOOKUP('Données projet'!$B$18,Paramètres!$A$1:$I$89,3,0)*VLOOKUP('Données projet'!$B$18,Paramètres!$A$1:$I$89,5,0)</f>
        <v>171.56999999999988</v>
      </c>
      <c r="GW69" s="14">
        <f t="shared" ref="GW69:GW132" si="105">EXP(-1.0587+0.8836*LN(GV69)+0.284)</f>
        <v>43.441463006771166</v>
      </c>
      <c r="GX69" s="22">
        <f t="shared" si="82"/>
        <v>374.47829807012619</v>
      </c>
      <c r="GY69" s="62">
        <f t="shared" si="83"/>
        <v>667.8116314034595</v>
      </c>
      <c r="GZ69" s="62">
        <f ca="1">AVERAGE(OFFSET($GY$3,0,0,'Données projet'!$E$18+1,1))-AVERAGE(OFFSET($H$3,0,0,'Données projet'!$E$18+1,1))</f>
        <v>343.33067866534634</v>
      </c>
      <c r="HA69" s="62">
        <f t="shared" ref="HA69:HA132" si="106">$HA$3</f>
        <v>261.91036689641402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508.77990078889337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281.28360000000004</v>
      </c>
      <c r="AK70" s="14">
        <f t="shared" si="89"/>
        <v>67.238198209347928</v>
      </c>
      <c r="AL70" s="22">
        <f t="shared" si="58"/>
        <v>607.00879854794766</v>
      </c>
      <c r="AM70" s="62">
        <f t="shared" si="59"/>
        <v>900.34213188128092</v>
      </c>
      <c r="AN70" s="62">
        <f ca="1">AVERAGE(OFFSET($AM$3,0,0,'Données projet'!$E$10+1,1))-AVERAGE(OFFSET($H$3,0,0,'Données projet'!$E$10+1,1))</f>
        <v>564.84596170333884</v>
      </c>
      <c r="AO70" s="62">
        <f t="shared" si="90"/>
        <v>306.61893266146666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314.79999999999984</v>
      </c>
      <c r="BE70" s="14">
        <f>BD70*VLOOKUP('Données projet'!$B$11,Paramètres!$A$1:$I$89,3,0)*VLOOKUP('Données projet'!$B$11,Paramètres!$A$1:$I$89,5,0)</f>
        <v>250.45487999999989</v>
      </c>
      <c r="BF70" s="14">
        <f t="shared" si="91"/>
        <v>60.683336250201052</v>
      </c>
      <c r="BG70" s="22">
        <f t="shared" si="61"/>
        <v>541.89905996909988</v>
      </c>
      <c r="BH70" s="62">
        <f t="shared" si="62"/>
        <v>835.23239330243314</v>
      </c>
      <c r="BI70" s="62">
        <f ca="1">AVERAGE(OFFSET($BH$3,0,0,'Données projet'!$E$11+1,1))-AVERAGE(OFFSET($H$3,0,0,'Données projet'!$E$11+1,1))</f>
        <v>370.79299728190904</v>
      </c>
      <c r="BJ70" s="62">
        <f t="shared" si="92"/>
        <v>404.95703400805775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4.4000000000000004</v>
      </c>
      <c r="BY70" s="13">
        <f>IF('Données projet'!$A$114&gt;35,BY69+BX70-CG69,IF(A70&lt;'Données projet'!$A$114,$BV$205^A70,IF(A70='Données projet'!$A$114,'Données projet'!$B$114,BY69+BX70-CG69)))</f>
        <v>314.79999999999984</v>
      </c>
      <c r="BZ70" s="14">
        <f>BY70*VLOOKUP('Données projet'!$B$12,Paramètres!$A$1:$I$89,3,0)*VLOOKUP('Données projet'!$B$12,Paramètres!$A$1:$I$89,5,0)</f>
        <v>250.45487999999989</v>
      </c>
      <c r="CA70" s="14">
        <f t="shared" si="93"/>
        <v>60.683336250201052</v>
      </c>
      <c r="CB70" s="22">
        <f t="shared" si="64"/>
        <v>541.89905996909988</v>
      </c>
      <c r="CC70" s="62">
        <f t="shared" si="65"/>
        <v>835.23239330243314</v>
      </c>
      <c r="CD70" s="62">
        <f ca="1">AVERAGE(OFFSET($CC$3,0,0,'Données projet'!$E$12+1,1))-AVERAGE(OFFSET($H$3,0,0,'Données projet'!$E$12+1,1))</f>
        <v>370.79299728190904</v>
      </c>
      <c r="CE70" s="62">
        <f t="shared" si="94"/>
        <v>404.95703400805775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3.8</v>
      </c>
      <c r="CT70" s="13">
        <f>IF('Données projet'!$A$140&gt;35,CT69+CS70-DB69,IF(A70&lt;'Données projet'!$A$140,$CQ$205^A70,IF(A70='Données projet'!$A$140,'Données projet'!$B$140,CT69+CS70-DB69)))</f>
        <v>262.59999999999991</v>
      </c>
      <c r="CU70" s="18">
        <f>CT70*VLOOKUP('Données projet'!$B$13,Paramètres!$A$1:$I$89,3,0)*VLOOKUP('Données projet'!$B$13,Paramètres!$A$1:$I$89,5,0)</f>
        <v>229.40735999999993</v>
      </c>
      <c r="CV70" s="14">
        <f t="shared" si="95"/>
        <v>56.15451967202349</v>
      </c>
      <c r="CW70" s="22">
        <f t="shared" si="67"/>
        <v>497.35360709544074</v>
      </c>
      <c r="CX70" s="62">
        <f t="shared" si="68"/>
        <v>790.68694042877405</v>
      </c>
      <c r="CY70" s="62">
        <f ca="1">AVERAGE(OFFSET($CX$3,0,0,'Données projet'!$E$13+1,1))-AVERAGE(OFFSET($H$3,0,0,'Données projet'!$E$13+1,1))</f>
        <v>339.58437495284466</v>
      </c>
      <c r="CZ70" s="62">
        <f t="shared" si="96"/>
        <v>371.26234252426531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4.4000000000000004</v>
      </c>
      <c r="DO70" s="13">
        <f>IF('Données projet'!$A$166&gt;35,DO69+DN70-DW69,IF(A70&lt;'Données projet'!$A$166,$DL$205^A70,IF(A70='Données projet'!$A$166,'Données projet'!$B$166,DO69+DN70-DW69)))</f>
        <v>314.79999999999984</v>
      </c>
      <c r="DP70" s="18">
        <f>DO70*VLOOKUP('Données projet'!$B$14,Paramètres!$A$1:$I$89,3,0)*VLOOKUP('Données projet'!$B$14,Paramètres!$A$1:$I$89,5,0)</f>
        <v>230.81135999999987</v>
      </c>
      <c r="DQ70" s="14">
        <f t="shared" si="97"/>
        <v>56.458080561489126</v>
      </c>
      <c r="DR70" s="22">
        <f t="shared" si="70"/>
        <v>500.32760897792667</v>
      </c>
      <c r="DS70" s="62">
        <f t="shared" si="71"/>
        <v>793.66094231125999</v>
      </c>
      <c r="DT70" s="62">
        <f ca="1">AVERAGE(OFFSET($DS$3,0,0,'Données projet'!$E$14+1,1))-AVERAGE(OFFSET($H$3,0,0,'Données projet'!$E$14+1,1))</f>
        <v>344.63665697794022</v>
      </c>
      <c r="DU70" s="62">
        <f t="shared" si="98"/>
        <v>376.72762011188041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4.7435897435897401</v>
      </c>
      <c r="EJ70" s="13">
        <f>IF('Données projet'!$A$192&gt;35,EJ69+EI70-ER69,IF(A70&lt;'Données projet'!$A$192,$EG$205^A70,IF(A70='Données projet'!$A$192,'Données projet'!$B$192,EJ69+EI70-ER69)))</f>
        <v>209.48717948717942</v>
      </c>
      <c r="EK70" s="18">
        <f>EJ70*VLOOKUP('Données projet'!$B$15,Paramètres!$A$1:$I$89,3,0)*VLOOKUP('Données projet'!$B$15,Paramètres!$A$1:$I$89,5,0)</f>
        <v>199.34799999999993</v>
      </c>
      <c r="EL70" s="14">
        <f t="shared" si="99"/>
        <v>49.600850639748678</v>
      </c>
      <c r="EM70" s="22">
        <f t="shared" si="73"/>
        <v>433.58591486422876</v>
      </c>
      <c r="EN70" s="62">
        <f t="shared" si="74"/>
        <v>726.91924819756207</v>
      </c>
      <c r="EO70" s="62">
        <f ca="1">AVERAGE(OFFSET($EN$3,0,0,'Données projet'!$E$15+1,1))-AVERAGE(OFFSET($H$3,0,0,'Données projet'!$E$15+1,1))</f>
        <v>406.24139966722936</v>
      </c>
      <c r="EP70" s="62">
        <f t="shared" si="100"/>
        <v>295.95724296920577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8.1999999999999993</v>
      </c>
      <c r="FE70" s="13">
        <f>IF('Données projet'!$A$218&gt;35,FE69+FD70-FM69,IF(A70&lt;'Données projet'!$A$218,$FB$205^A70,IF(A70='Données projet'!$A$218,'Données projet'!$B$218,FE69+FD70-FM69)))</f>
        <v>277.39999999999998</v>
      </c>
      <c r="FF70" s="18">
        <f>FE70*VLOOKUP('Données projet'!$B$16,Paramètres!$A$1:$I$89,3,0)*VLOOKUP('Données projet'!$B$16,Paramètres!$A$1:$I$89,5,0)</f>
        <v>268.30127999999996</v>
      </c>
      <c r="FG70" s="14">
        <f t="shared" si="101"/>
        <v>64.488625713042012</v>
      </c>
      <c r="FH70" s="22">
        <f t="shared" si="76"/>
        <v>579.60908578354815</v>
      </c>
      <c r="FI70" s="62">
        <f t="shared" si="77"/>
        <v>872.94241911688141</v>
      </c>
      <c r="FJ70" s="62">
        <f ca="1">AVERAGE(OFFSET($FI$3,0,0,'Données projet'!$E$16+1,1))-AVERAGE(OFFSET($H$3,0,0,'Données projet'!$E$16+1,1))</f>
        <v>540.83352418045502</v>
      </c>
      <c r="FK70" s="62">
        <f t="shared" si="102"/>
        <v>294.45557293177131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8.6666666666666661</v>
      </c>
      <c r="FZ70" s="13">
        <f>IF('Données projet'!$A$244&gt;35,FZ69+FY70-GH69,IF(A70&lt;'Données projet'!$A$244,$FW$205^A70,IF(A70='Données projet'!$A$244,'Données projet'!$B$244,FZ69+FY70-GH69)))</f>
        <v>310.66666666666674</v>
      </c>
      <c r="GA70" s="18">
        <f>FZ70*VLOOKUP('Données projet'!$B$17,Paramètres!$A$1:$I$89,3,0)*VLOOKUP('Données projet'!$B$17,Paramètres!$A$1:$I$89,5,0)</f>
        <v>242.32000000000008</v>
      </c>
      <c r="GB70" s="14">
        <f t="shared" si="103"/>
        <v>58.938409961900909</v>
      </c>
      <c r="GC70" s="22">
        <f t="shared" si="79"/>
        <v>524.69173068364421</v>
      </c>
      <c r="GD70" s="62">
        <f t="shared" si="80"/>
        <v>818.02506401697747</v>
      </c>
      <c r="GE70" s="62">
        <f ca="1">AVERAGE(OFFSET($GD$3,0,0,'Données projet'!$E$17+1,1))-AVERAGE(OFFSET($H$3,0,0,'Données projet'!$E$17+1,1))</f>
        <v>292.57482726862594</v>
      </c>
      <c r="GF70" s="62">
        <f t="shared" si="104"/>
        <v>283.48738729114024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5.1282051282051269</v>
      </c>
      <c r="GU70" s="13">
        <f>IF('Données projet'!$A$270&gt;35,GU69+GT70-HC69,IF(A70&lt;'Données projet'!$A$270,$GR$205^A70,IF(A70='Données projet'!$A$270,'Données projet'!$B$270,GU69+GT70-HC69)))</f>
        <v>260.89743589743574</v>
      </c>
      <c r="GV70" s="18">
        <f>GU70*VLOOKUP('Données projet'!$B$18,Paramètres!$A$1:$I$89,3,0)*VLOOKUP('Données projet'!$B$18,Paramètres!$A$1:$I$89,5,0)</f>
        <v>175.00999999999991</v>
      </c>
      <c r="GW70" s="14">
        <f t="shared" si="105"/>
        <v>44.210193140944149</v>
      </c>
      <c r="GX70" s="22">
        <f t="shared" si="82"/>
        <v>381.80850305381085</v>
      </c>
      <c r="GY70" s="62">
        <f t="shared" si="83"/>
        <v>675.14183638714417</v>
      </c>
      <c r="GZ70" s="62">
        <f ca="1">AVERAGE(OFFSET($GY$3,0,0,'Données projet'!$E$18+1,1))-AVERAGE(OFFSET($H$3,0,0,'Données projet'!$E$18+1,1))</f>
        <v>343.33067866534634</v>
      </c>
      <c r="HA70" s="62">
        <f t="shared" si="106"/>
        <v>261.91036689641402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508.77990078889337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289.59839999999997</v>
      </c>
      <c r="AK71" s="14">
        <f t="shared" si="89"/>
        <v>68.991430542388798</v>
      </c>
      <c r="AL71" s="22">
        <f t="shared" si="58"/>
        <v>624.54395486132705</v>
      </c>
      <c r="AM71" s="62">
        <f t="shared" si="59"/>
        <v>917.87728819466042</v>
      </c>
      <c r="AN71" s="62">
        <f ca="1">AVERAGE(OFFSET($AM$3,0,0,'Données projet'!$E$10+1,1))-AVERAGE(OFFSET($H$3,0,0,'Données projet'!$E$10+1,1))</f>
        <v>564.84596170333884</v>
      </c>
      <c r="AO71" s="62">
        <f t="shared" si="90"/>
        <v>306.61893266146666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319.19999999999982</v>
      </c>
      <c r="BE71" s="14">
        <f>BD71*VLOOKUP('Données projet'!$B$11,Paramètres!$A$1:$I$89,3,0)*VLOOKUP('Données projet'!$B$11,Paramètres!$A$1:$I$89,5,0)</f>
        <v>253.95551999999986</v>
      </c>
      <c r="BF71" s="14">
        <f t="shared" si="91"/>
        <v>61.432180511879253</v>
      </c>
      <c r="BG71" s="22">
        <f t="shared" si="61"/>
        <v>549.30024505818949</v>
      </c>
      <c r="BH71" s="62">
        <f t="shared" si="62"/>
        <v>842.63357839152286</v>
      </c>
      <c r="BI71" s="62">
        <f ca="1">AVERAGE(OFFSET($BH$3,0,0,'Données projet'!$E$11+1,1))-AVERAGE(OFFSET($H$3,0,0,'Données projet'!$E$11+1,1))</f>
        <v>370.79299728190904</v>
      </c>
      <c r="BJ71" s="62">
        <f t="shared" si="92"/>
        <v>404.95703400805775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4.4000000000000004</v>
      </c>
      <c r="BY71" s="13">
        <f>IF('Données projet'!$A$114&gt;35,BY70+BX71-CG70,IF(A71&lt;'Données projet'!$A$114,$BV$205^A71,IF(A71='Données projet'!$A$114,'Données projet'!$B$114,BY70+BX71-CG70)))</f>
        <v>319.19999999999982</v>
      </c>
      <c r="BZ71" s="14">
        <f>BY71*VLOOKUP('Données projet'!$B$12,Paramètres!$A$1:$I$89,3,0)*VLOOKUP('Données projet'!$B$12,Paramètres!$A$1:$I$89,5,0)</f>
        <v>253.95551999999986</v>
      </c>
      <c r="CA71" s="14">
        <f t="shared" si="93"/>
        <v>61.432180511879253</v>
      </c>
      <c r="CB71" s="22">
        <f t="shared" si="64"/>
        <v>549.30024505818949</v>
      </c>
      <c r="CC71" s="62">
        <f t="shared" si="65"/>
        <v>842.63357839152286</v>
      </c>
      <c r="CD71" s="62">
        <f ca="1">AVERAGE(OFFSET($CC$3,0,0,'Données projet'!$E$12+1,1))-AVERAGE(OFFSET($H$3,0,0,'Données projet'!$E$12+1,1))</f>
        <v>370.79299728190904</v>
      </c>
      <c r="CE71" s="62">
        <f t="shared" si="94"/>
        <v>404.95703400805775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3.8</v>
      </c>
      <c r="CT71" s="13">
        <f>IF('Données projet'!$A$140&gt;35,CT70+CS71-DB70,IF(A71&lt;'Données projet'!$A$140,$CQ$205^A71,IF(A71='Données projet'!$A$140,'Données projet'!$B$140,CT70+CS71-DB70)))</f>
        <v>266.39999999999992</v>
      </c>
      <c r="CU71" s="18">
        <f>CT71*VLOOKUP('Données projet'!$B$13,Paramètres!$A$1:$I$89,3,0)*VLOOKUP('Données projet'!$B$13,Paramètres!$A$1:$I$89,5,0)</f>
        <v>232.72703999999996</v>
      </c>
      <c r="CV71" s="14">
        <f t="shared" si="95"/>
        <v>56.871926227931105</v>
      </c>
      <c r="CW71" s="22">
        <f t="shared" si="67"/>
        <v>504.38486618031317</v>
      </c>
      <c r="CX71" s="62">
        <f t="shared" si="68"/>
        <v>797.71819951364648</v>
      </c>
      <c r="CY71" s="62">
        <f ca="1">AVERAGE(OFFSET($CX$3,0,0,'Données projet'!$E$13+1,1))-AVERAGE(OFFSET($H$3,0,0,'Données projet'!$E$13+1,1))</f>
        <v>339.58437495284466</v>
      </c>
      <c r="CZ71" s="62">
        <f t="shared" si="96"/>
        <v>371.26234252426531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4.4000000000000004</v>
      </c>
      <c r="DO71" s="13">
        <f>IF('Données projet'!$A$166&gt;35,DO70+DN71-DW70,IF(A71&lt;'Données projet'!$A$166,$DL$205^A71,IF(A71='Données projet'!$A$166,'Données projet'!$B$166,DO70+DN71-DW70)))</f>
        <v>319.19999999999982</v>
      </c>
      <c r="DP71" s="18">
        <f>DO71*VLOOKUP('Données projet'!$B$14,Paramètres!$A$1:$I$89,3,0)*VLOOKUP('Données projet'!$B$14,Paramètres!$A$1:$I$89,5,0)</f>
        <v>234.03743999999989</v>
      </c>
      <c r="DQ71" s="14">
        <f t="shared" si="97"/>
        <v>57.154784339928689</v>
      </c>
      <c r="DR71" s="22">
        <f t="shared" si="70"/>
        <v>507.15979072537567</v>
      </c>
      <c r="DS71" s="62">
        <f t="shared" si="71"/>
        <v>800.49312405870899</v>
      </c>
      <c r="DT71" s="62">
        <f ca="1">AVERAGE(OFFSET($DS$3,0,0,'Données projet'!$E$14+1,1))-AVERAGE(OFFSET($H$3,0,0,'Données projet'!$E$14+1,1))</f>
        <v>344.63665697794022</v>
      </c>
      <c r="DU71" s="62">
        <f t="shared" si="98"/>
        <v>376.72762011188041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4.7435897435897401</v>
      </c>
      <c r="EJ71" s="13">
        <f>IF('Données projet'!$A$192&gt;35,EJ70+EI71-ER70,IF(A71&lt;'Données projet'!$A$192,$EG$205^A71,IF(A71='Données projet'!$A$192,'Données projet'!$B$192,EJ70+EI71-ER70)))</f>
        <v>214.23076923076917</v>
      </c>
      <c r="EK71" s="18">
        <f>EJ71*VLOOKUP('Données projet'!$B$15,Paramètres!$A$1:$I$89,3,0)*VLOOKUP('Données projet'!$B$15,Paramètres!$A$1:$I$89,5,0)</f>
        <v>203.86199999999994</v>
      </c>
      <c r="EL71" s="14">
        <f t="shared" si="99"/>
        <v>50.591971357727658</v>
      </c>
      <c r="EM71" s="22">
        <f t="shared" si="73"/>
        <v>443.17400011470886</v>
      </c>
      <c r="EN71" s="62">
        <f t="shared" si="74"/>
        <v>736.50733344804212</v>
      </c>
      <c r="EO71" s="62">
        <f ca="1">AVERAGE(OFFSET($EN$3,0,0,'Données projet'!$E$15+1,1))-AVERAGE(OFFSET($H$3,0,0,'Données projet'!$E$15+1,1))</f>
        <v>406.24139966722936</v>
      </c>
      <c r="EP71" s="62">
        <f t="shared" si="100"/>
        <v>295.95724296920577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8.1999999999999993</v>
      </c>
      <c r="FE71" s="13">
        <f>IF('Données projet'!$A$218&gt;35,FE70+FD71-FM70,IF(A71&lt;'Données projet'!$A$218,$FB$205^A71,IF(A71='Données projet'!$A$218,'Données projet'!$B$218,FE70+FD71-FM70)))</f>
        <v>285.59999999999997</v>
      </c>
      <c r="FF71" s="18">
        <f>FE71*VLOOKUP('Données projet'!$B$16,Paramètres!$A$1:$I$89,3,0)*VLOOKUP('Données projet'!$B$16,Paramètres!$A$1:$I$89,5,0)</f>
        <v>276.23231999999996</v>
      </c>
      <c r="FG71" s="14">
        <f t="shared" si="101"/>
        <v>66.170163093943458</v>
      </c>
      <c r="FH71" s="22">
        <f t="shared" si="76"/>
        <v>596.35099138861813</v>
      </c>
      <c r="FI71" s="62">
        <f t="shared" si="77"/>
        <v>889.6843247219515</v>
      </c>
      <c r="FJ71" s="62">
        <f ca="1">AVERAGE(OFFSET($FI$3,0,0,'Données projet'!$E$16+1,1))-AVERAGE(OFFSET($H$3,0,0,'Données projet'!$E$16+1,1))</f>
        <v>540.83352418045502</v>
      </c>
      <c r="FK71" s="62">
        <f t="shared" si="102"/>
        <v>294.45557293177131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8.6666666666666661</v>
      </c>
      <c r="FZ71" s="13">
        <f>IF('Données projet'!$A$244&gt;35,FZ70+FY71-GH70,IF(A71&lt;'Données projet'!$A$244,$FW$205^A71,IF(A71='Données projet'!$A$244,'Données projet'!$B$244,FZ70+FY71-GH70)))</f>
        <v>319.33333333333343</v>
      </c>
      <c r="GA71" s="18">
        <f>FZ71*VLOOKUP('Données projet'!$B$17,Paramètres!$A$1:$I$89,3,0)*VLOOKUP('Données projet'!$B$17,Paramètres!$A$1:$I$89,5,0)</f>
        <v>249.08000000000007</v>
      </c>
      <c r="GB71" s="14">
        <f t="shared" si="103"/>
        <v>60.388894447487807</v>
      </c>
      <c r="GC71" s="22">
        <f t="shared" si="79"/>
        <v>538.99165782937473</v>
      </c>
      <c r="GD71" s="62">
        <f t="shared" si="80"/>
        <v>832.3249911627081</v>
      </c>
      <c r="GE71" s="62">
        <f ca="1">AVERAGE(OFFSET($GD$3,0,0,'Données projet'!$E$17+1,1))-AVERAGE(OFFSET($H$3,0,0,'Données projet'!$E$17+1,1))</f>
        <v>292.57482726862594</v>
      </c>
      <c r="GF71" s="62">
        <f t="shared" si="104"/>
        <v>283.48738729114024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5.1282051282051269</v>
      </c>
      <c r="GU71" s="13">
        <f>IF('Données projet'!$A$270&gt;35,GU70+GT71-HC70,IF(A71&lt;'Données projet'!$A$270,$GR$205^A71,IF(A71='Données projet'!$A$270,'Données projet'!$B$270,GU70+GT71-HC70)))</f>
        <v>266.02564102564088</v>
      </c>
      <c r="GV71" s="18">
        <f>GU71*VLOOKUP('Données projet'!$B$18,Paramètres!$A$1:$I$89,3,0)*VLOOKUP('Données projet'!$B$18,Paramètres!$A$1:$I$89,5,0)</f>
        <v>178.4499999999999</v>
      </c>
      <c r="GW71" s="14">
        <f t="shared" si="105"/>
        <v>44.9771663417241</v>
      </c>
      <c r="GX71" s="22">
        <f t="shared" si="82"/>
        <v>389.13564804516926</v>
      </c>
      <c r="GY71" s="62">
        <f t="shared" si="83"/>
        <v>682.46898137850258</v>
      </c>
      <c r="GZ71" s="62">
        <f ca="1">AVERAGE(OFFSET($GY$3,0,0,'Données projet'!$E$18+1,1))-AVERAGE(OFFSET($H$3,0,0,'Données projet'!$E$18+1,1))</f>
        <v>343.33067866534634</v>
      </c>
      <c r="HA71" s="62">
        <f t="shared" si="106"/>
        <v>261.91036689641402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508.77990078889337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297.91319999999996</v>
      </c>
      <c r="AK72" s="14">
        <f t="shared" si="89"/>
        <v>70.73881247427552</v>
      </c>
      <c r="AL72" s="22">
        <f t="shared" si="58"/>
        <v>642.06892172602977</v>
      </c>
      <c r="AM72" s="62">
        <f t="shared" si="59"/>
        <v>935.40225505936314</v>
      </c>
      <c r="AN72" s="62">
        <f ca="1">AVERAGE(OFFSET($AM$3,0,0,'Données projet'!$E$10+1,1))-AVERAGE(OFFSET($H$3,0,0,'Données projet'!$E$10+1,1))</f>
        <v>564.84596170333884</v>
      </c>
      <c r="AO72" s="62">
        <f t="shared" si="90"/>
        <v>306.61893266146666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323.5999999999998</v>
      </c>
      <c r="BE72" s="14">
        <f>BD72*VLOOKUP('Données projet'!$B$11,Paramètres!$A$1:$I$89,3,0)*VLOOKUP('Données projet'!$B$11,Paramètres!$A$1:$I$89,5,0)</f>
        <v>257.45615999999984</v>
      </c>
      <c r="BF72" s="14">
        <f t="shared" si="91"/>
        <v>62.179824167708126</v>
      </c>
      <c r="BG72" s="22">
        <f t="shared" si="61"/>
        <v>556.69933909209135</v>
      </c>
      <c r="BH72" s="62">
        <f t="shared" si="62"/>
        <v>850.03267242542461</v>
      </c>
      <c r="BI72" s="62">
        <f ca="1">AVERAGE(OFFSET($BH$3,0,0,'Données projet'!$E$11+1,1))-AVERAGE(OFFSET($H$3,0,0,'Données projet'!$E$11+1,1))</f>
        <v>370.79299728190904</v>
      </c>
      <c r="BJ72" s="62">
        <f t="shared" si="92"/>
        <v>404.95703400805775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4.4000000000000004</v>
      </c>
      <c r="BY72" s="13">
        <f>IF('Données projet'!$A$114&gt;35,BY71+BX72-CG71,IF(A72&lt;'Données projet'!$A$114,$BV$205^A72,IF(A72='Données projet'!$A$114,'Données projet'!$B$114,BY71+BX72-CG71)))</f>
        <v>323.5999999999998</v>
      </c>
      <c r="BZ72" s="14">
        <f>BY72*VLOOKUP('Données projet'!$B$12,Paramètres!$A$1:$I$89,3,0)*VLOOKUP('Données projet'!$B$12,Paramètres!$A$1:$I$89,5,0)</f>
        <v>257.45615999999984</v>
      </c>
      <c r="CA72" s="14">
        <f t="shared" si="93"/>
        <v>62.179824167708126</v>
      </c>
      <c r="CB72" s="22">
        <f t="shared" si="64"/>
        <v>556.69933909209135</v>
      </c>
      <c r="CC72" s="62">
        <f t="shared" si="65"/>
        <v>850.03267242542461</v>
      </c>
      <c r="CD72" s="62">
        <f ca="1">AVERAGE(OFFSET($CC$3,0,0,'Données projet'!$E$12+1,1))-AVERAGE(OFFSET($H$3,0,0,'Données projet'!$E$12+1,1))</f>
        <v>370.79299728190904</v>
      </c>
      <c r="CE72" s="62">
        <f t="shared" si="94"/>
        <v>404.95703400805775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3.8</v>
      </c>
      <c r="CT72" s="13">
        <f>IF('Données projet'!$A$140&gt;35,CT71+CS72-DB71,IF(A72&lt;'Données projet'!$A$140,$CQ$205^A72,IF(A72='Données projet'!$A$140,'Données projet'!$B$140,CT71+CS72-DB71)))</f>
        <v>270.19999999999993</v>
      </c>
      <c r="CU72" s="18">
        <f>CT72*VLOOKUP('Données projet'!$B$13,Paramètres!$A$1:$I$89,3,0)*VLOOKUP('Données projet'!$B$13,Paramètres!$A$1:$I$89,5,0)</f>
        <v>236.04671999999999</v>
      </c>
      <c r="CV72" s="14">
        <f t="shared" si="95"/>
        <v>57.588142576078461</v>
      </c>
      <c r="CW72" s="22">
        <f t="shared" si="67"/>
        <v>511.41405232000324</v>
      </c>
      <c r="CX72" s="62">
        <f t="shared" si="68"/>
        <v>804.74738565333655</v>
      </c>
      <c r="CY72" s="62">
        <f ca="1">AVERAGE(OFFSET($CX$3,0,0,'Données projet'!$E$13+1,1))-AVERAGE(OFFSET($H$3,0,0,'Données projet'!$E$13+1,1))</f>
        <v>339.58437495284466</v>
      </c>
      <c r="CZ72" s="62">
        <f t="shared" si="96"/>
        <v>371.26234252426531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4.4000000000000004</v>
      </c>
      <c r="DO72" s="13">
        <f>IF('Données projet'!$A$166&gt;35,DO71+DN72-DW71,IF(A72&lt;'Données projet'!$A$166,$DL$205^A72,IF(A72='Données projet'!$A$166,'Données projet'!$B$166,DO71+DN72-DW71)))</f>
        <v>323.5999999999998</v>
      </c>
      <c r="DP72" s="18">
        <f>DO72*VLOOKUP('Données projet'!$B$14,Paramètres!$A$1:$I$89,3,0)*VLOOKUP('Données projet'!$B$14,Paramètres!$A$1:$I$89,5,0)</f>
        <v>237.26351999999986</v>
      </c>
      <c r="DQ72" s="14">
        <f t="shared" si="97"/>
        <v>57.850371108230938</v>
      </c>
      <c r="DR72" s="22">
        <f t="shared" si="70"/>
        <v>513.99002701350196</v>
      </c>
      <c r="DS72" s="62">
        <f t="shared" si="71"/>
        <v>807.32336034683522</v>
      </c>
      <c r="DT72" s="62">
        <f ca="1">AVERAGE(OFFSET($DS$3,0,0,'Données projet'!$E$14+1,1))-AVERAGE(OFFSET($H$3,0,0,'Données projet'!$E$14+1,1))</f>
        <v>344.63665697794022</v>
      </c>
      <c r="DU72" s="62">
        <f t="shared" si="98"/>
        <v>376.72762011188041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4.7435897435897401</v>
      </c>
      <c r="EJ72" s="13">
        <f>IF('Données projet'!$A$192&gt;35,EJ71+EI72-ER71,IF(A72&lt;'Données projet'!$A$192,$EG$205^A72,IF(A72='Données projet'!$A$192,'Données projet'!$B$192,EJ71+EI72-ER71)))</f>
        <v>218.97435897435892</v>
      </c>
      <c r="EK72" s="18">
        <f>EJ72*VLOOKUP('Données projet'!$B$15,Paramètres!$A$1:$I$89,3,0)*VLOOKUP('Données projet'!$B$15,Paramètres!$A$1:$I$89,5,0)</f>
        <v>208.37599999999995</v>
      </c>
      <c r="EL72" s="14">
        <f t="shared" si="99"/>
        <v>51.580540650922785</v>
      </c>
      <c r="EM72" s="22">
        <f t="shared" si="73"/>
        <v>452.75764163369041</v>
      </c>
      <c r="EN72" s="62">
        <f t="shared" si="74"/>
        <v>746.09097496702373</v>
      </c>
      <c r="EO72" s="62">
        <f ca="1">AVERAGE(OFFSET($EN$3,0,0,'Données projet'!$E$15+1,1))-AVERAGE(OFFSET($H$3,0,0,'Données projet'!$E$15+1,1))</f>
        <v>406.24139966722936</v>
      </c>
      <c r="EP72" s="62">
        <f t="shared" si="100"/>
        <v>295.95724296920577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8.1999999999999993</v>
      </c>
      <c r="FE72" s="13">
        <f>IF('Données projet'!$A$218&gt;35,FE71+FD72-FM71,IF(A72&lt;'Données projet'!$A$218,$FB$205^A72,IF(A72='Données projet'!$A$218,'Données projet'!$B$218,FE71+FD72-FM71)))</f>
        <v>293.79999999999995</v>
      </c>
      <c r="FF72" s="18">
        <f>FE72*VLOOKUP('Données projet'!$B$16,Paramètres!$A$1:$I$89,3,0)*VLOOKUP('Données projet'!$B$16,Paramètres!$A$1:$I$89,5,0)</f>
        <v>284.16335999999995</v>
      </c>
      <c r="FG72" s="14">
        <f t="shared" si="101"/>
        <v>67.846089314219739</v>
      </c>
      <c r="FH72" s="22">
        <f t="shared" si="76"/>
        <v>613.08312422226595</v>
      </c>
      <c r="FI72" s="62">
        <f t="shared" si="77"/>
        <v>906.41645755559921</v>
      </c>
      <c r="FJ72" s="62">
        <f ca="1">AVERAGE(OFFSET($FI$3,0,0,'Données projet'!$E$16+1,1))-AVERAGE(OFFSET($H$3,0,0,'Données projet'!$E$16+1,1))</f>
        <v>540.83352418045502</v>
      </c>
      <c r="FK72" s="62">
        <f t="shared" si="102"/>
        <v>294.45557293177131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>
        <f>VLOOKUP(A72,'Données projet'!$A$243:$I$263,2,0)</f>
        <v>328</v>
      </c>
      <c r="FX72" s="13">
        <f>VLOOKUP(A72,'Données projet'!$A$243:$I$263,9,0)</f>
        <v>8.6666666666666661</v>
      </c>
      <c r="FY72" s="13">
        <f t="array" ref="FY72">INDEX(FX:FX,MIN(IF(ISNUMBER(FX72:FX268),ROW(FX72:FX268),"")))</f>
        <v>8.6666666666666661</v>
      </c>
      <c r="FZ72" s="13">
        <f>IF('Données projet'!$A$244&gt;35,FZ71+FY72-GH71,IF(A72&lt;'Données projet'!$A$244,$FW$205^A72,IF(A72='Données projet'!$A$244,'Données projet'!$B$244,FZ71+FY72-GH71)))</f>
        <v>328.00000000000011</v>
      </c>
      <c r="GA72" s="18">
        <f>FZ72*VLOOKUP('Données projet'!$B$17,Paramètres!$A$1:$I$89,3,0)*VLOOKUP('Données projet'!$B$17,Paramètres!$A$1:$I$89,5,0)</f>
        <v>255.84000000000009</v>
      </c>
      <c r="GB72" s="14">
        <f t="shared" si="103"/>
        <v>61.834803371075836</v>
      </c>
      <c r="GC72" s="22">
        <f t="shared" si="79"/>
        <v>553.28361587129064</v>
      </c>
      <c r="GD72" s="62">
        <f t="shared" si="80"/>
        <v>846.61694920462401</v>
      </c>
      <c r="GE72" s="62">
        <f ca="1">AVERAGE(OFFSET($GD$3,0,0,'Données projet'!$E$17+1,1))-AVERAGE(OFFSET($H$3,0,0,'Données projet'!$E$17+1,1))</f>
        <v>292.57482726862594</v>
      </c>
      <c r="GF72" s="62">
        <f t="shared" si="104"/>
        <v>283.48738729114024</v>
      </c>
      <c r="GG72" s="16">
        <f>IF(ISNA(VLOOKUP(A72,'Données projet'!$A$243:$I$263,3,0)),0,VLOOKUP(A72,'Données projet'!$A$243:$I$263,3,0))</f>
        <v>7</v>
      </c>
      <c r="GH72" s="16">
        <f>IF(ISNA(VLOOKUP(A72,'Données projet'!$A$243:$I$263,4,0)),0,VLOOKUP(A72,'Données projet'!$A$243:$I$263,4,0))</f>
        <v>328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5.1282051282051269</v>
      </c>
      <c r="GU72" s="13">
        <f>IF('Données projet'!$A$270&gt;35,GU71+GT72-HC71,IF(A72&lt;'Données projet'!$A$270,$GR$205^A72,IF(A72='Données projet'!$A$270,'Données projet'!$B$270,GU71+GT72-HC71)))</f>
        <v>271.15384615384602</v>
      </c>
      <c r="GV72" s="18">
        <f>GU72*VLOOKUP('Données projet'!$B$18,Paramètres!$A$1:$I$89,3,0)*VLOOKUP('Données projet'!$B$18,Paramètres!$A$1:$I$89,5,0)</f>
        <v>181.8899999999999</v>
      </c>
      <c r="GW72" s="14">
        <f t="shared" si="105"/>
        <v>45.742420382341599</v>
      </c>
      <c r="GX72" s="22">
        <f t="shared" si="82"/>
        <v>396.45979883257809</v>
      </c>
      <c r="GY72" s="62">
        <f t="shared" si="83"/>
        <v>689.7931321659114</v>
      </c>
      <c r="GZ72" s="62">
        <f ca="1">AVERAGE(OFFSET($GY$3,0,0,'Données projet'!$E$18+1,1))-AVERAGE(OFFSET($H$3,0,0,'Données projet'!$E$18+1,1))</f>
        <v>343.33067866534634</v>
      </c>
      <c r="HA72" s="62">
        <f t="shared" si="106"/>
        <v>261.91036689641402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508.77990078889337</v>
      </c>
      <c r="T73" s="62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306.22800000000001</v>
      </c>
      <c r="AK73" s="14">
        <f t="shared" si="89"/>
        <v>72.480526049067294</v>
      </c>
      <c r="AL73" s="22">
        <f t="shared" si="58"/>
        <v>659.58401620212555</v>
      </c>
      <c r="AM73" s="62">
        <f t="shared" si="59"/>
        <v>952.91734953545892</v>
      </c>
      <c r="AN73" s="62">
        <f ca="1">AVERAGE(OFFSET($AM$3,0,0,'Données projet'!$E$10+1,1))-AVERAGE(OFFSET($H$3,0,0,'Données projet'!$E$10+1,1))</f>
        <v>564.84596170333884</v>
      </c>
      <c r="AO73" s="62">
        <f t="shared" si="90"/>
        <v>306.61893266146666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328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327.99999999999977</v>
      </c>
      <c r="BE73" s="14">
        <f>BD73*VLOOKUP('Données projet'!$B$11,Paramètres!$A$1:$I$89,3,0)*VLOOKUP('Données projet'!$B$11,Paramètres!$A$1:$I$89,5,0)</f>
        <v>260.95679999999982</v>
      </c>
      <c r="BF73" s="14">
        <f t="shared" si="91"/>
        <v>62.926285429272689</v>
      </c>
      <c r="BG73" s="22">
        <f t="shared" si="61"/>
        <v>564.09637378931632</v>
      </c>
      <c r="BH73" s="62">
        <f t="shared" si="62"/>
        <v>857.42970712264969</v>
      </c>
      <c r="BI73" s="62">
        <f ca="1">AVERAGE(OFFSET($BH$3,0,0,'Données projet'!$E$11+1,1))-AVERAGE(OFFSET($H$3,0,0,'Données projet'!$E$11+1,1))</f>
        <v>370.79299728190904</v>
      </c>
      <c r="BJ73" s="62">
        <f t="shared" si="92"/>
        <v>404.95703400805775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328</v>
      </c>
      <c r="BW73" s="13">
        <f>VLOOKUP(A73,'Données projet'!$A$113:$I$133,9,0)</f>
        <v>4.4000000000000004</v>
      </c>
      <c r="BX73" s="13">
        <f t="array" ref="BX73">INDEX(BW:BW,MIN(IF(ISNUMBER(BW73:BW269),ROW(BW73:BW269),"")))</f>
        <v>4.4000000000000004</v>
      </c>
      <c r="BY73" s="13">
        <f>IF('Données projet'!$A$114&gt;35,BY72+BX73-CG72,IF(A73&lt;'Données projet'!$A$114,$BV$205^A73,IF(A73='Données projet'!$A$114,'Données projet'!$B$114,BY72+BX73-CG72)))</f>
        <v>327.99999999999977</v>
      </c>
      <c r="BZ73" s="14">
        <f>BY73*VLOOKUP('Données projet'!$B$12,Paramètres!$A$1:$I$89,3,0)*VLOOKUP('Données projet'!$B$12,Paramètres!$A$1:$I$89,5,0)</f>
        <v>260.95679999999982</v>
      </c>
      <c r="CA73" s="14">
        <f t="shared" si="93"/>
        <v>62.926285429272689</v>
      </c>
      <c r="CB73" s="22">
        <f t="shared" si="64"/>
        <v>564.09637378931632</v>
      </c>
      <c r="CC73" s="62">
        <f t="shared" si="65"/>
        <v>857.42970712264969</v>
      </c>
      <c r="CD73" s="62">
        <f ca="1">AVERAGE(OFFSET($CC$3,0,0,'Données projet'!$E$12+1,1))-AVERAGE(OFFSET($H$3,0,0,'Données projet'!$E$12+1,1))</f>
        <v>370.79299728190904</v>
      </c>
      <c r="CE73" s="62">
        <f t="shared" si="94"/>
        <v>404.95703400805775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26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274</v>
      </c>
      <c r="CR73" s="13">
        <f>VLOOKUP(A73,'Données projet'!$A$139:$I$159,9,0)</f>
        <v>3.8</v>
      </c>
      <c r="CS73" s="13">
        <f t="array" ref="CS73">INDEX(CR:CR,MIN(IF(ISNUMBER(CR73:CR269),ROW(CR73:CR269),"")))</f>
        <v>3.8</v>
      </c>
      <c r="CT73" s="13">
        <f>IF('Données projet'!$A$140&gt;35,CT72+CS73-DB72,IF(A73&lt;'Données projet'!$A$140,$CQ$205^A73,IF(A73='Données projet'!$A$140,'Données projet'!$B$140,CT72+CS73-DB72)))</f>
        <v>273.99999999999994</v>
      </c>
      <c r="CU73" s="18">
        <f>CT73*VLOOKUP('Données projet'!$B$13,Paramètres!$A$1:$I$89,3,0)*VLOOKUP('Données projet'!$B$13,Paramètres!$A$1:$I$89,5,0)</f>
        <v>239.36639999999997</v>
      </c>
      <c r="CV73" s="14">
        <f t="shared" si="95"/>
        <v>58.303187389471979</v>
      </c>
      <c r="CW73" s="22">
        <f t="shared" si="67"/>
        <v>518.44119803666365</v>
      </c>
      <c r="CX73" s="62">
        <f t="shared" si="68"/>
        <v>811.77453136999702</v>
      </c>
      <c r="CY73" s="62">
        <f ca="1">AVERAGE(OFFSET($CX$3,0,0,'Données projet'!$E$13+1,1))-AVERAGE(OFFSET($H$3,0,0,'Données projet'!$E$13+1,1))</f>
        <v>339.58437495284466</v>
      </c>
      <c r="CZ73" s="62">
        <f t="shared" si="96"/>
        <v>371.26234252426531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328</v>
      </c>
      <c r="DM73" s="13">
        <f>VLOOKUP(A73,'Données projet'!$A$165:$I$185,9,0)</f>
        <v>4.4000000000000004</v>
      </c>
      <c r="DN73" s="13">
        <f t="array" ref="DN73">INDEX(DM:DM,MIN(IF(ISNUMBER(DM73:DM269),ROW(DM73:DM269),"")))</f>
        <v>4.4000000000000004</v>
      </c>
      <c r="DO73" s="13">
        <f>IF('Données projet'!$A$166&gt;35,DO72+DN73-DW72,IF(A73&lt;'Données projet'!$A$166,$DL$205^A73,IF(A73='Données projet'!$A$166,'Données projet'!$B$166,DO72+DN73-DW72)))</f>
        <v>327.99999999999977</v>
      </c>
      <c r="DP73" s="18">
        <f>DO73*VLOOKUP('Données projet'!$B$14,Paramètres!$A$1:$I$89,3,0)*VLOOKUP('Données projet'!$B$14,Paramètres!$A$1:$I$89,5,0)</f>
        <v>240.48959999999983</v>
      </c>
      <c r="DQ73" s="14">
        <f t="shared" si="97"/>
        <v>58.544857809945583</v>
      </c>
      <c r="DR73" s="22">
        <f t="shared" si="70"/>
        <v>520.81834735232155</v>
      </c>
      <c r="DS73" s="62">
        <f t="shared" si="71"/>
        <v>814.15168068565481</v>
      </c>
      <c r="DT73" s="62">
        <f ca="1">AVERAGE(OFFSET($DS$3,0,0,'Données projet'!$E$14+1,1))-AVERAGE(OFFSET($H$3,0,0,'Données projet'!$E$14+1,1))</f>
        <v>344.63665697794022</v>
      </c>
      <c r="DU73" s="62">
        <f t="shared" si="98"/>
        <v>376.72762011188041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26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223.7179487179487</v>
      </c>
      <c r="EH73" s="13">
        <f>VLOOKUP(A73,'Données projet'!$A$191:$I$211,9,0)</f>
        <v>4.7435897435897401</v>
      </c>
      <c r="EI73" s="13">
        <f t="array" ref="EI73">INDEX(EH:EH,MIN(IF(ISNUMBER(EH73:EH269),ROW(EH73:EH269),"")))</f>
        <v>4.7435897435897401</v>
      </c>
      <c r="EJ73" s="13">
        <f>IF('Données projet'!$A$192&gt;35,EJ72+EI73-ER72,IF(A73&lt;'Données projet'!$A$192,$EG$205^A73,IF(A73='Données projet'!$A$192,'Données projet'!$B$192,EJ72+EI73-ER72)))</f>
        <v>223.71794871794867</v>
      </c>
      <c r="EK73" s="18">
        <f>EJ73*VLOOKUP('Données projet'!$B$15,Paramètres!$A$1:$I$89,3,0)*VLOOKUP('Données projet'!$B$15,Paramètres!$A$1:$I$89,5,0)</f>
        <v>212.89</v>
      </c>
      <c r="EL73" s="14">
        <f t="shared" si="99"/>
        <v>52.566620155786865</v>
      </c>
      <c r="EM73" s="22">
        <f t="shared" si="73"/>
        <v>462.33694677132871</v>
      </c>
      <c r="EN73" s="62">
        <f t="shared" si="74"/>
        <v>755.67028010466197</v>
      </c>
      <c r="EO73" s="62">
        <f ca="1">AVERAGE(OFFSET($EN$3,0,0,'Données projet'!$E$15+1,1))-AVERAGE(OFFSET($H$3,0,0,'Données projet'!$E$15+1,1))</f>
        <v>406.24139966722936</v>
      </c>
      <c r="EP73" s="62">
        <f t="shared" si="100"/>
        <v>295.95724296920577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302</v>
      </c>
      <c r="FC73" s="13">
        <f>VLOOKUP(A73,'Données projet'!$A$217:$I$237,9,0)</f>
        <v>8.1999999999999993</v>
      </c>
      <c r="FD73" s="13">
        <f t="array" ref="FD73">INDEX(FC:FC,MIN(IF(ISNUMBER(FC73:FC269),ROW(FC73:FC269),"")))</f>
        <v>8.1999999999999993</v>
      </c>
      <c r="FE73" s="13">
        <f>IF('Données projet'!$A$218&gt;35,FE72+FD73-FM72,IF(A73&lt;'Données projet'!$A$218,$FB$205^A73,IF(A73='Données projet'!$A$218,'Données projet'!$B$218,FE72+FD73-FM72)))</f>
        <v>301.99999999999994</v>
      </c>
      <c r="FF73" s="18">
        <f>FE73*VLOOKUP('Données projet'!$B$16,Paramètres!$A$1:$I$89,3,0)*VLOOKUP('Données projet'!$B$16,Paramètres!$A$1:$I$89,5,0)</f>
        <v>292.09439999999995</v>
      </c>
      <c r="FG73" s="14">
        <f t="shared" si="101"/>
        <v>69.516578973599849</v>
      </c>
      <c r="FH73" s="22">
        <f t="shared" si="76"/>
        <v>629.80578837901965</v>
      </c>
      <c r="FI73" s="62">
        <f t="shared" si="77"/>
        <v>923.13912171235302</v>
      </c>
      <c r="FJ73" s="62">
        <f ca="1">AVERAGE(OFFSET($FI$3,0,0,'Données projet'!$E$16+1,1))-AVERAGE(OFFSET($H$3,0,0,'Données projet'!$E$16+1,1))</f>
        <v>540.83352418045502</v>
      </c>
      <c r="FK73" s="62">
        <f t="shared" si="102"/>
        <v>294.45557293177131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1.1368683772161603E-13</v>
      </c>
      <c r="GA73" s="18">
        <f>FZ73*VLOOKUP('Données projet'!$B$17,Paramètres!$A$1:$I$89,3,0)*VLOOKUP('Données projet'!$B$17,Paramètres!$A$1:$I$89,5,0)</f>
        <v>8.8675733422860506E-14</v>
      </c>
      <c r="GB73" s="14">
        <f t="shared" si="103"/>
        <v>1.3509285393066301E-12</v>
      </c>
      <c r="GC73" s="22">
        <f t="shared" si="79"/>
        <v>2.5073107750038623E-12</v>
      </c>
      <c r="GD73" s="62">
        <f t="shared" si="80"/>
        <v>293.33333333333582</v>
      </c>
      <c r="GE73" s="62">
        <f ca="1">AVERAGE(OFFSET($GD$3,0,0,'Données projet'!$E$17+1,1))-AVERAGE(OFFSET($H$3,0,0,'Données projet'!$E$17+1,1))</f>
        <v>292.57482726862594</v>
      </c>
      <c r="GF73" s="62">
        <f t="shared" si="104"/>
        <v>283.48738729114024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276.28205128205127</v>
      </c>
      <c r="GS73" s="13">
        <f>VLOOKUP(A73,'Données projet'!$A$269:$I$289,9,0)</f>
        <v>5.1282051282051269</v>
      </c>
      <c r="GT73" s="13">
        <f t="array" ref="GT73">INDEX(GS:GS,MIN(IF(ISNUMBER(GS73:GS269),ROW(GS73:GS269),"")))</f>
        <v>5.1282051282051269</v>
      </c>
      <c r="GU73" s="13">
        <f>IF('Données projet'!$A$270&gt;35,GU72+GT73-HC72,IF(A73&lt;'Données projet'!$A$270,$GR$205^A73,IF(A73='Données projet'!$A$270,'Données projet'!$B$270,GU72+GT73-HC72)))</f>
        <v>276.28205128205116</v>
      </c>
      <c r="GV73" s="18">
        <f>GU73*VLOOKUP('Données projet'!$B$18,Paramètres!$A$1:$I$89,3,0)*VLOOKUP('Données projet'!$B$18,Paramètres!$A$1:$I$89,5,0)</f>
        <v>185.32999999999993</v>
      </c>
      <c r="GW73" s="14">
        <f t="shared" si="105"/>
        <v>46.505991525491268</v>
      </c>
      <c r="GX73" s="22">
        <f t="shared" si="82"/>
        <v>403.78101857356381</v>
      </c>
      <c r="GY73" s="62">
        <f t="shared" si="83"/>
        <v>697.11435190689713</v>
      </c>
      <c r="GZ73" s="62">
        <f ca="1">AVERAGE(OFFSET($GY$3,0,0,'Données projet'!$E$18+1,1))-AVERAGE(OFFSET($H$3,0,0,'Données projet'!$E$18+1,1))</f>
        <v>343.33067866534634</v>
      </c>
      <c r="HA73" s="62">
        <f t="shared" si="106"/>
        <v>261.91036689641402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897.90020079058013</v>
      </c>
      <c r="S74" s="62">
        <f ca="1">AVERAGE(OFFSET($R$3,0,0,'Données projet'!$E$9+1,1))-AVERAGE(OFFSET($H$3,0,0,'Données projet'!$E$9+1,1))</f>
        <v>508.77990078889337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projet'!$B$10,Paramètres!$A$1:$I$89,3,0)*VLOOKUP('Données projet'!$B$10,Paramètres!$A$1:$I$89,5,0)</f>
        <v>313.93439999999998</v>
      </c>
      <c r="AK74" s="14">
        <f t="shared" si="89"/>
        <v>74.089885412393457</v>
      </c>
      <c r="AL74" s="22">
        <f t="shared" si="58"/>
        <v>675.80896375991858</v>
      </c>
      <c r="AM74" s="62">
        <f t="shared" si="59"/>
        <v>969.14229709325195</v>
      </c>
      <c r="AN74" s="62">
        <f ca="1">AVERAGE(OFFSET($AM$3,0,0,'Données projet'!$E$10+1,1))-AVERAGE(OFFSET($H$3,0,0,'Données projet'!$E$10+1,1))</f>
        <v>564.84596170333884</v>
      </c>
      <c r="AO74" s="62">
        <f t="shared" si="90"/>
        <v>306.61893266146666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4.4000000000000004</v>
      </c>
      <c r="BD74" s="13">
        <f>IF('Données projet'!$A$88&gt;35,BD73+BC74-BL73,IF(A74&lt;'Données projet'!$A$88,$BA$205^A74,IF(A74='Données projet'!$A$88,'Données projet'!$B$88,BD73+BC74-BL73)))</f>
        <v>306.39999999999975</v>
      </c>
      <c r="BE74" s="14">
        <f>BD74*VLOOKUP('Données projet'!$B$11,Paramètres!$A$1:$I$89,3,0)*VLOOKUP('Données projet'!$B$11,Paramètres!$A$1:$I$89,5,0)</f>
        <v>243.7718399999998</v>
      </c>
      <c r="BF74" s="14">
        <f t="shared" si="91"/>
        <v>59.250322254889134</v>
      </c>
      <c r="BG74" s="22">
        <f t="shared" si="61"/>
        <v>527.7635992605982</v>
      </c>
      <c r="BH74" s="62">
        <f t="shared" si="62"/>
        <v>821.09693259393157</v>
      </c>
      <c r="BI74" s="62">
        <f ca="1">AVERAGE(OFFSET($BH$3,0,0,'Données projet'!$E$11+1,1))-AVERAGE(OFFSET($H$3,0,0,'Données projet'!$E$11+1,1))</f>
        <v>370.79299728190904</v>
      </c>
      <c r="BJ74" s="62">
        <f t="shared" si="92"/>
        <v>404.95703400805775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4.4000000000000004</v>
      </c>
      <c r="BY74" s="13">
        <f>IF('Données projet'!$A$114&gt;35,BY73+BX74-CG73,IF(A74&lt;'Données projet'!$A$114,$BV$205^A74,IF(A74='Données projet'!$A$114,'Données projet'!$B$114,BY73+BX74-CG73)))</f>
        <v>306.39999999999975</v>
      </c>
      <c r="BZ74" s="14">
        <f>BY74*VLOOKUP('Données projet'!$B$12,Paramètres!$A$1:$I$89,3,0)*VLOOKUP('Données projet'!$B$12,Paramètres!$A$1:$I$89,5,0)</f>
        <v>243.7718399999998</v>
      </c>
      <c r="CA74" s="14">
        <f t="shared" si="93"/>
        <v>59.250322254889134</v>
      </c>
      <c r="CB74" s="22">
        <f t="shared" si="64"/>
        <v>527.7635992605982</v>
      </c>
      <c r="CC74" s="62">
        <f t="shared" si="65"/>
        <v>821.09693259393157</v>
      </c>
      <c r="CD74" s="62">
        <f ca="1">AVERAGE(OFFSET($CC$3,0,0,'Données projet'!$E$12+1,1))-AVERAGE(OFFSET($H$3,0,0,'Données projet'!$E$12+1,1))</f>
        <v>370.79299728190904</v>
      </c>
      <c r="CE74" s="62">
        <f t="shared" si="94"/>
        <v>404.95703400805775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</v>
      </c>
      <c r="CT74" s="13">
        <f>IF('Données projet'!$A$140&gt;35,CT73+CS74-DB73,IF(A74&lt;'Données projet'!$A$140,$CQ$205^A74,IF(A74='Données projet'!$A$140,'Données projet'!$B$140,CT73+CS74-DB73)))</f>
        <v>256.39999999999992</v>
      </c>
      <c r="CU74" s="18">
        <f>CT74*VLOOKUP('Données projet'!$B$13,Paramètres!$A$1:$I$89,3,0)*VLOOKUP('Données projet'!$B$13,Paramètres!$A$1:$I$89,5,0)</f>
        <v>223.99103999999997</v>
      </c>
      <c r="CV74" s="14">
        <f t="shared" si="95"/>
        <v>54.981408824201601</v>
      </c>
      <c r="CW74" s="22">
        <f t="shared" si="67"/>
        <v>485.87701503548442</v>
      </c>
      <c r="CX74" s="62">
        <f t="shared" si="68"/>
        <v>779.21034836881768</v>
      </c>
      <c r="CY74" s="62">
        <f ca="1">AVERAGE(OFFSET($CX$3,0,0,'Données projet'!$E$13+1,1))-AVERAGE(OFFSET($H$3,0,0,'Données projet'!$E$13+1,1))</f>
        <v>339.58437495284466</v>
      </c>
      <c r="CZ74" s="62">
        <f t="shared" si="96"/>
        <v>371.26234252426531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4.4000000000000004</v>
      </c>
      <c r="DO74" s="13">
        <f>IF('Données projet'!$A$166&gt;35,DO73+DN74-DW73,IF(A74&lt;'Données projet'!$A$166,$DL$205^A74,IF(A74='Données projet'!$A$166,'Données projet'!$B$166,DO73+DN74-DW73)))</f>
        <v>306.39999999999975</v>
      </c>
      <c r="DP74" s="18">
        <f>DO74*VLOOKUP('Données projet'!$B$14,Paramètres!$A$1:$I$89,3,0)*VLOOKUP('Données projet'!$B$14,Paramètres!$A$1:$I$89,5,0)</f>
        <v>224.6524799999998</v>
      </c>
      <c r="DQ74" s="14">
        <f t="shared" si="97"/>
        <v>55.124844378503333</v>
      </c>
      <c r="DR74" s="22">
        <f t="shared" si="70"/>
        <v>487.27883995922622</v>
      </c>
      <c r="DS74" s="62">
        <f t="shared" si="71"/>
        <v>780.61217329255953</v>
      </c>
      <c r="DT74" s="62">
        <f ca="1">AVERAGE(OFFSET($DS$3,0,0,'Données projet'!$E$14+1,1))-AVERAGE(OFFSET($H$3,0,0,'Données projet'!$E$14+1,1))</f>
        <v>344.63665697794022</v>
      </c>
      <c r="DU74" s="62">
        <f t="shared" si="98"/>
        <v>376.72762011188041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4.4871794871794863</v>
      </c>
      <c r="EJ74" s="13">
        <f>IF('Données projet'!$A$192&gt;35,EJ73+EI74-ER73,IF(A74&lt;'Données projet'!$A$192,$EG$205^A74,IF(A74='Données projet'!$A$192,'Données projet'!$B$192,EJ73+EI74-ER73)))</f>
        <v>228.20512820512815</v>
      </c>
      <c r="EK74" s="18">
        <f>EJ74*VLOOKUP('Données projet'!$B$15,Paramètres!$A$1:$I$89,3,0)*VLOOKUP('Données projet'!$B$15,Paramètres!$A$1:$I$89,5,0)</f>
        <v>217.15999999999997</v>
      </c>
      <c r="EL74" s="14">
        <f t="shared" si="99"/>
        <v>53.497159756294458</v>
      </c>
      <c r="EM74" s="22">
        <f t="shared" si="73"/>
        <v>471.39455324221279</v>
      </c>
      <c r="EN74" s="62">
        <f t="shared" si="74"/>
        <v>764.72788657554611</v>
      </c>
      <c r="EO74" s="62">
        <f ca="1">AVERAGE(OFFSET($EN$3,0,0,'Données projet'!$E$15+1,1))-AVERAGE(OFFSET($H$3,0,0,'Données projet'!$E$15+1,1))</f>
        <v>406.24139966722936</v>
      </c>
      <c r="EP74" s="62">
        <f t="shared" si="100"/>
        <v>295.95724296920577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7.6</v>
      </c>
      <c r="FE74" s="13">
        <f>IF('Données projet'!$A$218&gt;35,FE73+FD74-FM73,IF(A74&lt;'Données projet'!$A$218,$FB$205^A74,IF(A74='Données projet'!$A$218,'Données projet'!$B$218,FE73+FD74-FM73)))</f>
        <v>309.59999999999997</v>
      </c>
      <c r="FF74" s="18">
        <f>FE74*VLOOKUP('Données projet'!$B$16,Paramètres!$A$1:$I$89,3,0)*VLOOKUP('Données projet'!$B$16,Paramètres!$A$1:$I$89,5,0)</f>
        <v>299.44511999999997</v>
      </c>
      <c r="FG74" s="14">
        <f t="shared" si="101"/>
        <v>71.060126783970659</v>
      </c>
      <c r="FH74" s="22">
        <f t="shared" si="76"/>
        <v>645.2966381487488</v>
      </c>
      <c r="FI74" s="62">
        <f t="shared" si="77"/>
        <v>938.62997148208206</v>
      </c>
      <c r="FJ74" s="62">
        <f ca="1">AVERAGE(OFFSET($FI$3,0,0,'Données projet'!$E$16+1,1))-AVERAGE(OFFSET($H$3,0,0,'Données projet'!$E$16+1,1))</f>
        <v>540.83352418045502</v>
      </c>
      <c r="FK74" s="62">
        <f t="shared" si="102"/>
        <v>294.45557293177131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1.1368683772161603E-13</v>
      </c>
      <c r="GA74" s="18">
        <f>FZ74*VLOOKUP('Données projet'!$B$17,Paramètres!$A$1:$I$89,3,0)*VLOOKUP('Données projet'!$B$17,Paramètres!$A$1:$I$89,5,0)</f>
        <v>8.8675733422860506E-14</v>
      </c>
      <c r="GB74" s="14">
        <f t="shared" si="103"/>
        <v>1.3509285393066301E-12</v>
      </c>
      <c r="GC74" s="22">
        <f t="shared" si="79"/>
        <v>2.5073107750038623E-12</v>
      </c>
      <c r="GD74" s="62">
        <f t="shared" si="80"/>
        <v>293.33333333333582</v>
      </c>
      <c r="GE74" s="62">
        <f ca="1">AVERAGE(OFFSET($GD$3,0,0,'Données projet'!$E$17+1,1))-AVERAGE(OFFSET($H$3,0,0,'Données projet'!$E$17+1,1))</f>
        <v>292.57482726862594</v>
      </c>
      <c r="GF74" s="62">
        <f t="shared" si="104"/>
        <v>283.48738729114024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4.8717948717948731</v>
      </c>
      <c r="GU74" s="13">
        <f>IF('Données projet'!$A$270&gt;35,GU73+GT74-HC73,IF(A74&lt;'Données projet'!$A$270,$GR$205^A74,IF(A74='Données projet'!$A$270,'Données projet'!$B$270,GU73+GT74-HC73)))</f>
        <v>281.15384615384602</v>
      </c>
      <c r="GV74" s="18">
        <f>GU74*VLOOKUP('Données projet'!$B$18,Paramètres!$A$1:$I$89,3,0)*VLOOKUP('Données projet'!$B$18,Paramètres!$A$1:$I$89,5,0)</f>
        <v>188.5979999999999</v>
      </c>
      <c r="GW74" s="14">
        <f t="shared" si="105"/>
        <v>47.229857075388068</v>
      </c>
      <c r="GX74" s="22">
        <f t="shared" si="82"/>
        <v>410.73351773963401</v>
      </c>
      <c r="GY74" s="62">
        <f t="shared" si="83"/>
        <v>704.06685107296732</v>
      </c>
      <c r="GZ74" s="62">
        <f ca="1">AVERAGE(OFFSET($GY$3,0,0,'Données projet'!$E$18+1,1))-AVERAGE(OFFSET($H$3,0,0,'Données projet'!$E$18+1,1))</f>
        <v>343.33067866534634</v>
      </c>
      <c r="HA74" s="62">
        <f t="shared" si="106"/>
        <v>261.91036689641402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912.40400733040633</v>
      </c>
      <c r="S75" s="62">
        <f ca="1">AVERAGE(OFFSET($R$3,0,0,'Données projet'!$E$9+1,1))-AVERAGE(OFFSET($H$3,0,0,'Données projet'!$E$9+1,1))</f>
        <v>508.77990078889337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projet'!$B$10,Paramètres!$A$1:$I$89,3,0)*VLOOKUP('Données projet'!$B$10,Paramètres!$A$1:$I$89,5,0)</f>
        <v>321.64080000000001</v>
      </c>
      <c r="AK75" s="14">
        <f t="shared" si="89"/>
        <v>75.694652325793228</v>
      </c>
      <c r="AL75" s="22">
        <f t="shared" si="58"/>
        <v>692.0259128007566</v>
      </c>
      <c r="AM75" s="62">
        <f t="shared" si="59"/>
        <v>985.35924613408997</v>
      </c>
      <c r="AN75" s="62">
        <f ca="1">AVERAGE(OFFSET($AM$3,0,0,'Données projet'!$E$10+1,1))-AVERAGE(OFFSET($H$3,0,0,'Données projet'!$E$10+1,1))</f>
        <v>564.84596170333884</v>
      </c>
      <c r="AO75" s="62">
        <f t="shared" si="90"/>
        <v>306.61893266146666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4.4000000000000004</v>
      </c>
      <c r="BD75" s="13">
        <f>IF('Données projet'!$A$88&gt;35,BD74+BC75-BL74,IF(A75&lt;'Données projet'!$A$88,$BA$205^A75,IF(A75='Données projet'!$A$88,'Données projet'!$B$88,BD74+BC75-BL74)))</f>
        <v>310.79999999999973</v>
      </c>
      <c r="BE75" s="14">
        <f>BD75*VLOOKUP('Données projet'!$B$11,Paramètres!$A$1:$I$89,3,0)*VLOOKUP('Données projet'!$B$11,Paramètres!$A$1:$I$89,5,0)</f>
        <v>247.2724799999998</v>
      </c>
      <c r="BF75" s="14">
        <f t="shared" si="91"/>
        <v>60.00151112391876</v>
      </c>
      <c r="BG75" s="22">
        <f t="shared" si="61"/>
        <v>535.16886787415808</v>
      </c>
      <c r="BH75" s="62">
        <f t="shared" si="62"/>
        <v>828.50220120749145</v>
      </c>
      <c r="BI75" s="62">
        <f ca="1">AVERAGE(OFFSET($BH$3,0,0,'Données projet'!$E$11+1,1))-AVERAGE(OFFSET($H$3,0,0,'Données projet'!$E$11+1,1))</f>
        <v>370.79299728190904</v>
      </c>
      <c r="BJ75" s="62">
        <f t="shared" si="92"/>
        <v>404.95703400805775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4.4000000000000004</v>
      </c>
      <c r="BY75" s="13">
        <f>IF('Données projet'!$A$114&gt;35,BY74+BX75-CG74,IF(A75&lt;'Données projet'!$A$114,$BV$205^A75,IF(A75='Données projet'!$A$114,'Données projet'!$B$114,BY74+BX75-CG74)))</f>
        <v>310.79999999999973</v>
      </c>
      <c r="BZ75" s="14">
        <f>BY75*VLOOKUP('Données projet'!$B$12,Paramètres!$A$1:$I$89,3,0)*VLOOKUP('Données projet'!$B$12,Paramètres!$A$1:$I$89,5,0)</f>
        <v>247.2724799999998</v>
      </c>
      <c r="CA75" s="14">
        <f t="shared" si="93"/>
        <v>60.00151112391876</v>
      </c>
      <c r="CB75" s="22">
        <f t="shared" si="64"/>
        <v>535.16886787415808</v>
      </c>
      <c r="CC75" s="62">
        <f t="shared" si="65"/>
        <v>828.50220120749145</v>
      </c>
      <c r="CD75" s="62">
        <f ca="1">AVERAGE(OFFSET($CC$3,0,0,'Données projet'!$E$12+1,1))-AVERAGE(OFFSET($H$3,0,0,'Données projet'!$E$12+1,1))</f>
        <v>370.79299728190904</v>
      </c>
      <c r="CE75" s="62">
        <f t="shared" si="94"/>
        <v>404.95703400805775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</v>
      </c>
      <c r="CT75" s="13">
        <f>IF('Données projet'!$A$140&gt;35,CT74+CS75-DB74,IF(A75&lt;'Données projet'!$A$140,$CQ$205^A75,IF(A75='Données projet'!$A$140,'Données projet'!$B$140,CT74+CS75-DB74)))</f>
        <v>259.7999999999999</v>
      </c>
      <c r="CU75" s="18">
        <f>CT75*VLOOKUP('Données projet'!$B$13,Paramètres!$A$1:$I$89,3,0)*VLOOKUP('Données projet'!$B$13,Paramètres!$A$1:$I$89,5,0)</f>
        <v>226.96127999999993</v>
      </c>
      <c r="CV75" s="14">
        <f t="shared" si="95"/>
        <v>55.625131501998617</v>
      </c>
      <c r="CW75" s="22">
        <f t="shared" si="67"/>
        <v>492.17133336598084</v>
      </c>
      <c r="CX75" s="62">
        <f t="shared" si="68"/>
        <v>785.50466669931416</v>
      </c>
      <c r="CY75" s="62">
        <f ca="1">AVERAGE(OFFSET($CX$3,0,0,'Données projet'!$E$13+1,1))-AVERAGE(OFFSET($H$3,0,0,'Données projet'!$E$13+1,1))</f>
        <v>339.58437495284466</v>
      </c>
      <c r="CZ75" s="62">
        <f t="shared" si="96"/>
        <v>371.26234252426531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4.4000000000000004</v>
      </c>
      <c r="DO75" s="13">
        <f>IF('Données projet'!$A$166&gt;35,DO74+DN75-DW74,IF(A75&lt;'Données projet'!$A$166,$DL$205^A75,IF(A75='Données projet'!$A$166,'Données projet'!$B$166,DO74+DN75-DW74)))</f>
        <v>310.79999999999973</v>
      </c>
      <c r="DP75" s="18">
        <f>DO75*VLOOKUP('Données projet'!$B$14,Paramètres!$A$1:$I$89,3,0)*VLOOKUP('Données projet'!$B$14,Paramètres!$A$1:$I$89,5,0)</f>
        <v>227.87855999999977</v>
      </c>
      <c r="DQ75" s="14">
        <f t="shared" si="97"/>
        <v>55.823729514114589</v>
      </c>
      <c r="DR75" s="22">
        <f t="shared" si="70"/>
        <v>494.11482090374903</v>
      </c>
      <c r="DS75" s="62">
        <f t="shared" si="71"/>
        <v>787.44815423708235</v>
      </c>
      <c r="DT75" s="62">
        <f ca="1">AVERAGE(OFFSET($DS$3,0,0,'Données projet'!$E$14+1,1))-AVERAGE(OFFSET($H$3,0,0,'Données projet'!$E$14+1,1))</f>
        <v>344.63665697794022</v>
      </c>
      <c r="DU75" s="62">
        <f t="shared" si="98"/>
        <v>376.72762011188041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4.4871794871794863</v>
      </c>
      <c r="EJ75" s="13">
        <f>IF('Données projet'!$A$192&gt;35,EJ74+EI75-ER74,IF(A75&lt;'Données projet'!$A$192,$EG$205^A75,IF(A75='Données projet'!$A$192,'Données projet'!$B$192,EJ74+EI75-ER74)))</f>
        <v>232.69230769230762</v>
      </c>
      <c r="EK75" s="18">
        <f>EJ75*VLOOKUP('Données projet'!$B$15,Paramètres!$A$1:$I$89,3,0)*VLOOKUP('Données projet'!$B$15,Paramètres!$A$1:$I$89,5,0)</f>
        <v>221.42999999999995</v>
      </c>
      <c r="EL75" s="14">
        <f t="shared" si="99"/>
        <v>54.425571861733111</v>
      </c>
      <c r="EM75" s="22">
        <f t="shared" si="73"/>
        <v>480.44845432585163</v>
      </c>
      <c r="EN75" s="62">
        <f t="shared" si="74"/>
        <v>773.78178765918494</v>
      </c>
      <c r="EO75" s="62">
        <f ca="1">AVERAGE(OFFSET($EN$3,0,0,'Données projet'!$E$15+1,1))-AVERAGE(OFFSET($H$3,0,0,'Données projet'!$E$15+1,1))</f>
        <v>406.24139966722936</v>
      </c>
      <c r="EP75" s="62">
        <f t="shared" si="100"/>
        <v>295.95724296920577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7.6</v>
      </c>
      <c r="FE75" s="13">
        <f>IF('Données projet'!$A$218&gt;35,FE74+FD75-FM74,IF(A75&lt;'Données projet'!$A$218,$FB$205^A75,IF(A75='Données projet'!$A$218,'Données projet'!$B$218,FE74+FD75-FM74)))</f>
        <v>317.2</v>
      </c>
      <c r="FF75" s="18">
        <f>FE75*VLOOKUP('Données projet'!$B$16,Paramètres!$A$1:$I$89,3,0)*VLOOKUP('Données projet'!$B$16,Paramètres!$A$1:$I$89,5,0)</f>
        <v>306.79584</v>
      </c>
      <c r="FG75" s="14">
        <f t="shared" si="101"/>
        <v>72.599269943528554</v>
      </c>
      <c r="FH75" s="22">
        <f t="shared" si="76"/>
        <v>660.77981648497882</v>
      </c>
      <c r="FI75" s="62">
        <f t="shared" si="77"/>
        <v>954.11314981831219</v>
      </c>
      <c r="FJ75" s="62">
        <f ca="1">AVERAGE(OFFSET($FI$3,0,0,'Données projet'!$E$16+1,1))-AVERAGE(OFFSET($H$3,0,0,'Données projet'!$E$16+1,1))</f>
        <v>540.83352418045502</v>
      </c>
      <c r="FK75" s="62">
        <f t="shared" si="102"/>
        <v>294.45557293177131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1.1368683772161603E-13</v>
      </c>
      <c r="GA75" s="18">
        <f>FZ75*VLOOKUP('Données projet'!$B$17,Paramètres!$A$1:$I$89,3,0)*VLOOKUP('Données projet'!$B$17,Paramètres!$A$1:$I$89,5,0)</f>
        <v>8.8675733422860506E-14</v>
      </c>
      <c r="GB75" s="14">
        <f t="shared" si="103"/>
        <v>1.3509285393066301E-12</v>
      </c>
      <c r="GC75" s="22">
        <f t="shared" si="79"/>
        <v>2.5073107750038623E-12</v>
      </c>
      <c r="GD75" s="62">
        <f t="shared" si="80"/>
        <v>293.33333333333582</v>
      </c>
      <c r="GE75" s="62">
        <f ca="1">AVERAGE(OFFSET($GD$3,0,0,'Données projet'!$E$17+1,1))-AVERAGE(OFFSET($H$3,0,0,'Données projet'!$E$17+1,1))</f>
        <v>292.57482726862594</v>
      </c>
      <c r="GF75" s="62">
        <f t="shared" si="104"/>
        <v>283.48738729114024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4.8717948717948731</v>
      </c>
      <c r="GU75" s="13">
        <f>IF('Données projet'!$A$270&gt;35,GU74+GT75-HC74,IF(A75&lt;'Données projet'!$A$270,$GR$205^A75,IF(A75='Données projet'!$A$270,'Données projet'!$B$270,GU74+GT75-HC74)))</f>
        <v>286.02564102564088</v>
      </c>
      <c r="GV75" s="18">
        <f>GU75*VLOOKUP('Données projet'!$B$18,Paramètres!$A$1:$I$89,3,0)*VLOOKUP('Données projet'!$B$18,Paramètres!$A$1:$I$89,5,0)</f>
        <v>191.8659999999999</v>
      </c>
      <c r="GW75" s="14">
        <f t="shared" si="105"/>
        <v>47.952264009442324</v>
      </c>
      <c r="GX75" s="22">
        <f t="shared" si="82"/>
        <v>417.68347648311186</v>
      </c>
      <c r="GY75" s="62">
        <f t="shared" si="83"/>
        <v>711.01680981644517</v>
      </c>
      <c r="GZ75" s="62">
        <f ca="1">AVERAGE(OFFSET($GY$3,0,0,'Données projet'!$E$18+1,1))-AVERAGE(OFFSET($H$3,0,0,'Données projet'!$E$18+1,1))</f>
        <v>343.33067866534634</v>
      </c>
      <c r="HA75" s="62">
        <f t="shared" si="106"/>
        <v>261.91036689641402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926.90077466569664</v>
      </c>
      <c r="S76" s="62">
        <f ca="1">AVERAGE(OFFSET($R$3,0,0,'Données projet'!$E$9+1,1))-AVERAGE(OFFSET($H$3,0,0,'Données projet'!$E$9+1,1))</f>
        <v>508.77990078889337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projet'!$B$10,Paramètres!$A$1:$I$89,3,0)*VLOOKUP('Données projet'!$B$10,Paramètres!$A$1:$I$89,5,0)</f>
        <v>329.34720000000004</v>
      </c>
      <c r="AK76" s="14">
        <f t="shared" si="89"/>
        <v>77.294949483241496</v>
      </c>
      <c r="AL76" s="22">
        <f t="shared" si="58"/>
        <v>708.23507701664573</v>
      </c>
      <c r="AM76" s="62">
        <f t="shared" si="59"/>
        <v>1001.5684103499791</v>
      </c>
      <c r="AN76" s="62">
        <f ca="1">AVERAGE(OFFSET($AM$3,0,0,'Données projet'!$E$10+1,1))-AVERAGE(OFFSET($H$3,0,0,'Données projet'!$E$10+1,1))</f>
        <v>564.84596170333884</v>
      </c>
      <c r="AO76" s="62">
        <f t="shared" si="90"/>
        <v>306.61893266146666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4.4000000000000004</v>
      </c>
      <c r="BD76" s="13">
        <f>IF('Données projet'!$A$88&gt;35,BD75+BC76-BL75,IF(A76&lt;'Données projet'!$A$88,$BA$205^A76,IF(A76='Données projet'!$A$88,'Données projet'!$B$88,BD75+BC76-BL75)))</f>
        <v>315.1999999999997</v>
      </c>
      <c r="BE76" s="14">
        <f>BD76*VLOOKUP('Données projet'!$B$11,Paramètres!$A$1:$I$89,3,0)*VLOOKUP('Données projet'!$B$11,Paramètres!$A$1:$I$89,5,0)</f>
        <v>250.77311999999975</v>
      </c>
      <c r="BF76" s="14">
        <f t="shared" si="91"/>
        <v>60.75146310218134</v>
      </c>
      <c r="BG76" s="22">
        <f t="shared" si="61"/>
        <v>542.57198223629882</v>
      </c>
      <c r="BH76" s="62">
        <f t="shared" si="62"/>
        <v>835.90531556963219</v>
      </c>
      <c r="BI76" s="62">
        <f ca="1">AVERAGE(OFFSET($BH$3,0,0,'Données projet'!$E$11+1,1))-AVERAGE(OFFSET($H$3,0,0,'Données projet'!$E$11+1,1))</f>
        <v>370.79299728190904</v>
      </c>
      <c r="BJ76" s="62">
        <f t="shared" si="92"/>
        <v>404.95703400805775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4.4000000000000004</v>
      </c>
      <c r="BY76" s="13">
        <f>IF('Données projet'!$A$114&gt;35,BY75+BX76-CG75,IF(A76&lt;'Données projet'!$A$114,$BV$205^A76,IF(A76='Données projet'!$A$114,'Données projet'!$B$114,BY75+BX76-CG75)))</f>
        <v>315.1999999999997</v>
      </c>
      <c r="BZ76" s="14">
        <f>BY76*VLOOKUP('Données projet'!$B$12,Paramètres!$A$1:$I$89,3,0)*VLOOKUP('Données projet'!$B$12,Paramètres!$A$1:$I$89,5,0)</f>
        <v>250.77311999999975</v>
      </c>
      <c r="CA76" s="14">
        <f t="shared" si="93"/>
        <v>60.75146310218134</v>
      </c>
      <c r="CB76" s="22">
        <f t="shared" si="64"/>
        <v>542.57198223629882</v>
      </c>
      <c r="CC76" s="62">
        <f t="shared" si="65"/>
        <v>835.90531556963219</v>
      </c>
      <c r="CD76" s="62">
        <f ca="1">AVERAGE(OFFSET($CC$3,0,0,'Données projet'!$E$12+1,1))-AVERAGE(OFFSET($H$3,0,0,'Données projet'!$E$12+1,1))</f>
        <v>370.79299728190904</v>
      </c>
      <c r="CE76" s="62">
        <f t="shared" si="94"/>
        <v>404.95703400805775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</v>
      </c>
      <c r="CT76" s="13">
        <f>IF('Données projet'!$A$140&gt;35,CT75+CS76-DB75,IF(A76&lt;'Données projet'!$A$140,$CQ$205^A76,IF(A76='Données projet'!$A$140,'Données projet'!$B$140,CT75+CS76-DB75)))</f>
        <v>263.19999999999987</v>
      </c>
      <c r="CU76" s="18">
        <f>CT76*VLOOKUP('Données projet'!$B$13,Paramètres!$A$1:$I$89,3,0)*VLOOKUP('Données projet'!$B$13,Paramètres!$A$1:$I$89,5,0)</f>
        <v>229.93151999999992</v>
      </c>
      <c r="CV76" s="14">
        <f t="shared" si="95"/>
        <v>56.26787429746841</v>
      </c>
      <c r="CW76" s="22">
        <f t="shared" si="67"/>
        <v>498.4639450680906</v>
      </c>
      <c r="CX76" s="62">
        <f t="shared" si="68"/>
        <v>791.79727840142391</v>
      </c>
      <c r="CY76" s="62">
        <f ca="1">AVERAGE(OFFSET($CX$3,0,0,'Données projet'!$E$13+1,1))-AVERAGE(OFFSET($H$3,0,0,'Données projet'!$E$13+1,1))</f>
        <v>339.58437495284466</v>
      </c>
      <c r="CZ76" s="62">
        <f t="shared" si="96"/>
        <v>371.26234252426531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4.4000000000000004</v>
      </c>
      <c r="DO76" s="13">
        <f>IF('Données projet'!$A$166&gt;35,DO75+DN76-DW75,IF(A76&lt;'Données projet'!$A$166,$DL$205^A76,IF(A76='Données projet'!$A$166,'Données projet'!$B$166,DO75+DN76-DW75)))</f>
        <v>315.1999999999997</v>
      </c>
      <c r="DP76" s="18">
        <f>DO76*VLOOKUP('Données projet'!$B$14,Paramètres!$A$1:$I$89,3,0)*VLOOKUP('Données projet'!$B$14,Paramètres!$A$1:$I$89,5,0)</f>
        <v>231.10463999999979</v>
      </c>
      <c r="DQ76" s="14">
        <f t="shared" si="97"/>
        <v>56.521463881114883</v>
      </c>
      <c r="DR76" s="22">
        <f t="shared" si="70"/>
        <v>500.94879759294128</v>
      </c>
      <c r="DS76" s="62">
        <f t="shared" si="71"/>
        <v>794.28213092627459</v>
      </c>
      <c r="DT76" s="62">
        <f ca="1">AVERAGE(OFFSET($DS$3,0,0,'Données projet'!$E$14+1,1))-AVERAGE(OFFSET($H$3,0,0,'Données projet'!$E$14+1,1))</f>
        <v>344.63665697794022</v>
      </c>
      <c r="DU76" s="62">
        <f t="shared" si="98"/>
        <v>376.72762011188041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4.4871794871794863</v>
      </c>
      <c r="EJ76" s="13">
        <f>IF('Données projet'!$A$192&gt;35,EJ75+EI76-ER75,IF(A76&lt;'Données projet'!$A$192,$EG$205^A76,IF(A76='Données projet'!$A$192,'Données projet'!$B$192,EJ75+EI76-ER75)))</f>
        <v>237.1794871794871</v>
      </c>
      <c r="EK76" s="18">
        <f>EJ76*VLOOKUP('Données projet'!$B$15,Paramètres!$A$1:$I$89,3,0)*VLOOKUP('Données projet'!$B$15,Paramètres!$A$1:$I$89,5,0)</f>
        <v>225.69999999999993</v>
      </c>
      <c r="EL76" s="14">
        <f t="shared" si="99"/>
        <v>55.351902227969966</v>
      </c>
      <c r="EM76" s="22">
        <f t="shared" si="73"/>
        <v>489.49872971371423</v>
      </c>
      <c r="EN76" s="62">
        <f t="shared" si="74"/>
        <v>782.83206304704754</v>
      </c>
      <c r="EO76" s="62">
        <f ca="1">AVERAGE(OFFSET($EN$3,0,0,'Données projet'!$E$15+1,1))-AVERAGE(OFFSET($H$3,0,0,'Données projet'!$E$15+1,1))</f>
        <v>406.24139966722936</v>
      </c>
      <c r="EP76" s="62">
        <f t="shared" si="100"/>
        <v>295.95724296920577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7.6</v>
      </c>
      <c r="FE76" s="13">
        <f>IF('Données projet'!$A$218&gt;35,FE75+FD76-FM75,IF(A76&lt;'Données projet'!$A$218,$FB$205^A76,IF(A76='Données projet'!$A$218,'Données projet'!$B$218,FE75+FD76-FM75)))</f>
        <v>324.8</v>
      </c>
      <c r="FF76" s="18">
        <f>FE76*VLOOKUP('Données projet'!$B$16,Paramètres!$A$1:$I$89,3,0)*VLOOKUP('Données projet'!$B$16,Paramètres!$A$1:$I$89,5,0)</f>
        <v>314.14656000000002</v>
      </c>
      <c r="FG76" s="14">
        <f t="shared" si="101"/>
        <v>74.134126128922034</v>
      </c>
      <c r="FH76" s="22">
        <f t="shared" si="76"/>
        <v>676.25552834120583</v>
      </c>
      <c r="FI76" s="62">
        <f t="shared" si="77"/>
        <v>969.5888616745392</v>
      </c>
      <c r="FJ76" s="62">
        <f ca="1">AVERAGE(OFFSET($FI$3,0,0,'Données projet'!$E$16+1,1))-AVERAGE(OFFSET($H$3,0,0,'Données projet'!$E$16+1,1))</f>
        <v>540.83352418045502</v>
      </c>
      <c r="FK76" s="62">
        <f t="shared" si="102"/>
        <v>294.45557293177131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1.1368683772161603E-13</v>
      </c>
      <c r="GA76" s="18">
        <f>FZ76*VLOOKUP('Données projet'!$B$17,Paramètres!$A$1:$I$89,3,0)*VLOOKUP('Données projet'!$B$17,Paramètres!$A$1:$I$89,5,0)</f>
        <v>8.8675733422860506E-14</v>
      </c>
      <c r="GB76" s="14">
        <f t="shared" si="103"/>
        <v>1.3509285393066301E-12</v>
      </c>
      <c r="GC76" s="22">
        <f t="shared" si="79"/>
        <v>2.5073107750038623E-12</v>
      </c>
      <c r="GD76" s="62">
        <f t="shared" si="80"/>
        <v>293.33333333333582</v>
      </c>
      <c r="GE76" s="62">
        <f ca="1">AVERAGE(OFFSET($GD$3,0,0,'Données projet'!$E$17+1,1))-AVERAGE(OFFSET($H$3,0,0,'Données projet'!$E$17+1,1))</f>
        <v>292.57482726862594</v>
      </c>
      <c r="GF76" s="62">
        <f t="shared" si="104"/>
        <v>283.48738729114024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4.8717948717948731</v>
      </c>
      <c r="GU76" s="13">
        <f>IF('Données projet'!$A$270&gt;35,GU75+GT76-HC75,IF(A76&lt;'Données projet'!$A$270,$GR$205^A76,IF(A76='Données projet'!$A$270,'Données projet'!$B$270,GU75+GT76-HC75)))</f>
        <v>290.89743589743574</v>
      </c>
      <c r="GV76" s="18">
        <f>GU76*VLOOKUP('Données projet'!$B$18,Paramètres!$A$1:$I$89,3,0)*VLOOKUP('Données projet'!$B$18,Paramètres!$A$1:$I$89,5,0)</f>
        <v>195.1339999999999</v>
      </c>
      <c r="GW76" s="14">
        <f t="shared" si="105"/>
        <v>48.673240038938658</v>
      </c>
      <c r="GX76" s="22">
        <f t="shared" si="82"/>
        <v>424.63094306781801</v>
      </c>
      <c r="GY76" s="62">
        <f t="shared" si="83"/>
        <v>717.96427640115132</v>
      </c>
      <c r="GZ76" s="62">
        <f ca="1">AVERAGE(OFFSET($GY$3,0,0,'Données projet'!$E$18+1,1))-AVERAGE(OFFSET($H$3,0,0,'Données projet'!$E$18+1,1))</f>
        <v>343.33067866534634</v>
      </c>
      <c r="HA76" s="62">
        <f t="shared" si="106"/>
        <v>261.91036689641402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941.39068646288956</v>
      </c>
      <c r="S77" s="62">
        <f ca="1">AVERAGE(OFFSET($R$3,0,0,'Données projet'!$E$9+1,1))-AVERAGE(OFFSET($H$3,0,0,'Données projet'!$E$9+1,1))</f>
        <v>508.77990078889337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projet'!$B$10,Paramètres!$A$1:$I$89,3,0)*VLOOKUP('Données projet'!$B$10,Paramètres!$A$1:$I$89,5,0)</f>
        <v>337.05360000000007</v>
      </c>
      <c r="AK77" s="14">
        <f t="shared" si="89"/>
        <v>78.890893509302231</v>
      </c>
      <c r="AL77" s="22">
        <f t="shared" si="58"/>
        <v>724.43665952870151</v>
      </c>
      <c r="AM77" s="62">
        <f t="shared" si="59"/>
        <v>1017.7699928620348</v>
      </c>
      <c r="AN77" s="62">
        <f ca="1">AVERAGE(OFFSET($AM$3,0,0,'Données projet'!$E$10+1,1))-AVERAGE(OFFSET($H$3,0,0,'Données projet'!$E$10+1,1))</f>
        <v>564.84596170333884</v>
      </c>
      <c r="AO77" s="62">
        <f t="shared" si="90"/>
        <v>306.61893266146666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4.4000000000000004</v>
      </c>
      <c r="BD77" s="13">
        <f>IF('Données projet'!$A$88&gt;35,BD76+BC77-BL76,IF(A77&lt;'Données projet'!$A$88,$BA$205^A77,IF(A77='Données projet'!$A$88,'Données projet'!$B$88,BD76+BC77-BL76)))</f>
        <v>319.59999999999968</v>
      </c>
      <c r="BE77" s="14">
        <f>BD77*VLOOKUP('Données projet'!$B$11,Paramètres!$A$1:$I$89,3,0)*VLOOKUP('Données projet'!$B$11,Paramètres!$A$1:$I$89,5,0)</f>
        <v>254.27375999999975</v>
      </c>
      <c r="BF77" s="14">
        <f t="shared" si="91"/>
        <v>61.500197451316261</v>
      </c>
      <c r="BG77" s="22">
        <f t="shared" si="61"/>
        <v>549.97297589437528</v>
      </c>
      <c r="BH77" s="62">
        <f t="shared" si="62"/>
        <v>843.30630922770865</v>
      </c>
      <c r="BI77" s="62">
        <f ca="1">AVERAGE(OFFSET($BH$3,0,0,'Données projet'!$E$11+1,1))-AVERAGE(OFFSET($H$3,0,0,'Données projet'!$E$11+1,1))</f>
        <v>370.79299728190904</v>
      </c>
      <c r="BJ77" s="62">
        <f t="shared" si="92"/>
        <v>404.95703400805775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4.4000000000000004</v>
      </c>
      <c r="BY77" s="13">
        <f>IF('Données projet'!$A$114&gt;35,BY76+BX77-CG76,IF(A77&lt;'Données projet'!$A$114,$BV$205^A77,IF(A77='Données projet'!$A$114,'Données projet'!$B$114,BY76+BX77-CG76)))</f>
        <v>319.59999999999968</v>
      </c>
      <c r="BZ77" s="14">
        <f>BY77*VLOOKUP('Données projet'!$B$12,Paramètres!$A$1:$I$89,3,0)*VLOOKUP('Données projet'!$B$12,Paramètres!$A$1:$I$89,5,0)</f>
        <v>254.27375999999975</v>
      </c>
      <c r="CA77" s="14">
        <f t="shared" si="93"/>
        <v>61.500197451316261</v>
      </c>
      <c r="CB77" s="22">
        <f t="shared" si="64"/>
        <v>549.97297589437528</v>
      </c>
      <c r="CC77" s="62">
        <f t="shared" si="65"/>
        <v>843.30630922770865</v>
      </c>
      <c r="CD77" s="62">
        <f ca="1">AVERAGE(OFFSET($CC$3,0,0,'Données projet'!$E$12+1,1))-AVERAGE(OFFSET($H$3,0,0,'Données projet'!$E$12+1,1))</f>
        <v>370.79299728190904</v>
      </c>
      <c r="CE77" s="62">
        <f t="shared" si="94"/>
        <v>404.95703400805775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</v>
      </c>
      <c r="CT77" s="13">
        <f>IF('Données projet'!$A$140&gt;35,CT76+CS77-DB76,IF(A77&lt;'Données projet'!$A$140,$CQ$205^A77,IF(A77='Données projet'!$A$140,'Données projet'!$B$140,CT76+CS77-DB76)))</f>
        <v>266.59999999999985</v>
      </c>
      <c r="CU77" s="18">
        <f>CT77*VLOOKUP('Données projet'!$B$13,Paramètres!$A$1:$I$89,3,0)*VLOOKUP('Données projet'!$B$13,Paramètres!$A$1:$I$89,5,0)</f>
        <v>232.90175999999991</v>
      </c>
      <c r="CV77" s="14">
        <f t="shared" si="95"/>
        <v>56.909651332233828</v>
      </c>
      <c r="CW77" s="22">
        <f t="shared" si="67"/>
        <v>504.7548747369737</v>
      </c>
      <c r="CX77" s="62">
        <f t="shared" si="68"/>
        <v>798.08820807030702</v>
      </c>
      <c r="CY77" s="62">
        <f ca="1">AVERAGE(OFFSET($CX$3,0,0,'Données projet'!$E$13+1,1))-AVERAGE(OFFSET($H$3,0,0,'Données projet'!$E$13+1,1))</f>
        <v>339.58437495284466</v>
      </c>
      <c r="CZ77" s="62">
        <f t="shared" si="96"/>
        <v>371.26234252426531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4.4000000000000004</v>
      </c>
      <c r="DO77" s="13">
        <f>IF('Données projet'!$A$166&gt;35,DO76+DN77-DW76,IF(A77&lt;'Données projet'!$A$166,$DL$205^A77,IF(A77='Données projet'!$A$166,'Données projet'!$B$166,DO76+DN77-DW76)))</f>
        <v>319.59999999999968</v>
      </c>
      <c r="DP77" s="18">
        <f>DO77*VLOOKUP('Données projet'!$B$14,Paramètres!$A$1:$I$89,3,0)*VLOOKUP('Données projet'!$B$14,Paramètres!$A$1:$I$89,5,0)</f>
        <v>234.33071999999976</v>
      </c>
      <c r="DQ77" s="14">
        <f t="shared" si="97"/>
        <v>57.218065399995126</v>
      </c>
      <c r="DR77" s="22">
        <f t="shared" si="70"/>
        <v>507.78080123832439</v>
      </c>
      <c r="DS77" s="62">
        <f t="shared" si="71"/>
        <v>801.1141345716577</v>
      </c>
      <c r="DT77" s="62">
        <f ca="1">AVERAGE(OFFSET($DS$3,0,0,'Données projet'!$E$14+1,1))-AVERAGE(OFFSET($H$3,0,0,'Données projet'!$E$14+1,1))</f>
        <v>344.63665697794022</v>
      </c>
      <c r="DU77" s="62">
        <f t="shared" si="98"/>
        <v>376.72762011188041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4.4871794871794863</v>
      </c>
      <c r="EJ77" s="13">
        <f>IF('Données projet'!$A$192&gt;35,EJ76+EI77-ER76,IF(A77&lt;'Données projet'!$A$192,$EG$205^A77,IF(A77='Données projet'!$A$192,'Données projet'!$B$192,EJ76+EI77-ER76)))</f>
        <v>241.66666666666657</v>
      </c>
      <c r="EK77" s="18">
        <f>EJ77*VLOOKUP('Données projet'!$B$15,Paramètres!$A$1:$I$89,3,0)*VLOOKUP('Données projet'!$B$15,Paramètres!$A$1:$I$89,5,0)</f>
        <v>229.96999999999991</v>
      </c>
      <c r="EL77" s="14">
        <f t="shared" si="99"/>
        <v>56.276194780495985</v>
      </c>
      <c r="EM77" s="22">
        <f t="shared" si="73"/>
        <v>498.54545590936368</v>
      </c>
      <c r="EN77" s="62">
        <f t="shared" si="74"/>
        <v>791.87878924269694</v>
      </c>
      <c r="EO77" s="62">
        <f ca="1">AVERAGE(OFFSET($EN$3,0,0,'Données projet'!$E$15+1,1))-AVERAGE(OFFSET($H$3,0,0,'Données projet'!$E$15+1,1))</f>
        <v>406.24139966722936</v>
      </c>
      <c r="EP77" s="62">
        <f t="shared" si="100"/>
        <v>295.95724296920577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7.6</v>
      </c>
      <c r="FE77" s="13">
        <f>IF('Données projet'!$A$218&gt;35,FE76+FD77-FM76,IF(A77&lt;'Données projet'!$A$218,$FB$205^A77,IF(A77='Données projet'!$A$218,'Données projet'!$B$218,FE76+FD77-FM76)))</f>
        <v>332.40000000000003</v>
      </c>
      <c r="FF77" s="18">
        <f>FE77*VLOOKUP('Données projet'!$B$16,Paramètres!$A$1:$I$89,3,0)*VLOOKUP('Données projet'!$B$16,Paramètres!$A$1:$I$89,5,0)</f>
        <v>321.49728000000005</v>
      </c>
      <c r="FG77" s="14">
        <f t="shared" si="101"/>
        <v>75.664807195585155</v>
      </c>
      <c r="FH77" s="22">
        <f t="shared" si="76"/>
        <v>691.72396853231078</v>
      </c>
      <c r="FI77" s="62">
        <f t="shared" si="77"/>
        <v>985.05730186564415</v>
      </c>
      <c r="FJ77" s="62">
        <f ca="1">AVERAGE(OFFSET($FI$3,0,0,'Données projet'!$E$16+1,1))-AVERAGE(OFFSET($H$3,0,0,'Données projet'!$E$16+1,1))</f>
        <v>540.83352418045502</v>
      </c>
      <c r="FK77" s="62">
        <f t="shared" si="102"/>
        <v>294.45557293177131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1.1368683772161603E-13</v>
      </c>
      <c r="GA77" s="18">
        <f>FZ77*VLOOKUP('Données projet'!$B$17,Paramètres!$A$1:$I$89,3,0)*VLOOKUP('Données projet'!$B$17,Paramètres!$A$1:$I$89,5,0)</f>
        <v>8.8675733422860506E-14</v>
      </c>
      <c r="GB77" s="14">
        <f t="shared" si="103"/>
        <v>1.3509285393066301E-12</v>
      </c>
      <c r="GC77" s="22">
        <f t="shared" si="79"/>
        <v>2.5073107750038623E-12</v>
      </c>
      <c r="GD77" s="62">
        <f t="shared" si="80"/>
        <v>293.33333333333582</v>
      </c>
      <c r="GE77" s="62">
        <f ca="1">AVERAGE(OFFSET($GD$3,0,0,'Données projet'!$E$17+1,1))-AVERAGE(OFFSET($H$3,0,0,'Données projet'!$E$17+1,1))</f>
        <v>292.57482726862594</v>
      </c>
      <c r="GF77" s="62">
        <f t="shared" si="104"/>
        <v>283.48738729114024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4.8717948717948731</v>
      </c>
      <c r="GU77" s="13">
        <f>IF('Données projet'!$A$270&gt;35,GU76+GT77-HC76,IF(A77&lt;'Données projet'!$A$270,$GR$205^A77,IF(A77='Données projet'!$A$270,'Données projet'!$B$270,GU76+GT77-HC76)))</f>
        <v>295.7692307692306</v>
      </c>
      <c r="GV77" s="18">
        <f>GU77*VLOOKUP('Données projet'!$B$18,Paramètres!$A$1:$I$89,3,0)*VLOOKUP('Données projet'!$B$18,Paramètres!$A$1:$I$89,5,0)</f>
        <v>198.4019999999999</v>
      </c>
      <c r="GW77" s="14">
        <f t="shared" si="105"/>
        <v>49.392811893773114</v>
      </c>
      <c r="GX77" s="22">
        <f t="shared" si="82"/>
        <v>431.57596404832128</v>
      </c>
      <c r="GY77" s="62">
        <f t="shared" si="83"/>
        <v>724.9092973816546</v>
      </c>
      <c r="GZ77" s="62">
        <f ca="1">AVERAGE(OFFSET($GY$3,0,0,'Données projet'!$E$18+1,1))-AVERAGE(OFFSET($H$3,0,0,'Données projet'!$E$18+1,1))</f>
        <v>343.33067866534634</v>
      </c>
      <c r="HA77" s="62">
        <f t="shared" si="106"/>
        <v>261.91036689641402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955.87391751040263</v>
      </c>
      <c r="S78" s="62">
        <f ca="1">AVERAGE(OFFSET($R$3,0,0,'Données projet'!$E$9+1,1))-AVERAGE(OFFSET($H$3,0,0,'Données projet'!$E$9+1,1))</f>
        <v>508.77990078889337</v>
      </c>
      <c r="T78" s="62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projet'!$B$10,Paramètres!$A$1:$I$89,3,0)*VLOOKUP('Données projet'!$B$10,Paramètres!$A$1:$I$89,5,0)</f>
        <v>344.7600000000001</v>
      </c>
      <c r="AK78" s="14">
        <f t="shared" si="89"/>
        <v>80.482595391170619</v>
      </c>
      <c r="AL78" s="22">
        <f t="shared" si="58"/>
        <v>740.63085363962227</v>
      </c>
      <c r="AM78" s="62">
        <f t="shared" si="59"/>
        <v>1033.9641869729555</v>
      </c>
      <c r="AN78" s="62">
        <f ca="1">AVERAGE(OFFSET($AM$3,0,0,'Données projet'!$E$10+1,1))-AVERAGE(OFFSET($H$3,0,0,'Données projet'!$E$10+1,1))</f>
        <v>564.84596170333884</v>
      </c>
      <c r="AO78" s="62">
        <f t="shared" si="90"/>
        <v>306.61893266146666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324</v>
      </c>
      <c r="BB78" s="13">
        <f>VLOOKUP(A78,'Données projet'!$A$87:$I$107,9,0)</f>
        <v>4.4000000000000004</v>
      </c>
      <c r="BC78" s="13">
        <f t="array" ref="BC78">INDEX(BB:BB,MIN(IF(ISNUMBER(BB78:BB274),ROW(BB78:BB274),"")))</f>
        <v>4.4000000000000004</v>
      </c>
      <c r="BD78" s="13">
        <f>IF('Données projet'!$A$88&gt;35,BD77+BC78-BL77,IF(A78&lt;'Données projet'!$A$88,$BA$205^A78,IF(A78='Données projet'!$A$88,'Données projet'!$B$88,BD77+BC78-BL77)))</f>
        <v>323.99999999999966</v>
      </c>
      <c r="BE78" s="14">
        <f>BD78*VLOOKUP('Données projet'!$B$11,Paramètres!$A$1:$I$89,3,0)*VLOOKUP('Données projet'!$B$11,Paramètres!$A$1:$I$89,5,0)</f>
        <v>257.77439999999973</v>
      </c>
      <c r="BF78" s="14">
        <f t="shared" si="91"/>
        <v>62.247732872134243</v>
      </c>
      <c r="BG78" s="22">
        <f t="shared" si="61"/>
        <v>557.37188141896661</v>
      </c>
      <c r="BH78" s="62">
        <f t="shared" si="62"/>
        <v>850.70521475229998</v>
      </c>
      <c r="BI78" s="62">
        <f ca="1">AVERAGE(OFFSET($BH$3,0,0,'Données projet'!$E$11+1,1))-AVERAGE(OFFSET($H$3,0,0,'Données projet'!$E$11+1,1))</f>
        <v>370.79299728190904</v>
      </c>
      <c r="BJ78" s="62">
        <f t="shared" si="92"/>
        <v>404.95703400805775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324</v>
      </c>
      <c r="BW78" s="13">
        <f>VLOOKUP(A78,'Données projet'!$A$113:$I$133,9,0)</f>
        <v>4.4000000000000004</v>
      </c>
      <c r="BX78" s="13">
        <f t="array" ref="BX78">INDEX(BW:BW,MIN(IF(ISNUMBER(BW78:BW274),ROW(BW78:BW274),"")))</f>
        <v>4.4000000000000004</v>
      </c>
      <c r="BY78" s="13">
        <f>IF('Données projet'!$A$114&gt;35,BY77+BX78-CG77,IF(A78&lt;'Données projet'!$A$114,$BV$205^A78,IF(A78='Données projet'!$A$114,'Données projet'!$B$114,BY77+BX78-CG77)))</f>
        <v>323.99999999999966</v>
      </c>
      <c r="BZ78" s="14">
        <f>BY78*VLOOKUP('Données projet'!$B$12,Paramètres!$A$1:$I$89,3,0)*VLOOKUP('Données projet'!$B$12,Paramètres!$A$1:$I$89,5,0)</f>
        <v>257.77439999999973</v>
      </c>
      <c r="CA78" s="14">
        <f t="shared" si="93"/>
        <v>62.247732872134243</v>
      </c>
      <c r="CB78" s="22">
        <f t="shared" si="64"/>
        <v>557.37188141896661</v>
      </c>
      <c r="CC78" s="62">
        <f t="shared" si="65"/>
        <v>850.70521475229998</v>
      </c>
      <c r="CD78" s="62">
        <f ca="1">AVERAGE(OFFSET($CC$3,0,0,'Données projet'!$E$12+1,1))-AVERAGE(OFFSET($H$3,0,0,'Données projet'!$E$12+1,1))</f>
        <v>370.79299728190904</v>
      </c>
      <c r="CE78" s="62">
        <f t="shared" si="94"/>
        <v>404.95703400805775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270</v>
      </c>
      <c r="CR78" s="13">
        <f>VLOOKUP(A78,'Données projet'!$A$139:$I$159,9,0)</f>
        <v>3.4</v>
      </c>
      <c r="CS78" s="13">
        <f t="array" ref="CS78">INDEX(CR:CR,MIN(IF(ISNUMBER(CR78:CR274),ROW(CR78:CR274),"")))</f>
        <v>3.4</v>
      </c>
      <c r="CT78" s="13">
        <f>IF('Données projet'!$A$140&gt;35,CT77+CS78-DB77,IF(A78&lt;'Données projet'!$A$140,$CQ$205^A78,IF(A78='Données projet'!$A$140,'Données projet'!$B$140,CT77+CS78-DB77)))</f>
        <v>269.99999999999983</v>
      </c>
      <c r="CU78" s="18">
        <f>CT78*VLOOKUP('Données projet'!$B$13,Paramètres!$A$1:$I$89,3,0)*VLOOKUP('Données projet'!$B$13,Paramètres!$A$1:$I$89,5,0)</f>
        <v>235.8719999999999</v>
      </c>
      <c r="CV78" s="14">
        <f t="shared" si="95"/>
        <v>57.550476347015277</v>
      </c>
      <c r="CW78" s="22">
        <f t="shared" si="67"/>
        <v>511.04414630438481</v>
      </c>
      <c r="CX78" s="62">
        <f t="shared" si="68"/>
        <v>804.37747963771812</v>
      </c>
      <c r="CY78" s="62">
        <f ca="1">AVERAGE(OFFSET($CX$3,0,0,'Données projet'!$E$13+1,1))-AVERAGE(OFFSET($H$3,0,0,'Données projet'!$E$13+1,1))</f>
        <v>339.58437495284466</v>
      </c>
      <c r="CZ78" s="62">
        <f t="shared" si="96"/>
        <v>371.26234252426531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324</v>
      </c>
      <c r="DM78" s="13">
        <f>VLOOKUP(A78,'Données projet'!$A$165:$I$185,9,0)</f>
        <v>4.4000000000000004</v>
      </c>
      <c r="DN78" s="13">
        <f t="array" ref="DN78">INDEX(DM:DM,MIN(IF(ISNUMBER(DM78:DM274),ROW(DM78:DM274),"")))</f>
        <v>4.4000000000000004</v>
      </c>
      <c r="DO78" s="13">
        <f>IF('Données projet'!$A$166&gt;35,DO77+DN78-DW77,IF(A78&lt;'Données projet'!$A$166,$DL$205^A78,IF(A78='Données projet'!$A$166,'Données projet'!$B$166,DO77+DN78-DW77)))</f>
        <v>323.99999999999966</v>
      </c>
      <c r="DP78" s="18">
        <f>DO78*VLOOKUP('Données projet'!$B$14,Paramètres!$A$1:$I$89,3,0)*VLOOKUP('Données projet'!$B$14,Paramètres!$A$1:$I$89,5,0)</f>
        <v>237.55679999999975</v>
      </c>
      <c r="DQ78" s="14">
        <f t="shared" si="97"/>
        <v>57.913551469467258</v>
      </c>
      <c r="DR78" s="22">
        <f t="shared" si="70"/>
        <v>514.61086214265504</v>
      </c>
      <c r="DS78" s="62">
        <f t="shared" si="71"/>
        <v>807.94419547598841</v>
      </c>
      <c r="DT78" s="62">
        <f ca="1">AVERAGE(OFFSET($DS$3,0,0,'Données projet'!$E$14+1,1))-AVERAGE(OFFSET($H$3,0,0,'Données projet'!$E$14+1,1))</f>
        <v>344.63665697794022</v>
      </c>
      <c r="DU78" s="62">
        <f t="shared" si="98"/>
        <v>376.72762011188041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246.15384615384613</v>
      </c>
      <c r="EH78" s="13">
        <f>VLOOKUP(A78,'Données projet'!$A$191:$I$211,9,0)</f>
        <v>4.4871794871794863</v>
      </c>
      <c r="EI78" s="13">
        <f t="array" ref="EI78">INDEX(EH:EH,MIN(IF(ISNUMBER(EH78:EH274),ROW(EH78:EH274),"")))</f>
        <v>4.4871794871794863</v>
      </c>
      <c r="EJ78" s="13">
        <f>IF('Données projet'!$A$192&gt;35,EJ77+EI78-ER77,IF(A78&lt;'Données projet'!$A$192,$EG$205^A78,IF(A78='Données projet'!$A$192,'Données projet'!$B$192,EJ77+EI78-ER77)))</f>
        <v>246.15384615384605</v>
      </c>
      <c r="EK78" s="18">
        <f>EJ78*VLOOKUP('Données projet'!$B$15,Paramètres!$A$1:$I$89,3,0)*VLOOKUP('Données projet'!$B$15,Paramètres!$A$1:$I$89,5,0)</f>
        <v>234.2399999999999</v>
      </c>
      <c r="EL78" s="14">
        <f t="shared" si="99"/>
        <v>57.19849172024869</v>
      </c>
      <c r="EM78" s="22">
        <f t="shared" si="73"/>
        <v>507.58870641276627</v>
      </c>
      <c r="EN78" s="62">
        <f t="shared" si="74"/>
        <v>800.92203974609959</v>
      </c>
      <c r="EO78" s="62">
        <f ca="1">AVERAGE(OFFSET($EN$3,0,0,'Données projet'!$E$15+1,1))-AVERAGE(OFFSET($H$3,0,0,'Données projet'!$E$15+1,1))</f>
        <v>406.24139966722936</v>
      </c>
      <c r="EP78" s="62">
        <f t="shared" si="100"/>
        <v>295.95724296920577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30.769230769230766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340</v>
      </c>
      <c r="FC78" s="13">
        <f>VLOOKUP(A78,'Données projet'!$A$217:$I$237,9,0)</f>
        <v>7.6</v>
      </c>
      <c r="FD78" s="13">
        <f t="array" ref="FD78">INDEX(FC:FC,MIN(IF(ISNUMBER(FC78:FC274),ROW(FC78:FC274),"")))</f>
        <v>7.6</v>
      </c>
      <c r="FE78" s="13">
        <f>IF('Données projet'!$A$218&gt;35,FE77+FD78-FM77,IF(A78&lt;'Données projet'!$A$218,$FB$205^A78,IF(A78='Données projet'!$A$218,'Données projet'!$B$218,FE77+FD78-FM77)))</f>
        <v>340.00000000000006</v>
      </c>
      <c r="FF78" s="18">
        <f>FE78*VLOOKUP('Données projet'!$B$16,Paramètres!$A$1:$I$89,3,0)*VLOOKUP('Données projet'!$B$16,Paramètres!$A$1:$I$89,5,0)</f>
        <v>328.84800000000007</v>
      </c>
      <c r="FG78" s="14">
        <f t="shared" si="101"/>
        <v>77.191419592112595</v>
      </c>
      <c r="FH78" s="22">
        <f t="shared" si="76"/>
        <v>707.18532245626284</v>
      </c>
      <c r="FI78" s="62">
        <f t="shared" si="77"/>
        <v>1000.5186557895961</v>
      </c>
      <c r="FJ78" s="62">
        <f ca="1">AVERAGE(OFFSET($FI$3,0,0,'Données projet'!$E$16+1,1))-AVERAGE(OFFSET($H$3,0,0,'Données projet'!$E$16+1,1))</f>
        <v>540.83352418045502</v>
      </c>
      <c r="FK78" s="62">
        <f t="shared" si="102"/>
        <v>294.45557293177131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56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1.1368683772161603E-13</v>
      </c>
      <c r="GA78" s="18">
        <f>FZ78*VLOOKUP('Données projet'!$B$17,Paramètres!$A$1:$I$89,3,0)*VLOOKUP('Données projet'!$B$17,Paramètres!$A$1:$I$89,5,0)</f>
        <v>8.8675733422860506E-14</v>
      </c>
      <c r="GB78" s="14">
        <f t="shared" si="103"/>
        <v>1.3509285393066301E-12</v>
      </c>
      <c r="GC78" s="22">
        <f t="shared" si="79"/>
        <v>2.5073107750038623E-12</v>
      </c>
      <c r="GD78" s="62">
        <f t="shared" si="80"/>
        <v>293.33333333333582</v>
      </c>
      <c r="GE78" s="62">
        <f ca="1">AVERAGE(OFFSET($GD$3,0,0,'Données projet'!$E$17+1,1))-AVERAGE(OFFSET($H$3,0,0,'Données projet'!$E$17+1,1))</f>
        <v>292.57482726862594</v>
      </c>
      <c r="GF78" s="62">
        <f t="shared" si="104"/>
        <v>283.48738729114024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300.64102564102564</v>
      </c>
      <c r="GS78" s="13">
        <f>VLOOKUP(A78,'Données projet'!$A$269:$I$289,9,0)</f>
        <v>4.8717948717948731</v>
      </c>
      <c r="GT78" s="13">
        <f t="array" ref="GT78">INDEX(GS:GS,MIN(IF(ISNUMBER(GS78:GS274),ROW(GS78:GS274),"")))</f>
        <v>4.8717948717948731</v>
      </c>
      <c r="GU78" s="13">
        <f>IF('Données projet'!$A$270&gt;35,GU77+GT78-HC77,IF(A78&lt;'Données projet'!$A$270,$GR$205^A78,IF(A78='Données projet'!$A$270,'Données projet'!$B$270,GU77+GT78-HC77)))</f>
        <v>300.64102564102546</v>
      </c>
      <c r="GV78" s="18">
        <f>GU78*VLOOKUP('Données projet'!$B$18,Paramètres!$A$1:$I$89,3,0)*VLOOKUP('Données projet'!$B$18,Paramètres!$A$1:$I$89,5,0)</f>
        <v>201.66999999999987</v>
      </c>
      <c r="GW78" s="14">
        <f t="shared" si="105"/>
        <v>50.111005372790743</v>
      </c>
      <c r="GX78" s="22">
        <f t="shared" si="82"/>
        <v>438.51858435761028</v>
      </c>
      <c r="GY78" s="62">
        <f t="shared" si="83"/>
        <v>731.85191769094354</v>
      </c>
      <c r="GZ78" s="62">
        <f ca="1">AVERAGE(OFFSET($GY$3,0,0,'Données projet'!$E$18+1,1))-AVERAGE(OFFSET($H$3,0,0,'Données projet'!$E$18+1,1))</f>
        <v>343.33067866534634</v>
      </c>
      <c r="HA78" s="62">
        <f t="shared" si="106"/>
        <v>261.91036689641402</v>
      </c>
      <c r="HB78" s="16">
        <f>IF(ISNA(VLOOKUP(A78,'Données projet'!$A$269:$I$289,3,0)),0,VLOOKUP(A78,'Données projet'!$A$269:$I$289,3,0))</f>
        <v>7</v>
      </c>
      <c r="HC78" s="16">
        <f>IF(ISNA(VLOOKUP(A78,'Données projet'!$A$269:$I$289,4,0)),0,VLOOKUP(A78,'Données projet'!$A$269:$I$289,4,0))</f>
        <v>28.846153846153847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508.77990078889337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295.27680000000004</v>
      </c>
      <c r="AK79" s="14">
        <f t="shared" si="89"/>
        <v>70.185386686980493</v>
      </c>
      <c r="AL79" s="22">
        <f t="shared" si="58"/>
        <v>636.51330847982445</v>
      </c>
      <c r="AM79" s="62">
        <f t="shared" si="59"/>
        <v>929.8466418131577</v>
      </c>
      <c r="AN79" s="62">
        <f ca="1">AVERAGE(OFFSET($AM$3,0,0,'Données projet'!$E$10+1,1))-AVERAGE(OFFSET($H$3,0,0,'Données projet'!$E$10+1,1))</f>
        <v>564.84596170333884</v>
      </c>
      <c r="AO79" s="62">
        <f t="shared" si="90"/>
        <v>306.61893266146666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327.59999999999968</v>
      </c>
      <c r="BE79" s="14">
        <f>BD79*VLOOKUP('Données projet'!$B$11,Paramètres!$A$1:$I$89,3,0)*VLOOKUP('Données projet'!$B$11,Paramètres!$A$1:$I$89,5,0)</f>
        <v>260.63855999999976</v>
      </c>
      <c r="BF79" s="14">
        <f t="shared" si="91"/>
        <v>62.858473704931782</v>
      </c>
      <c r="BG79" s="22">
        <f t="shared" si="61"/>
        <v>563.4240003694224</v>
      </c>
      <c r="BH79" s="62">
        <f t="shared" si="62"/>
        <v>856.75733370275566</v>
      </c>
      <c r="BI79" s="62">
        <f ca="1">AVERAGE(OFFSET($BH$3,0,0,'Données projet'!$E$11+1,1))-AVERAGE(OFFSET($H$3,0,0,'Données projet'!$E$11+1,1))</f>
        <v>370.79299728190904</v>
      </c>
      <c r="BJ79" s="62">
        <f t="shared" si="92"/>
        <v>404.95703400805775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327.59999999999968</v>
      </c>
      <c r="BZ79" s="14">
        <f>BY79*VLOOKUP('Données projet'!$B$12,Paramètres!$A$1:$I$89,3,0)*VLOOKUP('Données projet'!$B$12,Paramètres!$A$1:$I$89,5,0)</f>
        <v>260.63855999999976</v>
      </c>
      <c r="CA79" s="14">
        <f t="shared" si="93"/>
        <v>62.858473704931782</v>
      </c>
      <c r="CB79" s="22">
        <f t="shared" si="64"/>
        <v>563.4240003694224</v>
      </c>
      <c r="CC79" s="62">
        <f t="shared" si="65"/>
        <v>856.75733370275566</v>
      </c>
      <c r="CD79" s="62">
        <f ca="1">AVERAGE(OFFSET($CC$3,0,0,'Données projet'!$E$12+1,1))-AVERAGE(OFFSET($H$3,0,0,'Données projet'!$E$12+1,1))</f>
        <v>370.79299728190904</v>
      </c>
      <c r="CE79" s="62">
        <f t="shared" si="94"/>
        <v>404.95703400805775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</v>
      </c>
      <c r="CT79" s="13">
        <f>IF('Données projet'!$A$140&gt;35,CT78+CS79-DB78,IF(A79&lt;'Données projet'!$A$140,$CQ$205^A79,IF(A79='Données projet'!$A$140,'Données projet'!$B$140,CT78+CS79-DB78)))</f>
        <v>272.99999999999983</v>
      </c>
      <c r="CU79" s="18">
        <f>CT79*VLOOKUP('Données projet'!$B$13,Paramètres!$A$1:$I$89,3,0)*VLOOKUP('Données projet'!$B$13,Paramètres!$A$1:$I$89,5,0)</f>
        <v>238.49279999999987</v>
      </c>
      <c r="CV79" s="14">
        <f t="shared" si="95"/>
        <v>58.115130258576542</v>
      </c>
      <c r="CW79" s="22">
        <f t="shared" si="67"/>
        <v>516.59214520035391</v>
      </c>
      <c r="CX79" s="62">
        <f t="shared" si="68"/>
        <v>809.92547853368728</v>
      </c>
      <c r="CY79" s="62">
        <f ca="1">AVERAGE(OFFSET($CX$3,0,0,'Données projet'!$E$13+1,1))-AVERAGE(OFFSET($H$3,0,0,'Données projet'!$E$13+1,1))</f>
        <v>339.58437495284466</v>
      </c>
      <c r="CZ79" s="62">
        <f t="shared" si="96"/>
        <v>371.26234252426531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3.6</v>
      </c>
      <c r="DO79" s="13">
        <f>IF('Données projet'!$A$166&gt;35,DO78+DN79-DW78,IF(A79&lt;'Données projet'!$A$166,$DL$205^A79,IF(A79='Données projet'!$A$166,'Données projet'!$B$166,DO78+DN79-DW78)))</f>
        <v>327.59999999999968</v>
      </c>
      <c r="DP79" s="18">
        <f>DO79*VLOOKUP('Données projet'!$B$14,Paramètres!$A$1:$I$89,3,0)*VLOOKUP('Données projet'!$B$14,Paramètres!$A$1:$I$89,5,0)</f>
        <v>240.19631999999976</v>
      </c>
      <c r="DQ79" s="14">
        <f t="shared" si="97"/>
        <v>58.481767676270877</v>
      </c>
      <c r="DR79" s="22">
        <f t="shared" si="70"/>
        <v>520.19766936950464</v>
      </c>
      <c r="DS79" s="62">
        <f t="shared" si="71"/>
        <v>813.5310027028379</v>
      </c>
      <c r="DT79" s="62">
        <f ca="1">AVERAGE(OFFSET($DS$3,0,0,'Données projet'!$E$14+1,1))-AVERAGE(OFFSET($H$3,0,0,'Données projet'!$E$14+1,1))</f>
        <v>344.63665697794022</v>
      </c>
      <c r="DU79" s="62">
        <f t="shared" si="98"/>
        <v>376.72762011188041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4.3589743589743648</v>
      </c>
      <c r="EJ79" s="13">
        <f>IF('Données projet'!$A$192&gt;35,EJ78+EI79-ER78,IF(A79&lt;'Données projet'!$A$192,$EG$205^A79,IF(A79='Données projet'!$A$192,'Données projet'!$B$192,EJ78+EI79-ER78)))</f>
        <v>219.74358974358964</v>
      </c>
      <c r="EK79" s="18">
        <f>EJ79*VLOOKUP('Données projet'!$B$15,Paramètres!$A$1:$I$89,3,0)*VLOOKUP('Données projet'!$B$15,Paramètres!$A$1:$I$89,5,0)</f>
        <v>209.10799999999989</v>
      </c>
      <c r="EL79" s="14">
        <f t="shared" si="99"/>
        <v>51.740612992017297</v>
      </c>
      <c r="EM79" s="22">
        <f t="shared" si="73"/>
        <v>454.31133429442997</v>
      </c>
      <c r="EN79" s="62">
        <f t="shared" si="74"/>
        <v>747.64466762776328</v>
      </c>
      <c r="EO79" s="62">
        <f ca="1">AVERAGE(OFFSET($EN$3,0,0,'Données projet'!$E$15+1,1))-AVERAGE(OFFSET($H$3,0,0,'Données projet'!$E$15+1,1))</f>
        <v>406.24139966722936</v>
      </c>
      <c r="EP79" s="62">
        <f t="shared" si="100"/>
        <v>295.95724296920577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7.2</v>
      </c>
      <c r="FE79" s="13">
        <f>IF('Données projet'!$A$218&gt;35,FE78+FD79-FM78,IF(A79&lt;'Données projet'!$A$218,$FB$205^A79,IF(A79='Données projet'!$A$218,'Données projet'!$B$218,FE78+FD79-FM78)))</f>
        <v>291.20000000000005</v>
      </c>
      <c r="FF79" s="18">
        <f>FE79*VLOOKUP('Données projet'!$B$16,Paramètres!$A$1:$I$89,3,0)*VLOOKUP('Données projet'!$B$16,Paramètres!$A$1:$I$89,5,0)</f>
        <v>281.64864000000006</v>
      </c>
      <c r="FG79" s="14">
        <f t="shared" si="101"/>
        <v>67.315294774697747</v>
      </c>
      <c r="FH79" s="22">
        <f t="shared" si="76"/>
        <v>607.77885306593191</v>
      </c>
      <c r="FI79" s="62">
        <f t="shared" si="77"/>
        <v>901.11218639926528</v>
      </c>
      <c r="FJ79" s="62">
        <f ca="1">AVERAGE(OFFSET($FI$3,0,0,'Données projet'!$E$16+1,1))-AVERAGE(OFFSET($H$3,0,0,'Données projet'!$E$16+1,1))</f>
        <v>540.83352418045502</v>
      </c>
      <c r="FK79" s="62">
        <f t="shared" si="102"/>
        <v>294.45557293177131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1.1368683772161603E-13</v>
      </c>
      <c r="GA79" s="18">
        <f>FZ79*VLOOKUP('Données projet'!$B$17,Paramètres!$A$1:$I$89,3,0)*VLOOKUP('Données projet'!$B$17,Paramètres!$A$1:$I$89,5,0)</f>
        <v>8.8675733422860506E-14</v>
      </c>
      <c r="GB79" s="14">
        <f t="shared" si="103"/>
        <v>1.3509285393066301E-12</v>
      </c>
      <c r="GC79" s="22">
        <f t="shared" si="79"/>
        <v>2.5073107750038623E-12</v>
      </c>
      <c r="GD79" s="62">
        <f t="shared" si="80"/>
        <v>293.33333333333582</v>
      </c>
      <c r="GE79" s="62">
        <f ca="1">AVERAGE(OFFSET($GD$3,0,0,'Données projet'!$E$17+1,1))-AVERAGE(OFFSET($H$3,0,0,'Données projet'!$E$17+1,1))</f>
        <v>292.57482726862594</v>
      </c>
      <c r="GF79" s="62">
        <f t="shared" si="104"/>
        <v>283.48738729114024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4.4871794871794917</v>
      </c>
      <c r="GU79" s="13">
        <f>IF('Données projet'!$A$270&gt;35,GU78+GT79-HC78,IF(A79&lt;'Données projet'!$A$270,$GR$205^A79,IF(A79='Données projet'!$A$270,'Données projet'!$B$270,GU78+GT79-HC78)))</f>
        <v>276.2820512820511</v>
      </c>
      <c r="GV79" s="18">
        <f>GU79*VLOOKUP('Données projet'!$B$18,Paramètres!$A$1:$I$89,3,0)*VLOOKUP('Données projet'!$B$18,Paramètres!$A$1:$I$89,5,0)</f>
        <v>185.32999999999987</v>
      </c>
      <c r="GW79" s="14">
        <f t="shared" si="105"/>
        <v>46.505991525491268</v>
      </c>
      <c r="GX79" s="22">
        <f t="shared" si="82"/>
        <v>403.7810185735637</v>
      </c>
      <c r="GY79" s="62">
        <f t="shared" si="83"/>
        <v>697.11435190689701</v>
      </c>
      <c r="GZ79" s="62">
        <f ca="1">AVERAGE(OFFSET($GY$3,0,0,'Données projet'!$E$18+1,1))-AVERAGE(OFFSET($H$3,0,0,'Données projet'!$E$18+1,1))</f>
        <v>343.33067866534634</v>
      </c>
      <c r="HA79" s="62">
        <f t="shared" si="106"/>
        <v>261.91036689641402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508.77990078889337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302.57760000000007</v>
      </c>
      <c r="AK80" s="14">
        <f t="shared" si="89"/>
        <v>71.716558091076294</v>
      </c>
      <c r="AL80" s="22">
        <f t="shared" si="58"/>
        <v>651.89565867529132</v>
      </c>
      <c r="AM80" s="62">
        <f t="shared" si="59"/>
        <v>945.22899200862457</v>
      </c>
      <c r="AN80" s="62">
        <f ca="1">AVERAGE(OFFSET($AM$3,0,0,'Données projet'!$E$10+1,1))-AVERAGE(OFFSET($H$3,0,0,'Données projet'!$E$10+1,1))</f>
        <v>564.84596170333884</v>
      </c>
      <c r="AO80" s="62">
        <f t="shared" si="90"/>
        <v>306.61893266146666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331.1999999999997</v>
      </c>
      <c r="BE80" s="14">
        <f>BD80*VLOOKUP('Données projet'!$B$11,Paramètres!$A$1:$I$89,3,0)*VLOOKUP('Données projet'!$B$11,Paramètres!$A$1:$I$89,5,0)</f>
        <v>263.50271999999978</v>
      </c>
      <c r="BF80" s="14">
        <f t="shared" si="91"/>
        <v>63.468433809179686</v>
      </c>
      <c r="BG80" s="22">
        <f t="shared" si="61"/>
        <v>569.47475955098753</v>
      </c>
      <c r="BH80" s="62">
        <f t="shared" si="62"/>
        <v>862.80809288432079</v>
      </c>
      <c r="BI80" s="62">
        <f ca="1">AVERAGE(OFFSET($BH$3,0,0,'Données projet'!$E$11+1,1))-AVERAGE(OFFSET($H$3,0,0,'Données projet'!$E$11+1,1))</f>
        <v>370.79299728190904</v>
      </c>
      <c r="BJ80" s="62">
        <f t="shared" si="92"/>
        <v>404.95703400805775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331.1999999999997</v>
      </c>
      <c r="BZ80" s="14">
        <f>BY80*VLOOKUP('Données projet'!$B$12,Paramètres!$A$1:$I$89,3,0)*VLOOKUP('Données projet'!$B$12,Paramètres!$A$1:$I$89,5,0)</f>
        <v>263.50271999999978</v>
      </c>
      <c r="CA80" s="14">
        <f t="shared" si="93"/>
        <v>63.468433809179686</v>
      </c>
      <c r="CB80" s="22">
        <f t="shared" si="64"/>
        <v>569.47475955098753</v>
      </c>
      <c r="CC80" s="62">
        <f t="shared" si="65"/>
        <v>862.80809288432079</v>
      </c>
      <c r="CD80" s="62">
        <f ca="1">AVERAGE(OFFSET($CC$3,0,0,'Données projet'!$E$12+1,1))-AVERAGE(OFFSET($H$3,0,0,'Données projet'!$E$12+1,1))</f>
        <v>370.79299728190904</v>
      </c>
      <c r="CE80" s="62">
        <f t="shared" si="94"/>
        <v>404.95703400805775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</v>
      </c>
      <c r="CT80" s="13">
        <f>IF('Données projet'!$A$140&gt;35,CT79+CS80-DB79,IF(A80&lt;'Données projet'!$A$140,$CQ$205^A80,IF(A80='Données projet'!$A$140,'Données projet'!$B$140,CT79+CS80-DB79)))</f>
        <v>275.99999999999983</v>
      </c>
      <c r="CU80" s="18">
        <f>CT80*VLOOKUP('Données projet'!$B$13,Paramètres!$A$1:$I$89,3,0)*VLOOKUP('Données projet'!$B$13,Paramètres!$A$1:$I$89,5,0)</f>
        <v>241.11359999999988</v>
      </c>
      <c r="CV80" s="14">
        <f t="shared" si="95"/>
        <v>58.6790623558988</v>
      </c>
      <c r="CW80" s="22">
        <f t="shared" si="67"/>
        <v>522.13888693652359</v>
      </c>
      <c r="CX80" s="62">
        <f t="shared" si="68"/>
        <v>815.47222026985696</v>
      </c>
      <c r="CY80" s="62">
        <f ca="1">AVERAGE(OFFSET($CX$3,0,0,'Données projet'!$E$13+1,1))-AVERAGE(OFFSET($H$3,0,0,'Données projet'!$E$13+1,1))</f>
        <v>339.58437495284466</v>
      </c>
      <c r="CZ80" s="62">
        <f t="shared" si="96"/>
        <v>371.26234252426531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3.6</v>
      </c>
      <c r="DO80" s="13">
        <f>IF('Données projet'!$A$166&gt;35,DO79+DN80-DW79,IF(A80&lt;'Données projet'!$A$166,$DL$205^A80,IF(A80='Données projet'!$A$166,'Données projet'!$B$166,DO79+DN80-DW79)))</f>
        <v>331.1999999999997</v>
      </c>
      <c r="DP80" s="18">
        <f>DO80*VLOOKUP('Données projet'!$B$14,Paramètres!$A$1:$I$89,3,0)*VLOOKUP('Données projet'!$B$14,Paramètres!$A$1:$I$89,5,0)</f>
        <v>242.83583999999976</v>
      </c>
      <c r="DQ80" s="14">
        <f t="shared" si="97"/>
        <v>59.049257515045326</v>
      </c>
      <c r="DR80" s="22">
        <f t="shared" si="70"/>
        <v>525.78321150537022</v>
      </c>
      <c r="DS80" s="62">
        <f t="shared" si="71"/>
        <v>819.11654483870348</v>
      </c>
      <c r="DT80" s="62">
        <f ca="1">AVERAGE(OFFSET($DS$3,0,0,'Données projet'!$E$14+1,1))-AVERAGE(OFFSET($H$3,0,0,'Données projet'!$E$14+1,1))</f>
        <v>344.63665697794022</v>
      </c>
      <c r="DU80" s="62">
        <f t="shared" si="98"/>
        <v>376.72762011188041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4.3589743589743648</v>
      </c>
      <c r="EJ80" s="13">
        <f>IF('Données projet'!$A$192&gt;35,EJ79+EI80-ER79,IF(A80&lt;'Données projet'!$A$192,$EG$205^A80,IF(A80='Données projet'!$A$192,'Données projet'!$B$192,EJ79+EI80-ER79)))</f>
        <v>224.102564102564</v>
      </c>
      <c r="EK80" s="18">
        <f>EJ80*VLOOKUP('Données projet'!$B$15,Paramètres!$A$1:$I$89,3,0)*VLOOKUP('Données projet'!$B$15,Paramètres!$A$1:$I$89,5,0)</f>
        <v>213.25599999999989</v>
      </c>
      <c r="EL80" s="14">
        <f t="shared" si="99"/>
        <v>52.646465235028018</v>
      </c>
      <c r="EM80" s="22">
        <f t="shared" si="73"/>
        <v>463.11346028434019</v>
      </c>
      <c r="EN80" s="62">
        <f t="shared" si="74"/>
        <v>756.44679361767351</v>
      </c>
      <c r="EO80" s="62">
        <f ca="1">AVERAGE(OFFSET($EN$3,0,0,'Données projet'!$E$15+1,1))-AVERAGE(OFFSET($H$3,0,0,'Données projet'!$E$15+1,1))</f>
        <v>406.24139966722936</v>
      </c>
      <c r="EP80" s="62">
        <f t="shared" si="100"/>
        <v>295.95724296920577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7.2</v>
      </c>
      <c r="FE80" s="13">
        <f>IF('Données projet'!$A$218&gt;35,FE79+FD80-FM79,IF(A80&lt;'Données projet'!$A$218,$FB$205^A80,IF(A80='Données projet'!$A$218,'Données projet'!$B$218,FE79+FD80-FM79)))</f>
        <v>298.40000000000003</v>
      </c>
      <c r="FF80" s="18">
        <f>FE80*VLOOKUP('Données projet'!$B$16,Paramètres!$A$1:$I$89,3,0)*VLOOKUP('Données projet'!$B$16,Paramètres!$A$1:$I$89,5,0)</f>
        <v>288.61248000000001</v>
      </c>
      <c r="FG80" s="14">
        <f t="shared" si="101"/>
        <v>68.783851967051476</v>
      </c>
      <c r="FH80" s="22">
        <f t="shared" si="76"/>
        <v>622.4652781759479</v>
      </c>
      <c r="FI80" s="62">
        <f t="shared" si="77"/>
        <v>915.79861150928127</v>
      </c>
      <c r="FJ80" s="62">
        <f ca="1">AVERAGE(OFFSET($FI$3,0,0,'Données projet'!$E$16+1,1))-AVERAGE(OFFSET($H$3,0,0,'Données projet'!$E$16+1,1))</f>
        <v>540.83352418045502</v>
      </c>
      <c r="FK80" s="62">
        <f t="shared" si="102"/>
        <v>294.45557293177131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1.1368683772161603E-13</v>
      </c>
      <c r="GA80" s="18">
        <f>FZ80*VLOOKUP('Données projet'!$B$17,Paramètres!$A$1:$I$89,3,0)*VLOOKUP('Données projet'!$B$17,Paramètres!$A$1:$I$89,5,0)</f>
        <v>8.8675733422860506E-14</v>
      </c>
      <c r="GB80" s="14">
        <f t="shared" si="103"/>
        <v>1.3509285393066301E-12</v>
      </c>
      <c r="GC80" s="22">
        <f t="shared" si="79"/>
        <v>2.5073107750038623E-12</v>
      </c>
      <c r="GD80" s="62">
        <f t="shared" si="80"/>
        <v>293.33333333333582</v>
      </c>
      <c r="GE80" s="62">
        <f ca="1">AVERAGE(OFFSET($GD$3,0,0,'Données projet'!$E$17+1,1))-AVERAGE(OFFSET($H$3,0,0,'Données projet'!$E$17+1,1))</f>
        <v>292.57482726862594</v>
      </c>
      <c r="GF80" s="62">
        <f t="shared" si="104"/>
        <v>283.48738729114024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4.4871794871794917</v>
      </c>
      <c r="GU80" s="13">
        <f>IF('Données projet'!$A$270&gt;35,GU79+GT80-HC79,IF(A80&lt;'Données projet'!$A$270,$GR$205^A80,IF(A80='Données projet'!$A$270,'Données projet'!$B$270,GU79+GT80-HC79)))</f>
        <v>280.7692307692306</v>
      </c>
      <c r="GV80" s="18">
        <f>GU80*VLOOKUP('Données projet'!$B$18,Paramètres!$A$1:$I$89,3,0)*VLOOKUP('Données projet'!$B$18,Paramètres!$A$1:$I$89,5,0)</f>
        <v>188.33999999999989</v>
      </c>
      <c r="GW80" s="14">
        <f t="shared" si="105"/>
        <v>47.172763195766144</v>
      </c>
      <c r="GX80" s="22">
        <f t="shared" si="82"/>
        <v>410.18472923262584</v>
      </c>
      <c r="GY80" s="62">
        <f t="shared" si="83"/>
        <v>703.5180625659591</v>
      </c>
      <c r="GZ80" s="62">
        <f ca="1">AVERAGE(OFFSET($GY$3,0,0,'Données projet'!$E$18+1,1))-AVERAGE(OFFSET($H$3,0,0,'Données projet'!$E$18+1,1))</f>
        <v>343.33067866534634</v>
      </c>
      <c r="HA80" s="62">
        <f t="shared" si="106"/>
        <v>261.91036689641402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508.77990078889337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309.87840000000006</v>
      </c>
      <c r="AK81" s="14">
        <f t="shared" si="89"/>
        <v>73.243434672131556</v>
      </c>
      <c r="AL81" s="22">
        <f t="shared" si="58"/>
        <v>667.27052872062916</v>
      </c>
      <c r="AM81" s="62">
        <f t="shared" si="59"/>
        <v>960.60386205396253</v>
      </c>
      <c r="AN81" s="62">
        <f ca="1">AVERAGE(OFFSET($AM$3,0,0,'Données projet'!$E$10+1,1))-AVERAGE(OFFSET($H$3,0,0,'Données projet'!$E$10+1,1))</f>
        <v>564.84596170333884</v>
      </c>
      <c r="AO81" s="62">
        <f t="shared" si="90"/>
        <v>306.61893266146666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334.79999999999973</v>
      </c>
      <c r="BE81" s="14">
        <f>BD81*VLOOKUP('Données projet'!$B$11,Paramètres!$A$1:$I$89,3,0)*VLOOKUP('Données projet'!$B$11,Paramètres!$A$1:$I$89,5,0)</f>
        <v>266.36687999999981</v>
      </c>
      <c r="BF81" s="14">
        <f t="shared" si="91"/>
        <v>64.077622653233107</v>
      </c>
      <c r="BG81" s="22">
        <f t="shared" si="61"/>
        <v>575.52417545438061</v>
      </c>
      <c r="BH81" s="62">
        <f t="shared" si="62"/>
        <v>868.85750878771387</v>
      </c>
      <c r="BI81" s="62">
        <f ca="1">AVERAGE(OFFSET($BH$3,0,0,'Données projet'!$E$11+1,1))-AVERAGE(OFFSET($H$3,0,0,'Données projet'!$E$11+1,1))</f>
        <v>370.79299728190904</v>
      </c>
      <c r="BJ81" s="62">
        <f t="shared" si="92"/>
        <v>404.95703400805775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334.79999999999973</v>
      </c>
      <c r="BZ81" s="14">
        <f>BY81*VLOOKUP('Données projet'!$B$12,Paramètres!$A$1:$I$89,3,0)*VLOOKUP('Données projet'!$B$12,Paramètres!$A$1:$I$89,5,0)</f>
        <v>266.36687999999981</v>
      </c>
      <c r="CA81" s="14">
        <f t="shared" si="93"/>
        <v>64.077622653233107</v>
      </c>
      <c r="CB81" s="22">
        <f t="shared" si="64"/>
        <v>575.52417545438061</v>
      </c>
      <c r="CC81" s="62">
        <f t="shared" si="65"/>
        <v>868.85750878771387</v>
      </c>
      <c r="CD81" s="62">
        <f ca="1">AVERAGE(OFFSET($CC$3,0,0,'Données projet'!$E$12+1,1))-AVERAGE(OFFSET($H$3,0,0,'Données projet'!$E$12+1,1))</f>
        <v>370.79299728190904</v>
      </c>
      <c r="CE81" s="62">
        <f t="shared" si="94"/>
        <v>404.95703400805775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</v>
      </c>
      <c r="CT81" s="13">
        <f>IF('Données projet'!$A$140&gt;35,CT80+CS81-DB80,IF(A81&lt;'Données projet'!$A$140,$CQ$205^A81,IF(A81='Données projet'!$A$140,'Données projet'!$B$140,CT80+CS81-DB80)))</f>
        <v>278.99999999999983</v>
      </c>
      <c r="CU81" s="18">
        <f>CT81*VLOOKUP('Données projet'!$B$13,Paramètres!$A$1:$I$89,3,0)*VLOOKUP('Données projet'!$B$13,Paramètres!$A$1:$I$89,5,0)</f>
        <v>243.73439999999988</v>
      </c>
      <c r="CV81" s="14">
        <f t="shared" si="95"/>
        <v>59.242281392848767</v>
      </c>
      <c r="CW81" s="22">
        <f t="shared" si="67"/>
        <v>527.68438675921141</v>
      </c>
      <c r="CX81" s="62">
        <f t="shared" si="68"/>
        <v>821.01772009254478</v>
      </c>
      <c r="CY81" s="62">
        <f ca="1">AVERAGE(OFFSET($CX$3,0,0,'Données projet'!$E$13+1,1))-AVERAGE(OFFSET($H$3,0,0,'Données projet'!$E$13+1,1))</f>
        <v>339.58437495284466</v>
      </c>
      <c r="CZ81" s="62">
        <f t="shared" si="96"/>
        <v>371.26234252426531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3.6</v>
      </c>
      <c r="DO81" s="13">
        <f>IF('Données projet'!$A$166&gt;35,DO80+DN81-DW80,IF(A81&lt;'Données projet'!$A$166,$DL$205^A81,IF(A81='Données projet'!$A$166,'Données projet'!$B$166,DO80+DN81-DW80)))</f>
        <v>334.79999999999973</v>
      </c>
      <c r="DP81" s="18">
        <f>DO81*VLOOKUP('Données projet'!$B$14,Paramètres!$A$1:$I$89,3,0)*VLOOKUP('Données projet'!$B$14,Paramètres!$A$1:$I$89,5,0)</f>
        <v>245.47535999999977</v>
      </c>
      <c r="DQ81" s="14">
        <f t="shared" si="97"/>
        <v>59.616029794883701</v>
      </c>
      <c r="DR81" s="22">
        <f t="shared" si="70"/>
        <v>531.36750389275528</v>
      </c>
      <c r="DS81" s="62">
        <f t="shared" si="71"/>
        <v>824.70083722608865</v>
      </c>
      <c r="DT81" s="62">
        <f ca="1">AVERAGE(OFFSET($DS$3,0,0,'Données projet'!$E$14+1,1))-AVERAGE(OFFSET($H$3,0,0,'Données projet'!$E$14+1,1))</f>
        <v>344.63665697794022</v>
      </c>
      <c r="DU81" s="62">
        <f t="shared" si="98"/>
        <v>376.72762011188041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4.3589743589743648</v>
      </c>
      <c r="EJ81" s="13">
        <f>IF('Données projet'!$A$192&gt;35,EJ80+EI81-ER80,IF(A81&lt;'Données projet'!$A$192,$EG$205^A81,IF(A81='Données projet'!$A$192,'Données projet'!$B$192,EJ80+EI81-ER80)))</f>
        <v>228.46153846153837</v>
      </c>
      <c r="EK81" s="18">
        <f>EJ81*VLOOKUP('Données projet'!$B$15,Paramètres!$A$1:$I$89,3,0)*VLOOKUP('Données projet'!$B$15,Paramètres!$A$1:$I$89,5,0)</f>
        <v>217.40399999999991</v>
      </c>
      <c r="EL81" s="14">
        <f t="shared" si="99"/>
        <v>53.550268745628323</v>
      </c>
      <c r="EM81" s="22">
        <f t="shared" si="73"/>
        <v>471.91201806530245</v>
      </c>
      <c r="EN81" s="62">
        <f t="shared" si="74"/>
        <v>765.24535139863576</v>
      </c>
      <c r="EO81" s="62">
        <f ca="1">AVERAGE(OFFSET($EN$3,0,0,'Données projet'!$E$15+1,1))-AVERAGE(OFFSET($H$3,0,0,'Données projet'!$E$15+1,1))</f>
        <v>406.24139966722936</v>
      </c>
      <c r="EP81" s="62">
        <f t="shared" si="100"/>
        <v>295.95724296920577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7.2</v>
      </c>
      <c r="FE81" s="13">
        <f>IF('Données projet'!$A$218&gt;35,FE80+FD81-FM80,IF(A81&lt;'Données projet'!$A$218,$FB$205^A81,IF(A81='Données projet'!$A$218,'Données projet'!$B$218,FE80+FD81-FM80)))</f>
        <v>305.60000000000002</v>
      </c>
      <c r="FF81" s="18">
        <f>FE81*VLOOKUP('Données projet'!$B$16,Paramètres!$A$1:$I$89,3,0)*VLOOKUP('Données projet'!$B$16,Paramètres!$A$1:$I$89,5,0)</f>
        <v>295.57632000000001</v>
      </c>
      <c r="FG81" s="14">
        <f t="shared" si="101"/>
        <v>70.24828996461811</v>
      </c>
      <c r="FH81" s="22">
        <f t="shared" si="76"/>
        <v>637.1445290217099</v>
      </c>
      <c r="FI81" s="62">
        <f t="shared" si="77"/>
        <v>930.47786235504327</v>
      </c>
      <c r="FJ81" s="62">
        <f ca="1">AVERAGE(OFFSET($FI$3,0,0,'Données projet'!$E$16+1,1))-AVERAGE(OFFSET($H$3,0,0,'Données projet'!$E$16+1,1))</f>
        <v>540.83352418045502</v>
      </c>
      <c r="FK81" s="62">
        <f t="shared" si="102"/>
        <v>294.45557293177131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1.1368683772161603E-13</v>
      </c>
      <c r="GA81" s="18">
        <f>FZ81*VLOOKUP('Données projet'!$B$17,Paramètres!$A$1:$I$89,3,0)*VLOOKUP('Données projet'!$B$17,Paramètres!$A$1:$I$89,5,0)</f>
        <v>8.8675733422860506E-14</v>
      </c>
      <c r="GB81" s="14">
        <f t="shared" si="103"/>
        <v>1.3509285393066301E-12</v>
      </c>
      <c r="GC81" s="22">
        <f t="shared" si="79"/>
        <v>2.5073107750038623E-12</v>
      </c>
      <c r="GD81" s="62">
        <f t="shared" si="80"/>
        <v>293.33333333333582</v>
      </c>
      <c r="GE81" s="62">
        <f ca="1">AVERAGE(OFFSET($GD$3,0,0,'Données projet'!$E$17+1,1))-AVERAGE(OFFSET($H$3,0,0,'Données projet'!$E$17+1,1))</f>
        <v>292.57482726862594</v>
      </c>
      <c r="GF81" s="62">
        <f t="shared" si="104"/>
        <v>283.48738729114024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4.4871794871794917</v>
      </c>
      <c r="GU81" s="13">
        <f>IF('Données projet'!$A$270&gt;35,GU80+GT81-HC80,IF(A81&lt;'Données projet'!$A$270,$GR$205^A81,IF(A81='Données projet'!$A$270,'Données projet'!$B$270,GU80+GT81-HC80)))</f>
        <v>285.25641025641011</v>
      </c>
      <c r="GV81" s="18">
        <f>GU81*VLOOKUP('Données projet'!$B$18,Paramètres!$A$1:$I$89,3,0)*VLOOKUP('Données projet'!$B$18,Paramètres!$A$1:$I$89,5,0)</f>
        <v>191.34999999999988</v>
      </c>
      <c r="GW81" s="14">
        <f t="shared" si="105"/>
        <v>47.838295585286282</v>
      </c>
      <c r="GX81" s="22">
        <f t="shared" si="82"/>
        <v>416.58628147770673</v>
      </c>
      <c r="GY81" s="62">
        <f t="shared" si="83"/>
        <v>709.91961481103999</v>
      </c>
      <c r="GZ81" s="62">
        <f ca="1">AVERAGE(OFFSET($GY$3,0,0,'Données projet'!$E$18+1,1))-AVERAGE(OFFSET($H$3,0,0,'Données projet'!$E$18+1,1))</f>
        <v>343.33067866534634</v>
      </c>
      <c r="HA81" s="62">
        <f t="shared" si="106"/>
        <v>261.91036689641402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508.77990078889337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317.17920000000004</v>
      </c>
      <c r="AK82" s="14">
        <f t="shared" si="89"/>
        <v>74.766129261581426</v>
      </c>
      <c r="AL82" s="22">
        <f t="shared" si="58"/>
        <v>682.63811513058772</v>
      </c>
      <c r="AM82" s="62">
        <f t="shared" si="59"/>
        <v>975.97144846392098</v>
      </c>
      <c r="AN82" s="62">
        <f ca="1">AVERAGE(OFFSET($AM$3,0,0,'Données projet'!$E$10+1,1))-AVERAGE(OFFSET($H$3,0,0,'Données projet'!$E$10+1,1))</f>
        <v>564.84596170333884</v>
      </c>
      <c r="AO82" s="62">
        <f t="shared" si="90"/>
        <v>306.61893266146666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338.39999999999975</v>
      </c>
      <c r="BE82" s="14">
        <f>BD82*VLOOKUP('Données projet'!$B$11,Paramètres!$A$1:$I$89,3,0)*VLOOKUP('Données projet'!$B$11,Paramètres!$A$1:$I$89,5,0)</f>
        <v>269.23103999999984</v>
      </c>
      <c r="BF82" s="14">
        <f t="shared" si="91"/>
        <v>64.686049490098227</v>
      </c>
      <c r="BG82" s="22">
        <f t="shared" si="61"/>
        <v>581.57226419525409</v>
      </c>
      <c r="BH82" s="62">
        <f t="shared" si="62"/>
        <v>874.90559752858735</v>
      </c>
      <c r="BI82" s="62">
        <f ca="1">AVERAGE(OFFSET($BH$3,0,0,'Données projet'!$E$11+1,1))-AVERAGE(OFFSET($H$3,0,0,'Données projet'!$E$11+1,1))</f>
        <v>370.79299728190904</v>
      </c>
      <c r="BJ82" s="62">
        <f t="shared" si="92"/>
        <v>404.95703400805775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338.39999999999975</v>
      </c>
      <c r="BZ82" s="14">
        <f>BY82*VLOOKUP('Données projet'!$B$12,Paramètres!$A$1:$I$89,3,0)*VLOOKUP('Données projet'!$B$12,Paramètres!$A$1:$I$89,5,0)</f>
        <v>269.23103999999984</v>
      </c>
      <c r="CA82" s="14">
        <f t="shared" si="93"/>
        <v>64.686049490098227</v>
      </c>
      <c r="CB82" s="22">
        <f t="shared" si="64"/>
        <v>581.57226419525409</v>
      </c>
      <c r="CC82" s="62">
        <f t="shared" si="65"/>
        <v>874.90559752858735</v>
      </c>
      <c r="CD82" s="62">
        <f ca="1">AVERAGE(OFFSET($CC$3,0,0,'Données projet'!$E$12+1,1))-AVERAGE(OFFSET($H$3,0,0,'Données projet'!$E$12+1,1))</f>
        <v>370.79299728190904</v>
      </c>
      <c r="CE82" s="62">
        <f t="shared" si="94"/>
        <v>404.95703400805775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</v>
      </c>
      <c r="CT82" s="13">
        <f>IF('Données projet'!$A$140&gt;35,CT81+CS82-DB81,IF(A82&lt;'Données projet'!$A$140,$CQ$205^A82,IF(A82='Données projet'!$A$140,'Données projet'!$B$140,CT81+CS82-DB81)))</f>
        <v>281.99999999999983</v>
      </c>
      <c r="CU82" s="18">
        <f>CT82*VLOOKUP('Données projet'!$B$13,Paramètres!$A$1:$I$89,3,0)*VLOOKUP('Données projet'!$B$13,Paramètres!$A$1:$I$89,5,0)</f>
        <v>246.35519999999991</v>
      </c>
      <c r="CV82" s="14">
        <f t="shared" si="95"/>
        <v>59.804795924194437</v>
      </c>
      <c r="CW82" s="22">
        <f t="shared" si="67"/>
        <v>533.2286595679717</v>
      </c>
      <c r="CX82" s="62">
        <f t="shared" si="68"/>
        <v>826.56199290130508</v>
      </c>
      <c r="CY82" s="62">
        <f ca="1">AVERAGE(OFFSET($CX$3,0,0,'Données projet'!$E$13+1,1))-AVERAGE(OFFSET($H$3,0,0,'Données projet'!$E$13+1,1))</f>
        <v>339.58437495284466</v>
      </c>
      <c r="CZ82" s="62">
        <f t="shared" si="96"/>
        <v>371.26234252426531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3.6</v>
      </c>
      <c r="DO82" s="13">
        <f>IF('Données projet'!$A$166&gt;35,DO81+DN82-DW81,IF(A82&lt;'Données projet'!$A$166,$DL$205^A82,IF(A82='Données projet'!$A$166,'Données projet'!$B$166,DO81+DN82-DW81)))</f>
        <v>338.39999999999975</v>
      </c>
      <c r="DP82" s="18">
        <f>DO82*VLOOKUP('Données projet'!$B$14,Paramètres!$A$1:$I$89,3,0)*VLOOKUP('Données projet'!$B$14,Paramètres!$A$1:$I$89,5,0)</f>
        <v>248.1148799999998</v>
      </c>
      <c r="DQ82" s="14">
        <f t="shared" si="97"/>
        <v>60.182093124524592</v>
      </c>
      <c r="DR82" s="22">
        <f t="shared" si="70"/>
        <v>536.95056152521329</v>
      </c>
      <c r="DS82" s="62">
        <f t="shared" si="71"/>
        <v>830.28389485854655</v>
      </c>
      <c r="DT82" s="62">
        <f ca="1">AVERAGE(OFFSET($DS$3,0,0,'Données projet'!$E$14+1,1))-AVERAGE(OFFSET($H$3,0,0,'Données projet'!$E$14+1,1))</f>
        <v>344.63665697794022</v>
      </c>
      <c r="DU82" s="62">
        <f t="shared" si="98"/>
        <v>376.72762011188041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4.3589743589743648</v>
      </c>
      <c r="EJ82" s="13">
        <f>IF('Données projet'!$A$192&gt;35,EJ81+EI82-ER81,IF(A82&lt;'Données projet'!$A$192,$EG$205^A82,IF(A82='Données projet'!$A$192,'Données projet'!$B$192,EJ81+EI82-ER81)))</f>
        <v>232.82051282051273</v>
      </c>
      <c r="EK82" s="18">
        <f>EJ82*VLOOKUP('Données projet'!$B$15,Paramètres!$A$1:$I$89,3,0)*VLOOKUP('Données projet'!$B$15,Paramètres!$A$1:$I$89,5,0)</f>
        <v>221.55199999999994</v>
      </c>
      <c r="EL82" s="14">
        <f t="shared" si="99"/>
        <v>54.452067119881683</v>
      </c>
      <c r="EM82" s="22">
        <f t="shared" si="73"/>
        <v>480.70708356712709</v>
      </c>
      <c r="EN82" s="62">
        <f t="shared" si="74"/>
        <v>774.0404169004604</v>
      </c>
      <c r="EO82" s="62">
        <f ca="1">AVERAGE(OFFSET($EN$3,0,0,'Données projet'!$E$15+1,1))-AVERAGE(OFFSET($H$3,0,0,'Données projet'!$E$15+1,1))</f>
        <v>406.24139966722936</v>
      </c>
      <c r="EP82" s="62">
        <f t="shared" si="100"/>
        <v>295.95724296920577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7.2</v>
      </c>
      <c r="FE82" s="13">
        <f>IF('Données projet'!$A$218&gt;35,FE81+FD82-FM81,IF(A82&lt;'Données projet'!$A$218,$FB$205^A82,IF(A82='Données projet'!$A$218,'Données projet'!$B$218,FE81+FD82-FM81)))</f>
        <v>312.8</v>
      </c>
      <c r="FF82" s="18">
        <f>FE82*VLOOKUP('Données projet'!$B$16,Paramètres!$A$1:$I$89,3,0)*VLOOKUP('Données projet'!$B$16,Paramètres!$A$1:$I$89,5,0)</f>
        <v>302.54016000000001</v>
      </c>
      <c r="FG82" s="14">
        <f t="shared" si="101"/>
        <v>71.708716984815311</v>
      </c>
      <c r="FH82" s="22">
        <f t="shared" si="76"/>
        <v>651.81679408188654</v>
      </c>
      <c r="FI82" s="62">
        <f t="shared" si="77"/>
        <v>945.15012741521991</v>
      </c>
      <c r="FJ82" s="62">
        <f ca="1">AVERAGE(OFFSET($FI$3,0,0,'Données projet'!$E$16+1,1))-AVERAGE(OFFSET($H$3,0,0,'Données projet'!$E$16+1,1))</f>
        <v>540.83352418045502</v>
      </c>
      <c r="FK82" s="62">
        <f t="shared" si="102"/>
        <v>294.45557293177131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1.1368683772161603E-13</v>
      </c>
      <c r="GA82" s="18">
        <f>FZ82*VLOOKUP('Données projet'!$B$17,Paramètres!$A$1:$I$89,3,0)*VLOOKUP('Données projet'!$B$17,Paramètres!$A$1:$I$89,5,0)</f>
        <v>8.8675733422860506E-14</v>
      </c>
      <c r="GB82" s="14">
        <f t="shared" si="103"/>
        <v>1.3509285393066301E-12</v>
      </c>
      <c r="GC82" s="22">
        <f t="shared" si="79"/>
        <v>2.5073107750038623E-12</v>
      </c>
      <c r="GD82" s="62">
        <f t="shared" si="80"/>
        <v>293.33333333333582</v>
      </c>
      <c r="GE82" s="62">
        <f ca="1">AVERAGE(OFFSET($GD$3,0,0,'Données projet'!$E$17+1,1))-AVERAGE(OFFSET($H$3,0,0,'Données projet'!$E$17+1,1))</f>
        <v>292.57482726862594</v>
      </c>
      <c r="GF82" s="62">
        <f t="shared" si="104"/>
        <v>283.48738729114024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4.4871794871794917</v>
      </c>
      <c r="GU82" s="13">
        <f>IF('Données projet'!$A$270&gt;35,GU81+GT82-HC81,IF(A82&lt;'Données projet'!$A$270,$GR$205^A82,IF(A82='Données projet'!$A$270,'Données projet'!$B$270,GU81+GT82-HC81)))</f>
        <v>289.74358974358961</v>
      </c>
      <c r="GV82" s="18">
        <f>GU82*VLOOKUP('Données projet'!$B$18,Paramètres!$A$1:$I$89,3,0)*VLOOKUP('Données projet'!$B$18,Paramètres!$A$1:$I$89,5,0)</f>
        <v>194.35999999999993</v>
      </c>
      <c r="GW82" s="14">
        <f t="shared" si="105"/>
        <v>48.502610439386629</v>
      </c>
      <c r="GX82" s="22">
        <f t="shared" si="82"/>
        <v>422.98571318193154</v>
      </c>
      <c r="GY82" s="62">
        <f t="shared" si="83"/>
        <v>716.31904651526486</v>
      </c>
      <c r="GZ82" s="62">
        <f ca="1">AVERAGE(OFFSET($GY$3,0,0,'Données projet'!$E$18+1,1))-AVERAGE(OFFSET($H$3,0,0,'Données projet'!$E$18+1,1))</f>
        <v>343.33067866534634</v>
      </c>
      <c r="HA82" s="62">
        <f t="shared" si="106"/>
        <v>261.91036689641402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508.77990078889337</v>
      </c>
      <c r="T83" s="62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324.48</v>
      </c>
      <c r="AK83" s="14">
        <f t="shared" si="89"/>
        <v>76.284749200165578</v>
      </c>
      <c r="AL83" s="22">
        <f t="shared" si="58"/>
        <v>697.99860485695501</v>
      </c>
      <c r="AM83" s="62">
        <f t="shared" si="59"/>
        <v>991.33193819028838</v>
      </c>
      <c r="AN83" s="62">
        <f ca="1">AVERAGE(OFFSET($AM$3,0,0,'Données projet'!$E$10+1,1))-AVERAGE(OFFSET($H$3,0,0,'Données projet'!$E$10+1,1))</f>
        <v>564.84596170333884</v>
      </c>
      <c r="AO83" s="62">
        <f t="shared" si="90"/>
        <v>306.61893266146666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342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341.99999999999977</v>
      </c>
      <c r="BE83" s="14">
        <f>BD83*VLOOKUP('Données projet'!$B$11,Paramètres!$A$1:$I$89,3,0)*VLOOKUP('Données projet'!$B$11,Paramètres!$A$1:$I$89,5,0)</f>
        <v>272.09519999999981</v>
      </c>
      <c r="BF83" s="14">
        <f t="shared" si="91"/>
        <v>65.293723364568379</v>
      </c>
      <c r="BG83" s="22">
        <f t="shared" si="61"/>
        <v>587.61904152662294</v>
      </c>
      <c r="BH83" s="62">
        <f t="shared" si="62"/>
        <v>880.95237485995631</v>
      </c>
      <c r="BI83" s="62">
        <f ca="1">AVERAGE(OFFSET($BH$3,0,0,'Données projet'!$E$11+1,1))-AVERAGE(OFFSET($H$3,0,0,'Données projet'!$E$11+1,1))</f>
        <v>370.79299728190904</v>
      </c>
      <c r="BJ83" s="62">
        <f t="shared" si="92"/>
        <v>404.95703400805775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342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341.99999999999977</v>
      </c>
      <c r="BZ83" s="14">
        <f>BY83*VLOOKUP('Données projet'!$B$12,Paramètres!$A$1:$I$89,3,0)*VLOOKUP('Données projet'!$B$12,Paramètres!$A$1:$I$89,5,0)</f>
        <v>272.09519999999981</v>
      </c>
      <c r="CA83" s="14">
        <f t="shared" si="93"/>
        <v>65.293723364568379</v>
      </c>
      <c r="CB83" s="22">
        <f t="shared" si="64"/>
        <v>587.61904152662294</v>
      </c>
      <c r="CC83" s="62">
        <f t="shared" si="65"/>
        <v>880.95237485995631</v>
      </c>
      <c r="CD83" s="62">
        <f ca="1">AVERAGE(OFFSET($CC$3,0,0,'Données projet'!$E$12+1,1))-AVERAGE(OFFSET($H$3,0,0,'Données projet'!$E$12+1,1))</f>
        <v>370.79299728190904</v>
      </c>
      <c r="CE83" s="62">
        <f t="shared" si="94"/>
        <v>404.95703400805775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342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285</v>
      </c>
      <c r="CR83" s="13">
        <f>VLOOKUP(A83,'Données projet'!$A$139:$I$159,9,0)</f>
        <v>3</v>
      </c>
      <c r="CS83" s="13">
        <f t="array" ref="CS83">INDEX(CR:CR,MIN(IF(ISNUMBER(CR83:CR279),ROW(CR83:CR279),"")))</f>
        <v>3</v>
      </c>
      <c r="CT83" s="13">
        <f>IF('Données projet'!$A$140&gt;35,CT82+CS83-DB82,IF(A83&lt;'Données projet'!$A$140,$CQ$205^A83,IF(A83='Données projet'!$A$140,'Données projet'!$B$140,CT82+CS83-DB82)))</f>
        <v>284.99999999999983</v>
      </c>
      <c r="CU83" s="18">
        <f>CT83*VLOOKUP('Données projet'!$B$13,Paramètres!$A$1:$I$89,3,0)*VLOOKUP('Données projet'!$B$13,Paramètres!$A$1:$I$89,5,0)</f>
        <v>248.97599999999986</v>
      </c>
      <c r="CV83" s="14">
        <f t="shared" si="95"/>
        <v>60.366614312202735</v>
      </c>
      <c r="CW83" s="22">
        <f t="shared" si="67"/>
        <v>538.77171992708611</v>
      </c>
      <c r="CX83" s="62">
        <f t="shared" si="68"/>
        <v>832.10505326041948</v>
      </c>
      <c r="CY83" s="62">
        <f ca="1">AVERAGE(OFFSET($CX$3,0,0,'Données projet'!$E$13+1,1))-AVERAGE(OFFSET($H$3,0,0,'Données projet'!$E$13+1,1))</f>
        <v>339.58437495284466</v>
      </c>
      <c r="CZ83" s="62">
        <f t="shared" si="96"/>
        <v>371.26234252426531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285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342</v>
      </c>
      <c r="DM83" s="13">
        <f>VLOOKUP(A83,'Données projet'!$A$165:$I$185,9,0)</f>
        <v>3.6</v>
      </c>
      <c r="DN83" s="13">
        <f t="array" ref="DN83">INDEX(DM:DM,MIN(IF(ISNUMBER(DM83:DM279),ROW(DM83:DM279),"")))</f>
        <v>3.6</v>
      </c>
      <c r="DO83" s="13">
        <f>IF('Données projet'!$A$166&gt;35,DO82+DN83-DW82,IF(A83&lt;'Données projet'!$A$166,$DL$205^A83,IF(A83='Données projet'!$A$166,'Données projet'!$B$166,DO82+DN83-DW82)))</f>
        <v>341.99999999999977</v>
      </c>
      <c r="DP83" s="18">
        <f>DO83*VLOOKUP('Données projet'!$B$14,Paramètres!$A$1:$I$89,3,0)*VLOOKUP('Données projet'!$B$14,Paramètres!$A$1:$I$89,5,0)</f>
        <v>250.75439999999983</v>
      </c>
      <c r="DQ83" s="14">
        <f t="shared" si="97"/>
        <v>60.747455918990831</v>
      </c>
      <c r="DR83" s="22">
        <f t="shared" si="70"/>
        <v>542.53239905890871</v>
      </c>
      <c r="DS83" s="62">
        <f t="shared" si="71"/>
        <v>835.86573239224208</v>
      </c>
      <c r="DT83" s="62">
        <f ca="1">AVERAGE(OFFSET($DS$3,0,0,'Données projet'!$E$14+1,1))-AVERAGE(OFFSET($H$3,0,0,'Données projet'!$E$14+1,1))</f>
        <v>344.63665697794022</v>
      </c>
      <c r="DU83" s="62">
        <f t="shared" si="98"/>
        <v>376.72762011188041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342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237.17948717948718</v>
      </c>
      <c r="EH83" s="13">
        <f>VLOOKUP(A83,'Données projet'!$A$191:$I$211,9,0)</f>
        <v>4.3589743589743648</v>
      </c>
      <c r="EI83" s="13">
        <f t="array" ref="EI83">INDEX(EH:EH,MIN(IF(ISNUMBER(EH83:EH279),ROW(EH83:EH279),"")))</f>
        <v>4.3589743589743648</v>
      </c>
      <c r="EJ83" s="13">
        <f>IF('Données projet'!$A$192&gt;35,EJ82+EI83-ER82,IF(A83&lt;'Données projet'!$A$192,$EG$205^A83,IF(A83='Données projet'!$A$192,'Données projet'!$B$192,EJ82+EI83-ER82)))</f>
        <v>237.1794871794871</v>
      </c>
      <c r="EK83" s="18">
        <f>EJ83*VLOOKUP('Données projet'!$B$15,Paramètres!$A$1:$I$89,3,0)*VLOOKUP('Données projet'!$B$15,Paramètres!$A$1:$I$89,5,0)</f>
        <v>225.69999999999993</v>
      </c>
      <c r="EL83" s="14">
        <f t="shared" si="99"/>
        <v>55.351902227969966</v>
      </c>
      <c r="EM83" s="22">
        <f t="shared" si="73"/>
        <v>489.49872971371423</v>
      </c>
      <c r="EN83" s="62">
        <f t="shared" si="74"/>
        <v>782.83206304704754</v>
      </c>
      <c r="EO83" s="62">
        <f ca="1">AVERAGE(OFFSET($EN$3,0,0,'Données projet'!$E$15+1,1))-AVERAGE(OFFSET($H$3,0,0,'Données projet'!$E$15+1,1))</f>
        <v>406.24139966722936</v>
      </c>
      <c r="EP83" s="62">
        <f t="shared" si="100"/>
        <v>295.95724296920577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320</v>
      </c>
      <c r="FC83" s="13">
        <f>VLOOKUP(A83,'Données projet'!$A$217:$I$237,9,0)</f>
        <v>7.2</v>
      </c>
      <c r="FD83" s="13">
        <f t="array" ref="FD83">INDEX(FC:FC,MIN(IF(ISNUMBER(FC83:FC279),ROW(FC83:FC279),"")))</f>
        <v>7.2</v>
      </c>
      <c r="FE83" s="13">
        <f>IF('Données projet'!$A$218&gt;35,FE82+FD83-FM82,IF(A83&lt;'Données projet'!$A$218,$FB$205^A83,IF(A83='Données projet'!$A$218,'Données projet'!$B$218,FE82+FD83-FM82)))</f>
        <v>320</v>
      </c>
      <c r="FF83" s="18">
        <f>FE83*VLOOKUP('Données projet'!$B$16,Paramètres!$A$1:$I$89,3,0)*VLOOKUP('Données projet'!$B$16,Paramètres!$A$1:$I$89,5,0)</f>
        <v>309.50400000000002</v>
      </c>
      <c r="FG83" s="14">
        <f t="shared" si="101"/>
        <v>73.165235978896504</v>
      </c>
      <c r="FH83" s="22">
        <f t="shared" si="76"/>
        <v>666.48225266324471</v>
      </c>
      <c r="FI83" s="62">
        <f t="shared" si="77"/>
        <v>959.81558599657797</v>
      </c>
      <c r="FJ83" s="62">
        <f ca="1">AVERAGE(OFFSET($FI$3,0,0,'Données projet'!$E$16+1,1))-AVERAGE(OFFSET($H$3,0,0,'Données projet'!$E$16+1,1))</f>
        <v>540.83352418045502</v>
      </c>
      <c r="FK83" s="62">
        <f t="shared" si="102"/>
        <v>294.45557293177131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1.1368683772161603E-13</v>
      </c>
      <c r="GA83" s="18">
        <f>FZ83*VLOOKUP('Données projet'!$B$17,Paramètres!$A$1:$I$89,3,0)*VLOOKUP('Données projet'!$B$17,Paramètres!$A$1:$I$89,5,0)</f>
        <v>8.8675733422860506E-14</v>
      </c>
      <c r="GB83" s="14">
        <f t="shared" si="103"/>
        <v>1.3509285393066301E-12</v>
      </c>
      <c r="GC83" s="22">
        <f t="shared" si="79"/>
        <v>2.5073107750038623E-12</v>
      </c>
      <c r="GD83" s="62">
        <f t="shared" si="80"/>
        <v>293.33333333333582</v>
      </c>
      <c r="GE83" s="62">
        <f ca="1">AVERAGE(OFFSET($GD$3,0,0,'Données projet'!$E$17+1,1))-AVERAGE(OFFSET($H$3,0,0,'Données projet'!$E$17+1,1))</f>
        <v>292.57482726862594</v>
      </c>
      <c r="GF83" s="62">
        <f t="shared" si="104"/>
        <v>283.48738729114024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294.23076923076923</v>
      </c>
      <c r="GS83" s="13">
        <f>VLOOKUP(A83,'Données projet'!$A$269:$I$289,9,0)</f>
        <v>4.4871794871794917</v>
      </c>
      <c r="GT83" s="13">
        <f t="array" ref="GT83">INDEX(GS:GS,MIN(IF(ISNUMBER(GS83:GS279),ROW(GS83:GS279),"")))</f>
        <v>4.4871794871794917</v>
      </c>
      <c r="GU83" s="13">
        <f>IF('Données projet'!$A$270&gt;35,GU82+GT83-HC82,IF(A83&lt;'Données projet'!$A$270,$GR$205^A83,IF(A83='Données projet'!$A$270,'Données projet'!$B$270,GU82+GT83-HC82)))</f>
        <v>294.23076923076911</v>
      </c>
      <c r="GV83" s="18">
        <f>GU83*VLOOKUP('Données projet'!$B$18,Paramètres!$A$1:$I$89,3,0)*VLOOKUP('Données projet'!$B$18,Paramètres!$A$1:$I$89,5,0)</f>
        <v>197.36999999999992</v>
      </c>
      <c r="GW83" s="14">
        <f t="shared" si="105"/>
        <v>49.165728791231707</v>
      </c>
      <c r="GX83" s="22">
        <f t="shared" si="82"/>
        <v>429.38306097806168</v>
      </c>
      <c r="GY83" s="62">
        <f t="shared" si="83"/>
        <v>722.71639431139499</v>
      </c>
      <c r="GZ83" s="62">
        <f ca="1">AVERAGE(OFFSET($GY$3,0,0,'Données projet'!$E$18+1,1))-AVERAGE(OFFSET($H$3,0,0,'Données projet'!$E$18+1,1))</f>
        <v>343.33067866534634</v>
      </c>
      <c r="HA83" s="62">
        <f t="shared" si="106"/>
        <v>261.91036689641402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3.4</v>
      </c>
      <c r="N84" s="14">
        <f>IF('Données projet'!$A$36&gt;35,N83+M84-V83,IF(A84&lt;'Données projet'!$A$36,$K$205^A84,IF(A84='Données projet'!$A$36,'Données projet'!$B$36,N83+M84-V83)))</f>
        <v>323.39999999999998</v>
      </c>
      <c r="O84" s="14">
        <f>N84*VLOOKUP('Données projet'!$B$9,Paramètres!$A$1:$I$89,3,0)*VLOOKUP('Données projet'!$B$9,Paramètres!$A$1:$I$89,5,0)</f>
        <v>292.61231999999995</v>
      </c>
      <c r="P84" s="14">
        <f t="shared" si="87"/>
        <v>69.625481701843412</v>
      </c>
      <c r="Q84" s="22">
        <f t="shared" si="54"/>
        <v>630.8975046307105</v>
      </c>
      <c r="R84" s="62">
        <f t="shared" si="55"/>
        <v>924.23083796404376</v>
      </c>
      <c r="S84" s="62">
        <f ca="1">AVERAGE(OFFSET($R$3,0,0,'Données projet'!$E$9+1,1))-AVERAGE(OFFSET($H$3,0,0,'Données projet'!$E$9+1,1))</f>
        <v>508.77990078889337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3.4</v>
      </c>
      <c r="AI84" s="14">
        <f>IF('Données projet'!$A$62&gt;35,AI83+AH84-AQ83,IF(A84&lt;'Données projet'!$A$62,$AF$205^A84,IF(A84='Données projet'!$A$62,'Données projet'!$B$62,AI83+AH84-AQ83)))</f>
        <v>323.39999999999998</v>
      </c>
      <c r="AJ84" s="14">
        <f>AI84*VLOOKUP('Données projet'!$B$10,Paramètres!$A$1:$I$89,3,0)*VLOOKUP('Données projet'!$B$10,Paramètres!$A$1:$I$89,5,0)</f>
        <v>327.92759999999998</v>
      </c>
      <c r="AK84" s="14">
        <f t="shared" si="89"/>
        <v>77.000488370136978</v>
      </c>
      <c r="AL84" s="22">
        <f t="shared" si="58"/>
        <v>705.24975391132182</v>
      </c>
      <c r="AM84" s="62">
        <f t="shared" si="59"/>
        <v>998.58308724465519</v>
      </c>
      <c r="AN84" s="62">
        <f ca="1">AVERAGE(OFFSET($AM$3,0,0,'Données projet'!$E$10+1,1))-AVERAGE(OFFSET($H$3,0,0,'Données projet'!$E$10+1,1))</f>
        <v>564.84596170333884</v>
      </c>
      <c r="AO84" s="62">
        <f t="shared" si="90"/>
        <v>306.61893266146666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-1.8089849618263545E-13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370.79299728190904</v>
      </c>
      <c r="BJ84" s="62">
        <f t="shared" si="92"/>
        <v>404.95703400805775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projet'!$B$12,Paramètres!$A$1:$I$89,3,0)*VLOOKUP('Données projet'!$B$12,Paramètres!$A$1:$I$89,5,0)</f>
        <v>-1.8089849618263545E-13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370.79299728190904</v>
      </c>
      <c r="CE84" s="62">
        <f t="shared" si="94"/>
        <v>404.95703400805775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-1.7053025658242404E-13</v>
      </c>
      <c r="CU84" s="18">
        <f>CT84*VLOOKUP('Données projet'!$B$13,Paramètres!$A$1:$I$89,3,0)*VLOOKUP('Données projet'!$B$13,Paramètres!$A$1:$I$89,5,0)</f>
        <v>-1.4897523215040567E-13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339.58437495284466</v>
      </c>
      <c r="CZ84" s="62">
        <f t="shared" si="96"/>
        <v>371.26234252426531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-2.2737367544323206E-13</v>
      </c>
      <c r="DP84" s="18">
        <f>DO84*VLOOKUP('Données projet'!$B$14,Paramètres!$A$1:$I$89,3,0)*VLOOKUP('Données projet'!$B$14,Paramètres!$A$1:$I$89,5,0)</f>
        <v>-1.6671037883497774E-13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344.63665697794022</v>
      </c>
      <c r="DU84" s="62">
        <f t="shared" si="98"/>
        <v>376.72762011188041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4.2307692307692264</v>
      </c>
      <c r="EJ84" s="13">
        <f>IF('Données projet'!$A$192&gt;35,EJ83+EI84-ER83,IF(A84&lt;'Données projet'!$A$192,$EG$205^A84,IF(A84='Données projet'!$A$192,'Données projet'!$B$192,EJ83+EI84-ER83)))</f>
        <v>241.41025641025632</v>
      </c>
      <c r="EK84" s="18">
        <f>EJ84*VLOOKUP('Données projet'!$B$15,Paramètres!$A$1:$I$89,3,0)*VLOOKUP('Données projet'!$B$15,Paramètres!$A$1:$I$89,5,0)</f>
        <v>229.72599999999991</v>
      </c>
      <c r="EL84" s="14">
        <f t="shared" si="99"/>
        <v>56.223432215495727</v>
      </c>
      <c r="EM84" s="22">
        <f t="shared" si="73"/>
        <v>498.02859444198822</v>
      </c>
      <c r="EN84" s="62">
        <f t="shared" si="74"/>
        <v>791.36192777532153</v>
      </c>
      <c r="EO84" s="62">
        <f ca="1">AVERAGE(OFFSET($EN$3,0,0,'Données projet'!$E$15+1,1))-AVERAGE(OFFSET($H$3,0,0,'Données projet'!$E$15+1,1))</f>
        <v>406.24139966722936</v>
      </c>
      <c r="EP84" s="62">
        <f t="shared" si="100"/>
        <v>295.95724296920577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3.4</v>
      </c>
      <c r="FE84" s="13">
        <f>IF('Données projet'!$A$218&gt;35,FE83+FD84-FM83,IF(A84&lt;'Données projet'!$A$218,$FB$205^A84,IF(A84='Données projet'!$A$218,'Données projet'!$B$218,FE83+FD84-FM83)))</f>
        <v>323.39999999999998</v>
      </c>
      <c r="FF84" s="18">
        <f>FE84*VLOOKUP('Données projet'!$B$16,Paramètres!$A$1:$I$89,3,0)*VLOOKUP('Données projet'!$B$16,Paramètres!$A$1:$I$89,5,0)</f>
        <v>312.79247999999995</v>
      </c>
      <c r="FG84" s="14">
        <f t="shared" si="101"/>
        <v>73.8517064178684</v>
      </c>
      <c r="FH84" s="22">
        <f t="shared" si="76"/>
        <v>673.40529134445399</v>
      </c>
      <c r="FI84" s="62">
        <f t="shared" si="77"/>
        <v>966.73862467778736</v>
      </c>
      <c r="FJ84" s="62">
        <f ca="1">AVERAGE(OFFSET($FI$3,0,0,'Données projet'!$E$16+1,1))-AVERAGE(OFFSET($H$3,0,0,'Données projet'!$E$16+1,1))</f>
        <v>540.83352418045502</v>
      </c>
      <c r="FK84" s="62">
        <f t="shared" si="102"/>
        <v>294.45557293177131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1.1368683772161603E-13</v>
      </c>
      <c r="GA84" s="18">
        <f>FZ84*VLOOKUP('Données projet'!$B$17,Paramètres!$A$1:$I$89,3,0)*VLOOKUP('Données projet'!$B$17,Paramètres!$A$1:$I$89,5,0)</f>
        <v>8.8675733422860506E-14</v>
      </c>
      <c r="GB84" s="14">
        <f t="shared" si="103"/>
        <v>1.3509285393066301E-12</v>
      </c>
      <c r="GC84" s="22">
        <f t="shared" si="79"/>
        <v>2.5073107750038623E-12</v>
      </c>
      <c r="GD84" s="62">
        <f t="shared" si="80"/>
        <v>293.33333333333582</v>
      </c>
      <c r="GE84" s="62">
        <f ca="1">AVERAGE(OFFSET($GD$3,0,0,'Données projet'!$E$17+1,1))-AVERAGE(OFFSET($H$3,0,0,'Données projet'!$E$17+1,1))</f>
        <v>292.57482726862594</v>
      </c>
      <c r="GF84" s="62">
        <f t="shared" si="104"/>
        <v>283.48738729114024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4.4871794871794801</v>
      </c>
      <c r="GU84" s="13">
        <f>IF('Données projet'!$A$270&gt;35,GU83+GT84-HC83,IF(A84&lt;'Données projet'!$A$270,$GR$205^A84,IF(A84='Données projet'!$A$270,'Données projet'!$B$270,GU83+GT84-HC83)))</f>
        <v>298.71794871794862</v>
      </c>
      <c r="GV84" s="18">
        <f>GU84*VLOOKUP('Données projet'!$B$18,Paramètres!$A$1:$I$89,3,0)*VLOOKUP('Données projet'!$B$18,Paramètres!$A$1:$I$89,5,0)</f>
        <v>200.37999999999994</v>
      </c>
      <c r="GW84" s="14">
        <f t="shared" si="105"/>
        <v>49.827670995638123</v>
      </c>
      <c r="GX84" s="22">
        <f t="shared" si="82"/>
        <v>435.77836031740293</v>
      </c>
      <c r="GY84" s="62">
        <f t="shared" si="83"/>
        <v>729.11169365073624</v>
      </c>
      <c r="GZ84" s="62">
        <f ca="1">AVERAGE(OFFSET($GY$3,0,0,'Données projet'!$E$18+1,1))-AVERAGE(OFFSET($H$3,0,0,'Données projet'!$E$18+1,1))</f>
        <v>343.33067866534634</v>
      </c>
      <c r="HA84" s="62">
        <f t="shared" si="106"/>
        <v>261.91036689641402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3.4</v>
      </c>
      <c r="N85" s="14">
        <f>IF('Données projet'!$A$36&gt;35,N84+M85-V84,IF(A85&lt;'Données projet'!$A$36,$K$205^A85,IF(A85='Données projet'!$A$36,'Données projet'!$B$36,N84+M85-V84)))</f>
        <v>326.79999999999995</v>
      </c>
      <c r="O85" s="14">
        <f>N85*VLOOKUP('Données projet'!$B$9,Paramètres!$A$1:$I$89,3,0)*VLOOKUP('Données projet'!$B$9,Paramètres!$A$1:$I$89,5,0)</f>
        <v>295.68863999999996</v>
      </c>
      <c r="P85" s="14">
        <f t="shared" si="87"/>
        <v>70.271876780519747</v>
      </c>
      <c r="Q85" s="22">
        <f t="shared" si="54"/>
        <v>637.38123339273841</v>
      </c>
      <c r="R85" s="62">
        <f t="shared" si="55"/>
        <v>930.71456672607178</v>
      </c>
      <c r="S85" s="62">
        <f ca="1">AVERAGE(OFFSET($R$3,0,0,'Données projet'!$E$9+1,1))-AVERAGE(OFFSET($H$3,0,0,'Données projet'!$E$9+1,1))</f>
        <v>508.77990078889337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3.4</v>
      </c>
      <c r="AI85" s="14">
        <f>IF('Données projet'!$A$62&gt;35,AI84+AH85-AQ84,IF(A85&lt;'Données projet'!$A$62,$AF$205^A85,IF(A85='Données projet'!$A$62,'Données projet'!$B$62,AI84+AH85-AQ84)))</f>
        <v>326.79999999999995</v>
      </c>
      <c r="AJ85" s="14">
        <f>AI85*VLOOKUP('Données projet'!$B$10,Paramètres!$A$1:$I$89,3,0)*VLOOKUP('Données projet'!$B$10,Paramètres!$A$1:$I$89,5,0)</f>
        <v>331.37520000000001</v>
      </c>
      <c r="AK85" s="14">
        <f t="shared" si="89"/>
        <v>77.715352174616896</v>
      </c>
      <c r="AL85" s="22">
        <f t="shared" si="58"/>
        <v>712.49937837079108</v>
      </c>
      <c r="AM85" s="62">
        <f t="shared" si="59"/>
        <v>1005.8327117041244</v>
      </c>
      <c r="AN85" s="62">
        <f ca="1">AVERAGE(OFFSET($AM$3,0,0,'Données projet'!$E$10+1,1))-AVERAGE(OFFSET($H$3,0,0,'Données projet'!$E$10+1,1))</f>
        <v>564.84596170333884</v>
      </c>
      <c r="AO85" s="62">
        <f t="shared" si="90"/>
        <v>306.61893266146666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-1.8089849618263545E-13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370.79299728190904</v>
      </c>
      <c r="BJ85" s="62">
        <f t="shared" si="92"/>
        <v>404.95703400805775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projet'!$B$12,Paramètres!$A$1:$I$89,3,0)*VLOOKUP('Données projet'!$B$12,Paramètres!$A$1:$I$89,5,0)</f>
        <v>-1.8089849618263545E-13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370.79299728190904</v>
      </c>
      <c r="CE85" s="62">
        <f t="shared" si="94"/>
        <v>404.95703400805775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-1.7053025658242404E-13</v>
      </c>
      <c r="CU85" s="18">
        <f>CT85*VLOOKUP('Données projet'!$B$13,Paramètres!$A$1:$I$89,3,0)*VLOOKUP('Données projet'!$B$13,Paramètres!$A$1:$I$89,5,0)</f>
        <v>-1.4897523215040567E-13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339.58437495284466</v>
      </c>
      <c r="CZ85" s="62">
        <f t="shared" si="96"/>
        <v>371.26234252426531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-2.2737367544323206E-13</v>
      </c>
      <c r="DP85" s="18">
        <f>DO85*VLOOKUP('Données projet'!$B$14,Paramètres!$A$1:$I$89,3,0)*VLOOKUP('Données projet'!$B$14,Paramètres!$A$1:$I$89,5,0)</f>
        <v>-1.6671037883497774E-13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344.63665697794022</v>
      </c>
      <c r="DU85" s="62">
        <f t="shared" si="98"/>
        <v>376.72762011188041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4.2307692307692264</v>
      </c>
      <c r="EJ85" s="13">
        <f>IF('Données projet'!$A$192&gt;35,EJ84+EI85-ER84,IF(A85&lt;'Données projet'!$A$192,$EG$205^A85,IF(A85='Données projet'!$A$192,'Données projet'!$B$192,EJ84+EI85-ER84)))</f>
        <v>245.64102564102555</v>
      </c>
      <c r="EK85" s="18">
        <f>EJ85*VLOOKUP('Données projet'!$B$15,Paramètres!$A$1:$I$89,3,0)*VLOOKUP('Données projet'!$B$15,Paramètres!$A$1:$I$89,5,0)</f>
        <v>233.75199999999992</v>
      </c>
      <c r="EL85" s="14">
        <f t="shared" si="99"/>
        <v>57.093186053402</v>
      </c>
      <c r="EM85" s="22">
        <f t="shared" si="73"/>
        <v>506.55536570967496</v>
      </c>
      <c r="EN85" s="62">
        <f t="shared" si="74"/>
        <v>799.88869904300827</v>
      </c>
      <c r="EO85" s="62">
        <f ca="1">AVERAGE(OFFSET($EN$3,0,0,'Données projet'!$E$15+1,1))-AVERAGE(OFFSET($H$3,0,0,'Données projet'!$E$15+1,1))</f>
        <v>406.24139966722936</v>
      </c>
      <c r="EP85" s="62">
        <f t="shared" si="100"/>
        <v>295.95724296920577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3.4</v>
      </c>
      <c r="FE85" s="13">
        <f>IF('Données projet'!$A$218&gt;35,FE84+FD85-FM84,IF(A85&lt;'Données projet'!$A$218,$FB$205^A85,IF(A85='Données projet'!$A$218,'Données projet'!$B$218,FE84+FD85-FM84)))</f>
        <v>326.79999999999995</v>
      </c>
      <c r="FF85" s="18">
        <f>FE85*VLOOKUP('Données projet'!$B$16,Paramètres!$A$1:$I$89,3,0)*VLOOKUP('Données projet'!$B$16,Paramètres!$A$1:$I$89,5,0)</f>
        <v>316.08095999999995</v>
      </c>
      <c r="FG85" s="14">
        <f t="shared" si="101"/>
        <v>74.537337287681041</v>
      </c>
      <c r="FH85" s="22">
        <f t="shared" si="76"/>
        <v>680.32686777604442</v>
      </c>
      <c r="FI85" s="62">
        <f t="shared" si="77"/>
        <v>973.66020110937779</v>
      </c>
      <c r="FJ85" s="62">
        <f ca="1">AVERAGE(OFFSET($FI$3,0,0,'Données projet'!$E$16+1,1))-AVERAGE(OFFSET($H$3,0,0,'Données projet'!$E$16+1,1))</f>
        <v>540.83352418045502</v>
      </c>
      <c r="FK85" s="62">
        <f t="shared" si="102"/>
        <v>294.45557293177131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1.1368683772161603E-13</v>
      </c>
      <c r="GA85" s="18">
        <f>FZ85*VLOOKUP('Données projet'!$B$17,Paramètres!$A$1:$I$89,3,0)*VLOOKUP('Données projet'!$B$17,Paramètres!$A$1:$I$89,5,0)</f>
        <v>8.8675733422860506E-14</v>
      </c>
      <c r="GB85" s="14">
        <f t="shared" si="103"/>
        <v>1.3509285393066301E-12</v>
      </c>
      <c r="GC85" s="22">
        <f t="shared" si="79"/>
        <v>2.5073107750038623E-12</v>
      </c>
      <c r="GD85" s="62">
        <f t="shared" si="80"/>
        <v>293.33333333333582</v>
      </c>
      <c r="GE85" s="62">
        <f ca="1">AVERAGE(OFFSET($GD$3,0,0,'Données projet'!$E$17+1,1))-AVERAGE(OFFSET($H$3,0,0,'Données projet'!$E$17+1,1))</f>
        <v>292.57482726862594</v>
      </c>
      <c r="GF85" s="62">
        <f t="shared" si="104"/>
        <v>283.48738729114024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4.4871794871794801</v>
      </c>
      <c r="GU85" s="13">
        <f>IF('Données projet'!$A$270&gt;35,GU84+GT85-HC84,IF(A85&lt;'Données projet'!$A$270,$GR$205^A85,IF(A85='Données projet'!$A$270,'Données projet'!$B$270,GU84+GT85-HC84)))</f>
        <v>303.20512820512812</v>
      </c>
      <c r="GV85" s="18">
        <f>GU85*VLOOKUP('Données projet'!$B$18,Paramètres!$A$1:$I$89,3,0)*VLOOKUP('Données projet'!$B$18,Paramètres!$A$1:$I$89,5,0)</f>
        <v>203.38999999999993</v>
      </c>
      <c r="GW85" s="14">
        <f t="shared" si="105"/>
        <v>50.488456760806621</v>
      </c>
      <c r="GX85" s="22">
        <f t="shared" si="82"/>
        <v>442.17164552507137</v>
      </c>
      <c r="GY85" s="62">
        <f t="shared" si="83"/>
        <v>735.50497885840468</v>
      </c>
      <c r="GZ85" s="62">
        <f ca="1">AVERAGE(OFFSET($GY$3,0,0,'Données projet'!$E$18+1,1))-AVERAGE(OFFSET($H$3,0,0,'Données projet'!$E$18+1,1))</f>
        <v>343.33067866534634</v>
      </c>
      <c r="HA85" s="62">
        <f t="shared" si="106"/>
        <v>261.91036689641402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3.4</v>
      </c>
      <c r="N86" s="14">
        <f>IF('Données projet'!$A$36&gt;35,N85+M86-V85,IF(A86&lt;'Données projet'!$A$36,$K$205^A86,IF(A86='Données projet'!$A$36,'Données projet'!$B$36,N85+M86-V85)))</f>
        <v>330.19999999999993</v>
      </c>
      <c r="O86" s="14">
        <f>N86*VLOOKUP('Données projet'!$B$9,Paramètres!$A$1:$I$89,3,0)*VLOOKUP('Données projet'!$B$9,Paramètres!$A$1:$I$89,5,0)</f>
        <v>298.76495999999992</v>
      </c>
      <c r="P86" s="14">
        <f t="shared" si="87"/>
        <v>70.917489523341317</v>
      </c>
      <c r="Q86" s="22">
        <f t="shared" si="54"/>
        <v>643.86359958648598</v>
      </c>
      <c r="R86" s="62">
        <f t="shared" si="55"/>
        <v>937.19693291981935</v>
      </c>
      <c r="S86" s="62">
        <f ca="1">AVERAGE(OFFSET($R$3,0,0,'Données projet'!$E$9+1,1))-AVERAGE(OFFSET($H$3,0,0,'Données projet'!$E$9+1,1))</f>
        <v>508.77990078889337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3.4</v>
      </c>
      <c r="AI86" s="14">
        <f>IF('Données projet'!$A$62&gt;35,AI85+AH86-AQ85,IF(A86&lt;'Données projet'!$A$62,$AF$205^A86,IF(A86='Données projet'!$A$62,'Données projet'!$B$62,AI85+AH86-AQ85)))</f>
        <v>330.19999999999993</v>
      </c>
      <c r="AJ86" s="14">
        <f>AI86*VLOOKUP('Données projet'!$B$10,Paramètres!$A$1:$I$89,3,0)*VLOOKUP('Données projet'!$B$10,Paramètres!$A$1:$I$89,5,0)</f>
        <v>334.82279999999997</v>
      </c>
      <c r="AK86" s="14">
        <f t="shared" si="89"/>
        <v>78.429350775131127</v>
      </c>
      <c r="AL86" s="22">
        <f t="shared" si="58"/>
        <v>719.74749593335343</v>
      </c>
      <c r="AM86" s="62">
        <f t="shared" si="59"/>
        <v>1013.0808292666868</v>
      </c>
      <c r="AN86" s="62">
        <f ca="1">AVERAGE(OFFSET($AM$3,0,0,'Données projet'!$E$10+1,1))-AVERAGE(OFFSET($H$3,0,0,'Données projet'!$E$10+1,1))</f>
        <v>564.84596170333884</v>
      </c>
      <c r="AO86" s="62">
        <f t="shared" si="90"/>
        <v>306.61893266146666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-1.8089849618263545E-13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370.79299728190904</v>
      </c>
      <c r="BJ86" s="62">
        <f t="shared" si="92"/>
        <v>404.95703400805775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projet'!$B$12,Paramètres!$A$1:$I$89,3,0)*VLOOKUP('Données projet'!$B$12,Paramètres!$A$1:$I$89,5,0)</f>
        <v>-1.8089849618263545E-13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370.79299728190904</v>
      </c>
      <c r="CE86" s="62">
        <f t="shared" si="94"/>
        <v>404.95703400805775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-1.7053025658242404E-13</v>
      </c>
      <c r="CU86" s="18">
        <f>CT86*VLOOKUP('Données projet'!$B$13,Paramètres!$A$1:$I$89,3,0)*VLOOKUP('Données projet'!$B$13,Paramètres!$A$1:$I$89,5,0)</f>
        <v>-1.4897523215040567E-13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339.58437495284466</v>
      </c>
      <c r="CZ86" s="62">
        <f t="shared" si="96"/>
        <v>371.26234252426531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-2.2737367544323206E-13</v>
      </c>
      <c r="DP86" s="18">
        <f>DO86*VLOOKUP('Données projet'!$B$14,Paramètres!$A$1:$I$89,3,0)*VLOOKUP('Données projet'!$B$14,Paramètres!$A$1:$I$89,5,0)</f>
        <v>-1.6671037883497774E-13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344.63665697794022</v>
      </c>
      <c r="DU86" s="62">
        <f t="shared" si="98"/>
        <v>376.72762011188041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4.2307692307692264</v>
      </c>
      <c r="EJ86" s="13">
        <f>IF('Données projet'!$A$192&gt;35,EJ85+EI86-ER85,IF(A86&lt;'Données projet'!$A$192,$EG$205^A86,IF(A86='Données projet'!$A$192,'Données projet'!$B$192,EJ85+EI86-ER85)))</f>
        <v>249.87179487179478</v>
      </c>
      <c r="EK86" s="18">
        <f>EJ86*VLOOKUP('Données projet'!$B$15,Paramètres!$A$1:$I$89,3,0)*VLOOKUP('Données projet'!$B$15,Paramètres!$A$1:$I$89,5,0)</f>
        <v>237.77799999999993</v>
      </c>
      <c r="EL86" s="14">
        <f t="shared" si="99"/>
        <v>57.961197863009076</v>
      </c>
      <c r="EM86" s="22">
        <f t="shared" si="73"/>
        <v>515.07910294474061</v>
      </c>
      <c r="EN86" s="62">
        <f t="shared" si="74"/>
        <v>808.41243627807398</v>
      </c>
      <c r="EO86" s="62">
        <f ca="1">AVERAGE(OFFSET($EN$3,0,0,'Données projet'!$E$15+1,1))-AVERAGE(OFFSET($H$3,0,0,'Données projet'!$E$15+1,1))</f>
        <v>406.24139966722936</v>
      </c>
      <c r="EP86" s="62">
        <f t="shared" si="100"/>
        <v>295.95724296920577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3.4</v>
      </c>
      <c r="FE86" s="13">
        <f>IF('Données projet'!$A$218&gt;35,FE85+FD86-FM85,IF(A86&lt;'Données projet'!$A$218,$FB$205^A86,IF(A86='Données projet'!$A$218,'Données projet'!$B$218,FE85+FD86-FM85)))</f>
        <v>330.19999999999993</v>
      </c>
      <c r="FF86" s="18">
        <f>FE86*VLOOKUP('Données projet'!$B$16,Paramètres!$A$1:$I$89,3,0)*VLOOKUP('Données projet'!$B$16,Paramètres!$A$1:$I$89,5,0)</f>
        <v>319.36943999999994</v>
      </c>
      <c r="FG86" s="14">
        <f t="shared" si="101"/>
        <v>75.222138334324669</v>
      </c>
      <c r="FH86" s="22">
        <f t="shared" si="76"/>
        <v>687.24699893228205</v>
      </c>
      <c r="FI86" s="62">
        <f t="shared" si="77"/>
        <v>980.58033226561543</v>
      </c>
      <c r="FJ86" s="62">
        <f ca="1">AVERAGE(OFFSET($FI$3,0,0,'Données projet'!$E$16+1,1))-AVERAGE(OFFSET($H$3,0,0,'Données projet'!$E$16+1,1))</f>
        <v>540.83352418045502</v>
      </c>
      <c r="FK86" s="62">
        <f t="shared" si="102"/>
        <v>294.45557293177131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1.1368683772161603E-13</v>
      </c>
      <c r="GA86" s="18">
        <f>FZ86*VLOOKUP('Données projet'!$B$17,Paramètres!$A$1:$I$89,3,0)*VLOOKUP('Données projet'!$B$17,Paramètres!$A$1:$I$89,5,0)</f>
        <v>8.8675733422860506E-14</v>
      </c>
      <c r="GB86" s="14">
        <f t="shared" si="103"/>
        <v>1.3509285393066301E-12</v>
      </c>
      <c r="GC86" s="22">
        <f t="shared" si="79"/>
        <v>2.5073107750038623E-12</v>
      </c>
      <c r="GD86" s="62">
        <f t="shared" si="80"/>
        <v>293.33333333333582</v>
      </c>
      <c r="GE86" s="62">
        <f ca="1">AVERAGE(OFFSET($GD$3,0,0,'Données projet'!$E$17+1,1))-AVERAGE(OFFSET($H$3,0,0,'Données projet'!$E$17+1,1))</f>
        <v>292.57482726862594</v>
      </c>
      <c r="GF86" s="62">
        <f t="shared" si="104"/>
        <v>283.48738729114024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4.4871794871794801</v>
      </c>
      <c r="GU86" s="13">
        <f>IF('Données projet'!$A$270&gt;35,GU85+GT86-HC85,IF(A86&lt;'Données projet'!$A$270,$GR$205^A86,IF(A86='Données projet'!$A$270,'Données projet'!$B$270,GU85+GT86-HC85)))</f>
        <v>307.69230769230762</v>
      </c>
      <c r="GV86" s="18">
        <f>GU86*VLOOKUP('Données projet'!$B$18,Paramètres!$A$1:$I$89,3,0)*VLOOKUP('Données projet'!$B$18,Paramètres!$A$1:$I$89,5,0)</f>
        <v>206.39999999999995</v>
      </c>
      <c r="GW86" s="14">
        <f t="shared" si="105"/>
        <v>51.148105178123217</v>
      </c>
      <c r="GX86" s="22">
        <f t="shared" si="82"/>
        <v>448.56294985189771</v>
      </c>
      <c r="GY86" s="62">
        <f t="shared" si="83"/>
        <v>741.89628318523103</v>
      </c>
      <c r="GZ86" s="62">
        <f ca="1">AVERAGE(OFFSET($GY$3,0,0,'Données projet'!$E$18+1,1))-AVERAGE(OFFSET($H$3,0,0,'Données projet'!$E$18+1,1))</f>
        <v>343.33067866534634</v>
      </c>
      <c r="HA86" s="62">
        <f t="shared" si="106"/>
        <v>261.91036689641402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3.4</v>
      </c>
      <c r="N87" s="14">
        <f>IF('Données projet'!$A$36&gt;35,N86+M87-V86,IF(A87&lt;'Données projet'!$A$36,$K$205^A87,IF(A87='Données projet'!$A$36,'Données projet'!$B$36,N86+M87-V86)))</f>
        <v>333.59999999999991</v>
      </c>
      <c r="O87" s="14">
        <f>N87*VLOOKUP('Données projet'!$B$9,Paramètres!$A$1:$I$89,3,0)*VLOOKUP('Données projet'!$B$9,Paramètres!$A$1:$I$89,5,0)</f>
        <v>301.84127999999993</v>
      </c>
      <c r="P87" s="14">
        <f t="shared" si="87"/>
        <v>71.562328918453616</v>
      </c>
      <c r="Q87" s="22">
        <f t="shared" si="54"/>
        <v>650.34461886630652</v>
      </c>
      <c r="R87" s="62">
        <f t="shared" si="55"/>
        <v>943.67795219963978</v>
      </c>
      <c r="S87" s="62">
        <f ca="1">AVERAGE(OFFSET($R$3,0,0,'Données projet'!$E$9+1,1))-AVERAGE(OFFSET($H$3,0,0,'Données projet'!$E$9+1,1))</f>
        <v>508.77990078889337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3.4</v>
      </c>
      <c r="AI87" s="14">
        <f>IF('Données projet'!$A$62&gt;35,AI86+AH87-AQ86,IF(A87&lt;'Données projet'!$A$62,$AF$205^A87,IF(A87='Données projet'!$A$62,'Données projet'!$B$62,AI86+AH87-AQ86)))</f>
        <v>333.59999999999991</v>
      </c>
      <c r="AJ87" s="14">
        <f>AI87*VLOOKUP('Données projet'!$B$10,Paramètres!$A$1:$I$89,3,0)*VLOOKUP('Données projet'!$B$10,Paramètres!$A$1:$I$89,5,0)</f>
        <v>338.27039999999994</v>
      </c>
      <c r="AK87" s="14">
        <f t="shared" si="89"/>
        <v>79.142494111885014</v>
      </c>
      <c r="AL87" s="22">
        <f t="shared" si="58"/>
        <v>726.99412391153294</v>
      </c>
      <c r="AM87" s="62">
        <f t="shared" si="59"/>
        <v>1020.3274572448663</v>
      </c>
      <c r="AN87" s="62">
        <f ca="1">AVERAGE(OFFSET($AM$3,0,0,'Données projet'!$E$10+1,1))-AVERAGE(OFFSET($H$3,0,0,'Données projet'!$E$10+1,1))</f>
        <v>564.84596170333884</v>
      </c>
      <c r="AO87" s="62">
        <f t="shared" si="90"/>
        <v>306.61893266146666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-1.8089849618263545E-13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370.79299728190904</v>
      </c>
      <c r="BJ87" s="62">
        <f t="shared" si="92"/>
        <v>404.95703400805775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projet'!$B$12,Paramètres!$A$1:$I$89,3,0)*VLOOKUP('Données projet'!$B$12,Paramètres!$A$1:$I$89,5,0)</f>
        <v>-1.8089849618263545E-13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370.79299728190904</v>
      </c>
      <c r="CE87" s="62">
        <f t="shared" si="94"/>
        <v>404.95703400805775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-1.7053025658242404E-13</v>
      </c>
      <c r="CU87" s="18">
        <f>CT87*VLOOKUP('Données projet'!$B$13,Paramètres!$A$1:$I$89,3,0)*VLOOKUP('Données projet'!$B$13,Paramètres!$A$1:$I$89,5,0)</f>
        <v>-1.4897523215040567E-13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339.58437495284466</v>
      </c>
      <c r="CZ87" s="62">
        <f t="shared" si="96"/>
        <v>371.26234252426531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-2.2737367544323206E-13</v>
      </c>
      <c r="DP87" s="18">
        <f>DO87*VLOOKUP('Données projet'!$B$14,Paramètres!$A$1:$I$89,3,0)*VLOOKUP('Données projet'!$B$14,Paramètres!$A$1:$I$89,5,0)</f>
        <v>-1.6671037883497774E-13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344.63665697794022</v>
      </c>
      <c r="DU87" s="62">
        <f t="shared" si="98"/>
        <v>376.72762011188041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4.2307692307692264</v>
      </c>
      <c r="EJ87" s="13">
        <f>IF('Données projet'!$A$192&gt;35,EJ86+EI87-ER86,IF(A87&lt;'Données projet'!$A$192,$EG$205^A87,IF(A87='Données projet'!$A$192,'Données projet'!$B$192,EJ86+EI87-ER86)))</f>
        <v>254.102564102564</v>
      </c>
      <c r="EK87" s="18">
        <f>EJ87*VLOOKUP('Données projet'!$B$15,Paramètres!$A$1:$I$89,3,0)*VLOOKUP('Données projet'!$B$15,Paramètres!$A$1:$I$89,5,0)</f>
        <v>241.80399999999992</v>
      </c>
      <c r="EL87" s="14">
        <f t="shared" si="99"/>
        <v>58.827500543950599</v>
      </c>
      <c r="EM87" s="22">
        <f t="shared" si="73"/>
        <v>523.59986344738036</v>
      </c>
      <c r="EN87" s="62">
        <f t="shared" si="74"/>
        <v>816.93319678071362</v>
      </c>
      <c r="EO87" s="62">
        <f ca="1">AVERAGE(OFFSET($EN$3,0,0,'Données projet'!$E$15+1,1))-AVERAGE(OFFSET($H$3,0,0,'Données projet'!$E$15+1,1))</f>
        <v>406.24139966722936</v>
      </c>
      <c r="EP87" s="62">
        <f t="shared" si="100"/>
        <v>295.95724296920577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3.4</v>
      </c>
      <c r="FE87" s="13">
        <f>IF('Données projet'!$A$218&gt;35,FE86+FD87-FM86,IF(A87&lt;'Données projet'!$A$218,$FB$205^A87,IF(A87='Données projet'!$A$218,'Données projet'!$B$218,FE86+FD87-FM86)))</f>
        <v>333.59999999999991</v>
      </c>
      <c r="FF87" s="18">
        <f>FE87*VLOOKUP('Données projet'!$B$16,Paramètres!$A$1:$I$89,3,0)*VLOOKUP('Données projet'!$B$16,Paramètres!$A$1:$I$89,5,0)</f>
        <v>322.65791999999993</v>
      </c>
      <c r="FG87" s="14">
        <f t="shared" si="101"/>
        <v>75.906119091519898</v>
      </c>
      <c r="FH87" s="22">
        <f t="shared" si="76"/>
        <v>694.16570141773025</v>
      </c>
      <c r="FI87" s="62">
        <f t="shared" si="77"/>
        <v>987.49903475106362</v>
      </c>
      <c r="FJ87" s="62">
        <f ca="1">AVERAGE(OFFSET($FI$3,0,0,'Données projet'!$E$16+1,1))-AVERAGE(OFFSET($H$3,0,0,'Données projet'!$E$16+1,1))</f>
        <v>540.83352418045502</v>
      </c>
      <c r="FK87" s="62">
        <f t="shared" si="102"/>
        <v>294.45557293177131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1.1368683772161603E-13</v>
      </c>
      <c r="GA87" s="18">
        <f>FZ87*VLOOKUP('Données projet'!$B$17,Paramètres!$A$1:$I$89,3,0)*VLOOKUP('Données projet'!$B$17,Paramètres!$A$1:$I$89,5,0)</f>
        <v>8.8675733422860506E-14</v>
      </c>
      <c r="GB87" s="14">
        <f t="shared" si="103"/>
        <v>1.3509285393066301E-12</v>
      </c>
      <c r="GC87" s="22">
        <f t="shared" si="79"/>
        <v>2.5073107750038623E-12</v>
      </c>
      <c r="GD87" s="62">
        <f t="shared" si="80"/>
        <v>293.33333333333582</v>
      </c>
      <c r="GE87" s="62">
        <f ca="1">AVERAGE(OFFSET($GD$3,0,0,'Données projet'!$E$17+1,1))-AVERAGE(OFFSET($H$3,0,0,'Données projet'!$E$17+1,1))</f>
        <v>292.57482726862594</v>
      </c>
      <c r="GF87" s="62">
        <f t="shared" si="104"/>
        <v>283.48738729114024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4.4871794871794801</v>
      </c>
      <c r="GU87" s="13">
        <f>IF('Données projet'!$A$270&gt;35,GU86+GT87-HC86,IF(A87&lt;'Données projet'!$A$270,$GR$205^A87,IF(A87='Données projet'!$A$270,'Données projet'!$B$270,GU86+GT87-HC86)))</f>
        <v>312.17948717948713</v>
      </c>
      <c r="GV87" s="18">
        <f>GU87*VLOOKUP('Données projet'!$B$18,Paramètres!$A$1:$I$89,3,0)*VLOOKUP('Données projet'!$B$18,Paramètres!$A$1:$I$89,5,0)</f>
        <v>209.41</v>
      </c>
      <c r="GW87" s="14">
        <f t="shared" si="105"/>
        <v>51.806634750171533</v>
      </c>
      <c r="GX87" s="22">
        <f t="shared" si="82"/>
        <v>454.95230552321544</v>
      </c>
      <c r="GY87" s="62">
        <f t="shared" si="83"/>
        <v>748.28563885654876</v>
      </c>
      <c r="GZ87" s="62">
        <f ca="1">AVERAGE(OFFSET($GY$3,0,0,'Données projet'!$E$18+1,1))-AVERAGE(OFFSET($H$3,0,0,'Données projet'!$E$18+1,1))</f>
        <v>343.33067866534634</v>
      </c>
      <c r="HA87" s="62">
        <f t="shared" si="106"/>
        <v>261.91036689641402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3.4</v>
      </c>
      <c r="N88" s="14">
        <f>IF('Données projet'!$A$36&gt;35,N87+M88-V87,IF(A88&lt;'Données projet'!$A$36,$K$205^A88,IF(A88='Données projet'!$A$36,'Données projet'!$B$36,N87+M88-V87)))</f>
        <v>336.99999999999989</v>
      </c>
      <c r="O88" s="14">
        <f>N88*VLOOKUP('Données projet'!$B$9,Paramètres!$A$1:$I$89,3,0)*VLOOKUP('Données projet'!$B$9,Paramètres!$A$1:$I$89,5,0)</f>
        <v>304.91759999999988</v>
      </c>
      <c r="P88" s="14">
        <f t="shared" si="87"/>
        <v>72.20640376023259</v>
      </c>
      <c r="Q88" s="22">
        <f t="shared" si="54"/>
        <v>656.82430654907148</v>
      </c>
      <c r="R88" s="62">
        <f t="shared" si="55"/>
        <v>950.15763988240474</v>
      </c>
      <c r="S88" s="62">
        <f ca="1">AVERAGE(OFFSET($R$3,0,0,'Données projet'!$E$9+1,1))-AVERAGE(OFFSET($H$3,0,0,'Données projet'!$E$9+1,1))</f>
        <v>508.77990078889337</v>
      </c>
      <c r="T88" s="62">
        <f t="shared" si="88"/>
        <v>278.21741231699929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3.4</v>
      </c>
      <c r="AI88" s="14">
        <f>IF('Données projet'!$A$62&gt;35,AI87+AH88-AQ87,IF(A88&lt;'Données projet'!$A$62,$AF$205^A88,IF(A88='Données projet'!$A$62,'Données projet'!$B$62,AI87+AH88-AQ87)))</f>
        <v>336.99999999999989</v>
      </c>
      <c r="AJ88" s="14">
        <f>AI88*VLOOKUP('Données projet'!$B$10,Paramètres!$A$1:$I$89,3,0)*VLOOKUP('Données projet'!$B$10,Paramètres!$A$1:$I$89,5,0)</f>
        <v>341.7179999999999</v>
      </c>
      <c r="AK88" s="14">
        <f t="shared" si="89"/>
        <v>79.854791910789757</v>
      </c>
      <c r="AL88" s="22">
        <f t="shared" si="58"/>
        <v>734.23927924462521</v>
      </c>
      <c r="AM88" s="62">
        <f t="shared" si="59"/>
        <v>1027.5726125779586</v>
      </c>
      <c r="AN88" s="62">
        <f ca="1">AVERAGE(OFFSET($AM$3,0,0,'Données projet'!$E$10+1,1))-AVERAGE(OFFSET($H$3,0,0,'Données projet'!$E$10+1,1))</f>
        <v>564.84596170333884</v>
      </c>
      <c r="AO88" s="62">
        <f t="shared" si="90"/>
        <v>306.61893266146666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-1.8089849618263545E-13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370.79299728190904</v>
      </c>
      <c r="BJ88" s="62">
        <f t="shared" si="92"/>
        <v>404.95703400805775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projet'!$B$12,Paramètres!$A$1:$I$89,3,0)*VLOOKUP('Données projet'!$B$12,Paramètres!$A$1:$I$89,5,0)</f>
        <v>-1.8089849618263545E-13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370.79299728190904</v>
      </c>
      <c r="CE88" s="62">
        <f t="shared" si="94"/>
        <v>404.95703400805775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-1.7053025658242404E-13</v>
      </c>
      <c r="CU88" s="18">
        <f>CT88*VLOOKUP('Données projet'!$B$13,Paramètres!$A$1:$I$89,3,0)*VLOOKUP('Données projet'!$B$13,Paramètres!$A$1:$I$89,5,0)</f>
        <v>-1.4897523215040567E-13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339.58437495284466</v>
      </c>
      <c r="CZ88" s="62">
        <f t="shared" si="96"/>
        <v>371.26234252426531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-2.2737367544323206E-13</v>
      </c>
      <c r="DP88" s="18">
        <f>DO88*VLOOKUP('Données projet'!$B$14,Paramètres!$A$1:$I$89,3,0)*VLOOKUP('Données projet'!$B$14,Paramètres!$A$1:$I$89,5,0)</f>
        <v>-1.6671037883497774E-13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344.63665697794022</v>
      </c>
      <c r="DU88" s="62">
        <f t="shared" si="98"/>
        <v>376.72762011188041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258.33333333333331</v>
      </c>
      <c r="EH88" s="13">
        <f>VLOOKUP(A88,'Données projet'!$A$191:$I$211,9,0)</f>
        <v>4.2307692307692264</v>
      </c>
      <c r="EI88" s="13">
        <f t="array" ref="EI88">INDEX(EH:EH,MIN(IF(ISNUMBER(EH88:EH284),ROW(EH88:EH284),"")))</f>
        <v>4.2307692307692264</v>
      </c>
      <c r="EJ88" s="13">
        <f>IF('Données projet'!$A$192&gt;35,EJ87+EI88-ER87,IF(A88&lt;'Données projet'!$A$192,$EG$205^A88,IF(A88='Données projet'!$A$192,'Données projet'!$B$192,EJ87+EI88-ER87)))</f>
        <v>258.33333333333326</v>
      </c>
      <c r="EK88" s="18">
        <f>EJ88*VLOOKUP('Données projet'!$B$15,Paramètres!$A$1:$I$89,3,0)*VLOOKUP('Données projet'!$B$15,Paramètres!$A$1:$I$89,5,0)</f>
        <v>245.82999999999993</v>
      </c>
      <c r="EL88" s="14">
        <f t="shared" si="99"/>
        <v>59.692125837514034</v>
      </c>
      <c r="EM88" s="22">
        <f t="shared" si="73"/>
        <v>532.1177025003368</v>
      </c>
      <c r="EN88" s="62">
        <f t="shared" si="74"/>
        <v>825.45103583367018</v>
      </c>
      <c r="EO88" s="62">
        <f ca="1">AVERAGE(OFFSET($EN$3,0,0,'Données projet'!$E$15+1,1))-AVERAGE(OFFSET($H$3,0,0,'Données projet'!$E$15+1,1))</f>
        <v>406.24139966722936</v>
      </c>
      <c r="EP88" s="62">
        <f t="shared" si="100"/>
        <v>295.95724296920577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28.846153846153847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3.4</v>
      </c>
      <c r="FE88" s="13">
        <f>IF('Données projet'!$A$218&gt;35,FE87+FD88-FM87,IF(A88&lt;'Données projet'!$A$218,$FB$205^A88,IF(A88='Données projet'!$A$218,'Données projet'!$B$218,FE87+FD88-FM87)))</f>
        <v>336.99999999999989</v>
      </c>
      <c r="FF88" s="18">
        <f>FE88*VLOOKUP('Données projet'!$B$16,Paramètres!$A$1:$I$89,3,0)*VLOOKUP('Données projet'!$B$16,Paramètres!$A$1:$I$89,5,0)</f>
        <v>325.94639999999993</v>
      </c>
      <c r="FG88" s="14">
        <f t="shared" si="101"/>
        <v>76.589288887456064</v>
      </c>
      <c r="FH88" s="22">
        <f t="shared" si="76"/>
        <v>701.08299147898572</v>
      </c>
      <c r="FI88" s="62">
        <f t="shared" si="77"/>
        <v>994.41632481231909</v>
      </c>
      <c r="FJ88" s="62">
        <f ca="1">AVERAGE(OFFSET($FI$3,0,0,'Données projet'!$E$16+1,1))-AVERAGE(OFFSET($H$3,0,0,'Données projet'!$E$16+1,1))</f>
        <v>540.83352418045502</v>
      </c>
      <c r="FK88" s="62">
        <f t="shared" si="102"/>
        <v>294.45557293177131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1.1368683772161603E-13</v>
      </c>
      <c r="GA88" s="18">
        <f>FZ88*VLOOKUP('Données projet'!$B$17,Paramètres!$A$1:$I$89,3,0)*VLOOKUP('Données projet'!$B$17,Paramètres!$A$1:$I$89,5,0)</f>
        <v>8.8675733422860506E-14</v>
      </c>
      <c r="GB88" s="14">
        <f t="shared" si="103"/>
        <v>1.3509285393066301E-12</v>
      </c>
      <c r="GC88" s="22">
        <f t="shared" si="79"/>
        <v>2.5073107750038623E-12</v>
      </c>
      <c r="GD88" s="62">
        <f t="shared" si="80"/>
        <v>293.33333333333582</v>
      </c>
      <c r="GE88" s="62">
        <f ca="1">AVERAGE(OFFSET($GD$3,0,0,'Données projet'!$E$17+1,1))-AVERAGE(OFFSET($H$3,0,0,'Données projet'!$E$17+1,1))</f>
        <v>292.57482726862594</v>
      </c>
      <c r="GF88" s="62">
        <f t="shared" si="104"/>
        <v>283.48738729114024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316.66666666666663</v>
      </c>
      <c r="GS88" s="13">
        <f>VLOOKUP(A88,'Données projet'!$A$269:$I$289,9,0)</f>
        <v>4.4871794871794801</v>
      </c>
      <c r="GT88" s="13">
        <f t="array" ref="GT88">INDEX(GS:GS,MIN(IF(ISNUMBER(GS88:GS284),ROW(GS88:GS284),"")))</f>
        <v>4.4871794871794801</v>
      </c>
      <c r="GU88" s="13">
        <f>IF('Données projet'!$A$270&gt;35,GU87+GT88-HC87,IF(A88&lt;'Données projet'!$A$270,$GR$205^A88,IF(A88='Données projet'!$A$270,'Données projet'!$B$270,GU87+GT88-HC87)))</f>
        <v>316.66666666666663</v>
      </c>
      <c r="GV88" s="18">
        <f>GU88*VLOOKUP('Données projet'!$B$18,Paramètres!$A$1:$I$89,3,0)*VLOOKUP('Données projet'!$B$18,Paramètres!$A$1:$I$89,5,0)</f>
        <v>212.42</v>
      </c>
      <c r="GW88" s="14">
        <f t="shared" si="105"/>
        <v>52.464063417089825</v>
      </c>
      <c r="GX88" s="22">
        <f t="shared" si="82"/>
        <v>461.33974378476478</v>
      </c>
      <c r="GY88" s="62">
        <f t="shared" si="83"/>
        <v>754.67307711809804</v>
      </c>
      <c r="GZ88" s="62">
        <f ca="1">AVERAGE(OFFSET($GY$3,0,0,'Données projet'!$E$18+1,1))-AVERAGE(OFFSET($H$3,0,0,'Données projet'!$E$18+1,1))</f>
        <v>343.33067866534634</v>
      </c>
      <c r="HA88" s="62">
        <f t="shared" si="106"/>
        <v>261.91036689641402</v>
      </c>
      <c r="HB88" s="16">
        <f>IF(ISNA(VLOOKUP(A88,'Données projet'!$A$269:$I$289,3,0)),0,VLOOKUP(A88,'Données projet'!$A$269:$I$289,3,0))</f>
        <v>8</v>
      </c>
      <c r="HC88" s="16">
        <f>IF(ISNA(VLOOKUP(A88,'Données projet'!$A$269:$I$289,4,0)),0,VLOOKUP(A88,'Données projet'!$A$269:$I$289,4,0))</f>
        <v>27.564102564102562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3.4</v>
      </c>
      <c r="N89" s="14">
        <f>IF('Données projet'!$A$36&gt;35,N88+M89-V88,IF(A89&lt;'Données projet'!$A$36,$K$205^A89,IF(A89='Données projet'!$A$36,'Données projet'!$B$36,N88+M89-V88)))</f>
        <v>340.39999999999986</v>
      </c>
      <c r="O89" s="14">
        <f>N89*VLOOKUP('Données projet'!$B$9,Paramètres!$A$1:$I$89,3,0)*VLOOKUP('Données projet'!$B$9,Paramètres!$A$1:$I$89,5,0)</f>
        <v>307.99391999999983</v>
      </c>
      <c r="P89" s="14">
        <f t="shared" si="87"/>
        <v>72.849722655374066</v>
      </c>
      <c r="Q89" s="22">
        <f t="shared" si="54"/>
        <v>663.30267762477627</v>
      </c>
      <c r="R89" s="62">
        <f t="shared" si="55"/>
        <v>956.63601095810964</v>
      </c>
      <c r="S89" s="62">
        <f ca="1">AVERAGE(OFFSET($R$3,0,0,'Données projet'!$E$9+1,1))-AVERAGE(OFFSET($H$3,0,0,'Données projet'!$E$9+1,1))</f>
        <v>508.77990078889337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3.4</v>
      </c>
      <c r="AI89" s="14">
        <f>IF('Données projet'!$A$62&gt;35,AI88+AH89-AQ88,IF(A89&lt;'Données projet'!$A$62,$AF$205^A89,IF(A89='Données projet'!$A$62,'Données projet'!$B$62,AI88+AH89-AQ88)))</f>
        <v>340.39999999999986</v>
      </c>
      <c r="AJ89" s="14">
        <f>AI89*VLOOKUP('Données projet'!$B$10,Paramètres!$A$1:$I$89,3,0)*VLOOKUP('Données projet'!$B$10,Paramètres!$A$1:$I$89,5,0)</f>
        <v>345.16559999999987</v>
      </c>
      <c r="AK89" s="14">
        <f t="shared" si="89"/>
        <v>80.566253690196277</v>
      </c>
      <c r="AL89" s="22">
        <f t="shared" si="58"/>
        <v>741.48297851042491</v>
      </c>
      <c r="AM89" s="62">
        <f t="shared" si="59"/>
        <v>1034.8163118437583</v>
      </c>
      <c r="AN89" s="62">
        <f ca="1">AVERAGE(OFFSET($AM$3,0,0,'Données projet'!$E$10+1,1))-AVERAGE(OFFSET($H$3,0,0,'Données projet'!$E$10+1,1))</f>
        <v>564.84596170333884</v>
      </c>
      <c r="AO89" s="62">
        <f t="shared" si="90"/>
        <v>306.61893266146666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-1.8089849618263545E-13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370.79299728190904</v>
      </c>
      <c r="BJ89" s="62">
        <f t="shared" si="92"/>
        <v>404.95703400805775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projet'!$B$12,Paramètres!$A$1:$I$89,3,0)*VLOOKUP('Données projet'!$B$12,Paramètres!$A$1:$I$89,5,0)</f>
        <v>-1.8089849618263545E-13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370.79299728190904</v>
      </c>
      <c r="CE89" s="62">
        <f t="shared" si="94"/>
        <v>404.95703400805775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-1.7053025658242404E-13</v>
      </c>
      <c r="CU89" s="18">
        <f>CT89*VLOOKUP('Données projet'!$B$13,Paramètres!$A$1:$I$89,3,0)*VLOOKUP('Données projet'!$B$13,Paramètres!$A$1:$I$89,5,0)</f>
        <v>-1.4897523215040567E-13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339.58437495284466</v>
      </c>
      <c r="CZ89" s="62">
        <f t="shared" si="96"/>
        <v>371.26234252426531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-2.2737367544323206E-13</v>
      </c>
      <c r="DP89" s="18">
        <f>DO89*VLOOKUP('Données projet'!$B$14,Paramètres!$A$1:$I$89,3,0)*VLOOKUP('Données projet'!$B$14,Paramètres!$A$1:$I$89,5,0)</f>
        <v>-1.6671037883497774E-13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344.63665697794022</v>
      </c>
      <c r="DU89" s="62">
        <f t="shared" si="98"/>
        <v>376.72762011188041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3.8461538461538454</v>
      </c>
      <c r="EJ89" s="13">
        <f>IF('Données projet'!$A$192&gt;35,EJ88+EI89-ER88,IF(A89&lt;'Données projet'!$A$192,$EG$205^A89,IF(A89='Données projet'!$A$192,'Données projet'!$B$192,EJ88+EI89-ER88)))</f>
        <v>233.33333333333329</v>
      </c>
      <c r="EK89" s="18">
        <f>EJ89*VLOOKUP('Données projet'!$B$15,Paramètres!$A$1:$I$89,3,0)*VLOOKUP('Données projet'!$B$15,Paramètres!$A$1:$I$89,5,0)</f>
        <v>222.04</v>
      </c>
      <c r="EL89" s="14">
        <f t="shared" si="99"/>
        <v>54.558031180803546</v>
      </c>
      <c r="EM89" s="22">
        <f t="shared" si="73"/>
        <v>481.74157097323285</v>
      </c>
      <c r="EN89" s="62">
        <f t="shared" si="74"/>
        <v>775.07490430656617</v>
      </c>
      <c r="EO89" s="62">
        <f ca="1">AVERAGE(OFFSET($EN$3,0,0,'Données projet'!$E$15+1,1))-AVERAGE(OFFSET($H$3,0,0,'Données projet'!$E$15+1,1))</f>
        <v>406.24139966722936</v>
      </c>
      <c r="EP89" s="62">
        <f t="shared" si="100"/>
        <v>295.95724296920577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3.4</v>
      </c>
      <c r="FE89" s="13">
        <f>IF('Données projet'!$A$218&gt;35,FE88+FD89-FM88,IF(A89&lt;'Données projet'!$A$218,$FB$205^A89,IF(A89='Données projet'!$A$218,'Données projet'!$B$218,FE88+FD89-FM88)))</f>
        <v>340.39999999999986</v>
      </c>
      <c r="FF89" s="18">
        <f>FE89*VLOOKUP('Données projet'!$B$16,Paramètres!$A$1:$I$89,3,0)*VLOOKUP('Données projet'!$B$16,Paramètres!$A$1:$I$89,5,0)</f>
        <v>329.23487999999986</v>
      </c>
      <c r="FG89" s="14">
        <f t="shared" si="101"/>
        <v>77.271656851249944</v>
      </c>
      <c r="FH89" s="22">
        <f t="shared" si="76"/>
        <v>707.9988850159267</v>
      </c>
      <c r="FI89" s="62">
        <f t="shared" si="77"/>
        <v>1001.3322183492601</v>
      </c>
      <c r="FJ89" s="62">
        <f ca="1">AVERAGE(OFFSET($FI$3,0,0,'Données projet'!$E$16+1,1))-AVERAGE(OFFSET($H$3,0,0,'Données projet'!$E$16+1,1))</f>
        <v>540.83352418045502</v>
      </c>
      <c r="FK89" s="62">
        <f t="shared" si="102"/>
        <v>294.45557293177131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1.1368683772161603E-13</v>
      </c>
      <c r="GA89" s="18">
        <f>FZ89*VLOOKUP('Données projet'!$B$17,Paramètres!$A$1:$I$89,3,0)*VLOOKUP('Données projet'!$B$17,Paramètres!$A$1:$I$89,5,0)</f>
        <v>8.8675733422860506E-14</v>
      </c>
      <c r="GB89" s="14">
        <f t="shared" si="103"/>
        <v>1.3509285393066301E-12</v>
      </c>
      <c r="GC89" s="22">
        <f t="shared" si="79"/>
        <v>2.5073107750038623E-12</v>
      </c>
      <c r="GD89" s="62">
        <f t="shared" si="80"/>
        <v>293.33333333333582</v>
      </c>
      <c r="GE89" s="62">
        <f ca="1">AVERAGE(OFFSET($GD$3,0,0,'Données projet'!$E$17+1,1))-AVERAGE(OFFSET($H$3,0,0,'Données projet'!$E$17+1,1))</f>
        <v>292.57482726862594</v>
      </c>
      <c r="GF89" s="62">
        <f t="shared" si="104"/>
        <v>283.48738729114024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4.1025641025640995</v>
      </c>
      <c r="GU89" s="13">
        <f>IF('Données projet'!$A$270&gt;35,GU88+GT89-HC88,IF(A89&lt;'Données projet'!$A$270,$GR$205^A89,IF(A89='Données projet'!$A$270,'Données projet'!$B$270,GU88+GT89-HC88)))</f>
        <v>293.20512820512818</v>
      </c>
      <c r="GV89" s="18">
        <f>GU89*VLOOKUP('Données projet'!$B$18,Paramètres!$A$1:$I$89,3,0)*VLOOKUP('Données projet'!$B$18,Paramètres!$A$1:$I$89,5,0)</f>
        <v>196.68199999999999</v>
      </c>
      <c r="GW89" s="14">
        <f t="shared" si="105"/>
        <v>49.014263299588542</v>
      </c>
      <c r="GX89" s="22">
        <f t="shared" si="82"/>
        <v>427.92099191345005</v>
      </c>
      <c r="GY89" s="62">
        <f t="shared" si="83"/>
        <v>721.25432524678331</v>
      </c>
      <c r="GZ89" s="62">
        <f ca="1">AVERAGE(OFFSET($GY$3,0,0,'Données projet'!$E$18+1,1))-AVERAGE(OFFSET($H$3,0,0,'Données projet'!$E$18+1,1))</f>
        <v>343.33067866534634</v>
      </c>
      <c r="HA89" s="62">
        <f t="shared" si="106"/>
        <v>261.91036689641402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3.4</v>
      </c>
      <c r="N90" s="14">
        <f>IF('Données projet'!$A$36&gt;35,N89+M90-V89,IF(A90&lt;'Données projet'!$A$36,$K$205^A90,IF(A90='Données projet'!$A$36,'Données projet'!$B$36,N89+M90-V89)))</f>
        <v>343.79999999999984</v>
      </c>
      <c r="O90" s="14">
        <f>N90*VLOOKUP('Données projet'!$B$9,Paramètres!$A$1:$I$89,3,0)*VLOOKUP('Données projet'!$B$9,Paramètres!$A$1:$I$89,5,0)</f>
        <v>311.07023999999984</v>
      </c>
      <c r="P90" s="14">
        <f t="shared" si="87"/>
        <v>73.492294028732417</v>
      </c>
      <c r="Q90" s="22">
        <f t="shared" si="54"/>
        <v>669.77974676670863</v>
      </c>
      <c r="R90" s="62">
        <f t="shared" si="55"/>
        <v>963.113080100042</v>
      </c>
      <c r="S90" s="62">
        <f ca="1">AVERAGE(OFFSET($R$3,0,0,'Données projet'!$E$9+1,1))-AVERAGE(OFFSET($H$3,0,0,'Données projet'!$E$9+1,1))</f>
        <v>508.77990078889337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3.4</v>
      </c>
      <c r="AI90" s="14">
        <f>IF('Données projet'!$A$62&gt;35,AI89+AH90-AQ89,IF(A90&lt;'Données projet'!$A$62,$AF$205^A90,IF(A90='Données projet'!$A$62,'Données projet'!$B$62,AI89+AH90-AQ89)))</f>
        <v>343.79999999999984</v>
      </c>
      <c r="AJ90" s="14">
        <f>AI90*VLOOKUP('Données projet'!$B$10,Paramètres!$A$1:$I$89,3,0)*VLOOKUP('Données projet'!$B$10,Paramètres!$A$1:$I$89,5,0)</f>
        <v>348.61319999999989</v>
      </c>
      <c r="AK90" s="14">
        <f t="shared" si="89"/>
        <v>81.276888767352929</v>
      </c>
      <c r="AL90" s="22">
        <f t="shared" si="58"/>
        <v>748.72523793647281</v>
      </c>
      <c r="AM90" s="62">
        <f t="shared" si="59"/>
        <v>1042.0585712698062</v>
      </c>
      <c r="AN90" s="62">
        <f ca="1">AVERAGE(OFFSET($AM$3,0,0,'Données projet'!$E$10+1,1))-AVERAGE(OFFSET($H$3,0,0,'Données projet'!$E$10+1,1))</f>
        <v>564.84596170333884</v>
      </c>
      <c r="AO90" s="62">
        <f t="shared" si="90"/>
        <v>306.61893266146666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-1.8089849618263545E-13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370.79299728190904</v>
      </c>
      <c r="BJ90" s="62">
        <f t="shared" si="92"/>
        <v>404.95703400805775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projet'!$B$12,Paramètres!$A$1:$I$89,3,0)*VLOOKUP('Données projet'!$B$12,Paramètres!$A$1:$I$89,5,0)</f>
        <v>-1.8089849618263545E-13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370.79299728190904</v>
      </c>
      <c r="CE90" s="62">
        <f t="shared" si="94"/>
        <v>404.95703400805775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-1.7053025658242404E-13</v>
      </c>
      <c r="CU90" s="18">
        <f>CT90*VLOOKUP('Données projet'!$B$13,Paramètres!$A$1:$I$89,3,0)*VLOOKUP('Données projet'!$B$13,Paramètres!$A$1:$I$89,5,0)</f>
        <v>-1.4897523215040567E-13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339.58437495284466</v>
      </c>
      <c r="CZ90" s="62">
        <f t="shared" si="96"/>
        <v>371.26234252426531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-2.2737367544323206E-13</v>
      </c>
      <c r="DP90" s="18">
        <f>DO90*VLOOKUP('Données projet'!$B$14,Paramètres!$A$1:$I$89,3,0)*VLOOKUP('Données projet'!$B$14,Paramètres!$A$1:$I$89,5,0)</f>
        <v>-1.6671037883497774E-13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344.63665697794022</v>
      </c>
      <c r="DU90" s="62">
        <f t="shared" si="98"/>
        <v>376.72762011188041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3.8461538461538454</v>
      </c>
      <c r="EJ90" s="13">
        <f>IF('Données projet'!$A$192&gt;35,EJ89+EI90-ER89,IF(A90&lt;'Données projet'!$A$192,$EG$205^A90,IF(A90='Données projet'!$A$192,'Données projet'!$B$192,EJ89+EI90-ER89)))</f>
        <v>237.17948717948713</v>
      </c>
      <c r="EK90" s="18">
        <f>EJ90*VLOOKUP('Données projet'!$B$15,Paramètres!$A$1:$I$89,3,0)*VLOOKUP('Données projet'!$B$15,Paramètres!$A$1:$I$89,5,0)</f>
        <v>225.69999999999996</v>
      </c>
      <c r="EL90" s="14">
        <f t="shared" si="99"/>
        <v>55.351902227970015</v>
      </c>
      <c r="EM90" s="22">
        <f t="shared" si="73"/>
        <v>489.49872971371445</v>
      </c>
      <c r="EN90" s="62">
        <f t="shared" si="74"/>
        <v>782.83206304704777</v>
      </c>
      <c r="EO90" s="62">
        <f ca="1">AVERAGE(OFFSET($EN$3,0,0,'Données projet'!$E$15+1,1))-AVERAGE(OFFSET($H$3,0,0,'Données projet'!$E$15+1,1))</f>
        <v>406.24139966722936</v>
      </c>
      <c r="EP90" s="62">
        <f t="shared" si="100"/>
        <v>295.95724296920577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3.4</v>
      </c>
      <c r="FE90" s="13">
        <f>IF('Données projet'!$A$218&gt;35,FE89+FD90-FM89,IF(A90&lt;'Données projet'!$A$218,$FB$205^A90,IF(A90='Données projet'!$A$218,'Données projet'!$B$218,FE89+FD90-FM89)))</f>
        <v>343.79999999999984</v>
      </c>
      <c r="FF90" s="18">
        <f>FE90*VLOOKUP('Données projet'!$B$16,Paramètres!$A$1:$I$89,3,0)*VLOOKUP('Données projet'!$B$16,Paramètres!$A$1:$I$89,5,0)</f>
        <v>332.52335999999985</v>
      </c>
      <c r="FG90" s="14">
        <f t="shared" si="101"/>
        <v>77.953231919139583</v>
      </c>
      <c r="FH90" s="22">
        <f t="shared" si="76"/>
        <v>714.91339759250104</v>
      </c>
      <c r="FI90" s="62">
        <f t="shared" si="77"/>
        <v>1008.2467309258343</v>
      </c>
      <c r="FJ90" s="62">
        <f ca="1">AVERAGE(OFFSET($FI$3,0,0,'Données projet'!$E$16+1,1))-AVERAGE(OFFSET($H$3,0,0,'Données projet'!$E$16+1,1))</f>
        <v>540.83352418045502</v>
      </c>
      <c r="FK90" s="62">
        <f t="shared" si="102"/>
        <v>294.45557293177131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1.1368683772161603E-13</v>
      </c>
      <c r="GA90" s="18">
        <f>FZ90*VLOOKUP('Données projet'!$B$17,Paramètres!$A$1:$I$89,3,0)*VLOOKUP('Données projet'!$B$17,Paramètres!$A$1:$I$89,5,0)</f>
        <v>8.8675733422860506E-14</v>
      </c>
      <c r="GB90" s="14">
        <f t="shared" si="103"/>
        <v>1.3509285393066301E-12</v>
      </c>
      <c r="GC90" s="22">
        <f t="shared" si="79"/>
        <v>2.5073107750038623E-12</v>
      </c>
      <c r="GD90" s="62">
        <f t="shared" si="80"/>
        <v>293.33333333333582</v>
      </c>
      <c r="GE90" s="62">
        <f ca="1">AVERAGE(OFFSET($GD$3,0,0,'Données projet'!$E$17+1,1))-AVERAGE(OFFSET($H$3,0,0,'Données projet'!$E$17+1,1))</f>
        <v>292.57482726862594</v>
      </c>
      <c r="GF90" s="62">
        <f t="shared" si="104"/>
        <v>283.48738729114024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4.1025641025640995</v>
      </c>
      <c r="GU90" s="13">
        <f>IF('Données projet'!$A$270&gt;35,GU89+GT90-HC89,IF(A90&lt;'Données projet'!$A$270,$GR$205^A90,IF(A90='Données projet'!$A$270,'Données projet'!$B$270,GU89+GT90-HC89)))</f>
        <v>297.30769230769226</v>
      </c>
      <c r="GV90" s="18">
        <f>GU90*VLOOKUP('Données projet'!$B$18,Paramètres!$A$1:$I$89,3,0)*VLOOKUP('Données projet'!$B$18,Paramètres!$A$1:$I$89,5,0)</f>
        <v>199.43399999999997</v>
      </c>
      <c r="GW90" s="14">
        <f t="shared" si="105"/>
        <v>49.619757547165513</v>
      </c>
      <c r="GX90" s="22">
        <f t="shared" si="82"/>
        <v>433.76862772797989</v>
      </c>
      <c r="GY90" s="62">
        <f t="shared" si="83"/>
        <v>727.1019610613132</v>
      </c>
      <c r="GZ90" s="62">
        <f ca="1">AVERAGE(OFFSET($GY$3,0,0,'Données projet'!$E$18+1,1))-AVERAGE(OFFSET($H$3,0,0,'Données projet'!$E$18+1,1))</f>
        <v>343.33067866534634</v>
      </c>
      <c r="HA90" s="62">
        <f t="shared" si="106"/>
        <v>261.91036689641402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3.4</v>
      </c>
      <c r="N91" s="14">
        <f>IF('Données projet'!$A$36&gt;35,N90+M91-V90,IF(A91&lt;'Données projet'!$A$36,$K$205^A91,IF(A91='Données projet'!$A$36,'Données projet'!$B$36,N90+M91-V90)))</f>
        <v>347.19999999999982</v>
      </c>
      <c r="O91" s="14">
        <f>N91*VLOOKUP('Données projet'!$B$9,Paramètres!$A$1:$I$89,3,0)*VLOOKUP('Données projet'!$B$9,Paramètres!$A$1:$I$89,5,0)</f>
        <v>314.14655999999985</v>
      </c>
      <c r="P91" s="14">
        <f t="shared" si="87"/>
        <v>74.134126128921963</v>
      </c>
      <c r="Q91" s="22">
        <f t="shared" si="54"/>
        <v>676.25552834120549</v>
      </c>
      <c r="R91" s="62">
        <f t="shared" si="55"/>
        <v>969.58886167453875</v>
      </c>
      <c r="S91" s="62">
        <f ca="1">AVERAGE(OFFSET($R$3,0,0,'Données projet'!$E$9+1,1))-AVERAGE(OFFSET($H$3,0,0,'Données projet'!$E$9+1,1))</f>
        <v>508.77990078889337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3.4</v>
      </c>
      <c r="AI91" s="14">
        <f>IF('Données projet'!$A$62&gt;35,AI90+AH91-AQ90,IF(A91&lt;'Données projet'!$A$62,$AF$205^A91,IF(A91='Données projet'!$A$62,'Données projet'!$B$62,AI90+AH91-AQ90)))</f>
        <v>347.19999999999982</v>
      </c>
      <c r="AJ91" s="14">
        <f>AI91*VLOOKUP('Données projet'!$B$10,Paramètres!$A$1:$I$89,3,0)*VLOOKUP('Données projet'!$B$10,Paramètres!$A$1:$I$89,5,0)</f>
        <v>352.06079999999986</v>
      </c>
      <c r="AK91" s="14">
        <f t="shared" si="89"/>
        <v>81.986706264600031</v>
      </c>
      <c r="AL91" s="22">
        <f t="shared" si="58"/>
        <v>755.96607341084473</v>
      </c>
      <c r="AM91" s="62">
        <f t="shared" si="59"/>
        <v>1049.299406744178</v>
      </c>
      <c r="AN91" s="62">
        <f ca="1">AVERAGE(OFFSET($AM$3,0,0,'Données projet'!$E$10+1,1))-AVERAGE(OFFSET($H$3,0,0,'Données projet'!$E$10+1,1))</f>
        <v>564.84596170333884</v>
      </c>
      <c r="AO91" s="62">
        <f t="shared" si="90"/>
        <v>306.61893266146666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-1.8089849618263545E-13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370.79299728190904</v>
      </c>
      <c r="BJ91" s="62">
        <f t="shared" si="92"/>
        <v>404.95703400805775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projet'!$B$12,Paramètres!$A$1:$I$89,3,0)*VLOOKUP('Données projet'!$B$12,Paramètres!$A$1:$I$89,5,0)</f>
        <v>-1.8089849618263545E-13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370.79299728190904</v>
      </c>
      <c r="CE91" s="62">
        <f t="shared" si="94"/>
        <v>404.95703400805775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-1.7053025658242404E-13</v>
      </c>
      <c r="CU91" s="18">
        <f>CT91*VLOOKUP('Données projet'!$B$13,Paramètres!$A$1:$I$89,3,0)*VLOOKUP('Données projet'!$B$13,Paramètres!$A$1:$I$89,5,0)</f>
        <v>-1.4897523215040567E-13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339.58437495284466</v>
      </c>
      <c r="CZ91" s="62">
        <f t="shared" si="96"/>
        <v>371.26234252426531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-2.2737367544323206E-13</v>
      </c>
      <c r="DP91" s="18">
        <f>DO91*VLOOKUP('Données projet'!$B$14,Paramètres!$A$1:$I$89,3,0)*VLOOKUP('Données projet'!$B$14,Paramètres!$A$1:$I$89,5,0)</f>
        <v>-1.6671037883497774E-13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344.63665697794022</v>
      </c>
      <c r="DU91" s="62">
        <f t="shared" si="98"/>
        <v>376.72762011188041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3.8461538461538454</v>
      </c>
      <c r="EJ91" s="13">
        <f>IF('Données projet'!$A$192&gt;35,EJ90+EI91-ER90,IF(A91&lt;'Données projet'!$A$192,$EG$205^A91,IF(A91='Données projet'!$A$192,'Données projet'!$B$192,EJ90+EI91-ER90)))</f>
        <v>241.02564102564097</v>
      </c>
      <c r="EK91" s="18">
        <f>EJ91*VLOOKUP('Données projet'!$B$15,Paramètres!$A$1:$I$89,3,0)*VLOOKUP('Données projet'!$B$15,Paramètres!$A$1:$I$89,5,0)</f>
        <v>229.35999999999996</v>
      </c>
      <c r="EL91" s="14">
        <f t="shared" si="99"/>
        <v>56.144276133877753</v>
      </c>
      <c r="EM91" s="22">
        <f t="shared" si="73"/>
        <v>497.25328093317034</v>
      </c>
      <c r="EN91" s="62">
        <f t="shared" si="74"/>
        <v>790.5866142665036</v>
      </c>
      <c r="EO91" s="62">
        <f ca="1">AVERAGE(OFFSET($EN$3,0,0,'Données projet'!$E$15+1,1))-AVERAGE(OFFSET($H$3,0,0,'Données projet'!$E$15+1,1))</f>
        <v>406.24139966722936</v>
      </c>
      <c r="EP91" s="62">
        <f t="shared" si="100"/>
        <v>295.95724296920577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3.4</v>
      </c>
      <c r="FE91" s="13">
        <f>IF('Données projet'!$A$218&gt;35,FE90+FD91-FM90,IF(A91&lt;'Données projet'!$A$218,$FB$205^A91,IF(A91='Données projet'!$A$218,'Données projet'!$B$218,FE90+FD91-FM90)))</f>
        <v>347.19999999999982</v>
      </c>
      <c r="FF91" s="18">
        <f>FE91*VLOOKUP('Données projet'!$B$16,Paramètres!$A$1:$I$89,3,0)*VLOOKUP('Données projet'!$B$16,Paramètres!$A$1:$I$89,5,0)</f>
        <v>335.81183999999985</v>
      </c>
      <c r="FG91" s="14">
        <f t="shared" si="101"/>
        <v>78.634022840425345</v>
      </c>
      <c r="FH91" s="22">
        <f t="shared" si="76"/>
        <v>721.82654444707384</v>
      </c>
      <c r="FI91" s="62">
        <f t="shared" si="77"/>
        <v>1015.1598777804072</v>
      </c>
      <c r="FJ91" s="62">
        <f ca="1">AVERAGE(OFFSET($FI$3,0,0,'Données projet'!$E$16+1,1))-AVERAGE(OFFSET($H$3,0,0,'Données projet'!$E$16+1,1))</f>
        <v>540.83352418045502</v>
      </c>
      <c r="FK91" s="62">
        <f t="shared" si="102"/>
        <v>294.45557293177131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1.1368683772161603E-13</v>
      </c>
      <c r="GA91" s="18">
        <f>FZ91*VLOOKUP('Données projet'!$B$17,Paramètres!$A$1:$I$89,3,0)*VLOOKUP('Données projet'!$B$17,Paramètres!$A$1:$I$89,5,0)</f>
        <v>8.8675733422860506E-14</v>
      </c>
      <c r="GB91" s="14">
        <f t="shared" si="103"/>
        <v>1.3509285393066301E-12</v>
      </c>
      <c r="GC91" s="22">
        <f t="shared" si="79"/>
        <v>2.5073107750038623E-12</v>
      </c>
      <c r="GD91" s="62">
        <f t="shared" si="80"/>
        <v>293.33333333333582</v>
      </c>
      <c r="GE91" s="62">
        <f ca="1">AVERAGE(OFFSET($GD$3,0,0,'Données projet'!$E$17+1,1))-AVERAGE(OFFSET($H$3,0,0,'Données projet'!$E$17+1,1))</f>
        <v>292.57482726862594</v>
      </c>
      <c r="GF91" s="62">
        <f t="shared" si="104"/>
        <v>283.48738729114024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4.1025641025640995</v>
      </c>
      <c r="GU91" s="13">
        <f>IF('Données projet'!$A$270&gt;35,GU90+GT91-HC90,IF(A91&lt;'Données projet'!$A$270,$GR$205^A91,IF(A91='Données projet'!$A$270,'Données projet'!$B$270,GU90+GT91-HC90)))</f>
        <v>301.41025641025635</v>
      </c>
      <c r="GV91" s="18">
        <f>GU91*VLOOKUP('Données projet'!$B$18,Paramètres!$A$1:$I$89,3,0)*VLOOKUP('Données projet'!$B$18,Paramètres!$A$1:$I$89,5,0)</f>
        <v>202.18599999999998</v>
      </c>
      <c r="GW91" s="14">
        <f t="shared" si="105"/>
        <v>50.224279992116678</v>
      </c>
      <c r="GX91" s="22">
        <f t="shared" si="82"/>
        <v>439.61457098626988</v>
      </c>
      <c r="GY91" s="62">
        <f t="shared" si="83"/>
        <v>732.94790431960314</v>
      </c>
      <c r="GZ91" s="62">
        <f ca="1">AVERAGE(OFFSET($GY$3,0,0,'Données projet'!$E$18+1,1))-AVERAGE(OFFSET($H$3,0,0,'Données projet'!$E$18+1,1))</f>
        <v>343.33067866534634</v>
      </c>
      <c r="HA91" s="62">
        <f t="shared" si="106"/>
        <v>261.91036689641402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3.4</v>
      </c>
      <c r="N92" s="14">
        <f>IF('Données projet'!$A$36&gt;35,N91+M92-V91,IF(A92&lt;'Données projet'!$A$36,$K$205^A92,IF(A92='Données projet'!$A$36,'Données projet'!$B$36,N91+M92-V91)))</f>
        <v>350.5999999999998</v>
      </c>
      <c r="O92" s="14">
        <f>N92*VLOOKUP('Données projet'!$B$9,Paramètres!$A$1:$I$89,3,0)*VLOOKUP('Données projet'!$B$9,Paramètres!$A$1:$I$89,5,0)</f>
        <v>317.2228799999998</v>
      </c>
      <c r="P92" s="14">
        <f t="shared" si="87"/>
        <v>74.775227033693085</v>
      </c>
      <c r="Q92" s="22">
        <f t="shared" si="54"/>
        <v>682.73003641701519</v>
      </c>
      <c r="R92" s="62">
        <f t="shared" si="55"/>
        <v>976.06336975034856</v>
      </c>
      <c r="S92" s="62">
        <f ca="1">AVERAGE(OFFSET($R$3,0,0,'Données projet'!$E$9+1,1))-AVERAGE(OFFSET($H$3,0,0,'Données projet'!$E$9+1,1))</f>
        <v>508.77990078889337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3.4</v>
      </c>
      <c r="AI92" s="14">
        <f>IF('Données projet'!$A$62&gt;35,AI91+AH92-AQ91,IF(A92&lt;'Données projet'!$A$62,$AF$205^A92,IF(A92='Données projet'!$A$62,'Données projet'!$B$62,AI91+AH92-AQ91)))</f>
        <v>350.5999999999998</v>
      </c>
      <c r="AJ92" s="14">
        <f>AI92*VLOOKUP('Données projet'!$B$10,Paramètres!$A$1:$I$89,3,0)*VLOOKUP('Données projet'!$B$10,Paramètres!$A$1:$I$89,5,0)</f>
        <v>355.50839999999982</v>
      </c>
      <c r="AK92" s="14">
        <f t="shared" si="89"/>
        <v>82.695715115315167</v>
      </c>
      <c r="AL92" s="22">
        <f t="shared" si="58"/>
        <v>763.20550049250687</v>
      </c>
      <c r="AM92" s="62">
        <f t="shared" si="59"/>
        <v>1056.5388338258401</v>
      </c>
      <c r="AN92" s="62">
        <f ca="1">AVERAGE(OFFSET($AM$3,0,0,'Données projet'!$E$10+1,1))-AVERAGE(OFFSET($H$3,0,0,'Données projet'!$E$10+1,1))</f>
        <v>564.84596170333884</v>
      </c>
      <c r="AO92" s="62">
        <f t="shared" si="90"/>
        <v>306.61893266146666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-1.8089849618263545E-13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370.79299728190904</v>
      </c>
      <c r="BJ92" s="62">
        <f t="shared" si="92"/>
        <v>404.95703400805775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projet'!$B$12,Paramètres!$A$1:$I$89,3,0)*VLOOKUP('Données projet'!$B$12,Paramètres!$A$1:$I$89,5,0)</f>
        <v>-1.8089849618263545E-13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370.79299728190904</v>
      </c>
      <c r="CE92" s="62">
        <f t="shared" si="94"/>
        <v>404.95703400805775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-1.7053025658242404E-13</v>
      </c>
      <c r="CU92" s="18">
        <f>CT92*VLOOKUP('Données projet'!$B$13,Paramètres!$A$1:$I$89,3,0)*VLOOKUP('Données projet'!$B$13,Paramètres!$A$1:$I$89,5,0)</f>
        <v>-1.4897523215040567E-13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339.58437495284466</v>
      </c>
      <c r="CZ92" s="62">
        <f t="shared" si="96"/>
        <v>371.26234252426531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-2.2737367544323206E-13</v>
      </c>
      <c r="DP92" s="18">
        <f>DO92*VLOOKUP('Données projet'!$B$14,Paramètres!$A$1:$I$89,3,0)*VLOOKUP('Données projet'!$B$14,Paramètres!$A$1:$I$89,5,0)</f>
        <v>-1.6671037883497774E-13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344.63665697794022</v>
      </c>
      <c r="DU92" s="62">
        <f t="shared" si="98"/>
        <v>376.72762011188041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3.8461538461538454</v>
      </c>
      <c r="EJ92" s="13">
        <f>IF('Données projet'!$A$192&gt;35,EJ91+EI92-ER91,IF(A92&lt;'Données projet'!$A$192,$EG$205^A92,IF(A92='Données projet'!$A$192,'Données projet'!$B$192,EJ91+EI92-ER91)))</f>
        <v>244.8717948717948</v>
      </c>
      <c r="EK92" s="18">
        <f>EJ92*VLOOKUP('Données projet'!$B$15,Paramètres!$A$1:$I$89,3,0)*VLOOKUP('Données projet'!$B$15,Paramètres!$A$1:$I$89,5,0)</f>
        <v>233.01999999999995</v>
      </c>
      <c r="EL92" s="14">
        <f t="shared" si="99"/>
        <v>56.935179547462297</v>
      </c>
      <c r="EM92" s="22">
        <f t="shared" si="73"/>
        <v>505.00527104516345</v>
      </c>
      <c r="EN92" s="62">
        <f t="shared" si="74"/>
        <v>798.33860437849671</v>
      </c>
      <c r="EO92" s="62">
        <f ca="1">AVERAGE(OFFSET($EN$3,0,0,'Données projet'!$E$15+1,1))-AVERAGE(OFFSET($H$3,0,0,'Données projet'!$E$15+1,1))</f>
        <v>406.24139966722936</v>
      </c>
      <c r="EP92" s="62">
        <f t="shared" si="100"/>
        <v>295.95724296920577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3.4</v>
      </c>
      <c r="FE92" s="13">
        <f>IF('Données projet'!$A$218&gt;35,FE91+FD92-FM91,IF(A92&lt;'Données projet'!$A$218,$FB$205^A92,IF(A92='Données projet'!$A$218,'Données projet'!$B$218,FE91+FD92-FM91)))</f>
        <v>350.5999999999998</v>
      </c>
      <c r="FF92" s="18">
        <f>FE92*VLOOKUP('Données projet'!$B$16,Paramètres!$A$1:$I$89,3,0)*VLOOKUP('Données projet'!$B$16,Paramètres!$A$1:$I$89,5,0)</f>
        <v>339.10031999999984</v>
      </c>
      <c r="FG92" s="14">
        <f t="shared" si="101"/>
        <v>79.314038183172016</v>
      </c>
      <c r="FH92" s="22">
        <f t="shared" si="76"/>
        <v>728.73834050235757</v>
      </c>
      <c r="FI92" s="62">
        <f t="shared" si="77"/>
        <v>1022.0716738356909</v>
      </c>
      <c r="FJ92" s="62">
        <f ca="1">AVERAGE(OFFSET($FI$3,0,0,'Données projet'!$E$16+1,1))-AVERAGE(OFFSET($H$3,0,0,'Données projet'!$E$16+1,1))</f>
        <v>540.83352418045502</v>
      </c>
      <c r="FK92" s="62">
        <f t="shared" si="102"/>
        <v>294.45557293177131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1.1368683772161603E-13</v>
      </c>
      <c r="GA92" s="18">
        <f>FZ92*VLOOKUP('Données projet'!$B$17,Paramètres!$A$1:$I$89,3,0)*VLOOKUP('Données projet'!$B$17,Paramètres!$A$1:$I$89,5,0)</f>
        <v>8.8675733422860506E-14</v>
      </c>
      <c r="GB92" s="14">
        <f t="shared" si="103"/>
        <v>1.3509285393066301E-12</v>
      </c>
      <c r="GC92" s="22">
        <f t="shared" si="79"/>
        <v>2.5073107750038623E-12</v>
      </c>
      <c r="GD92" s="62">
        <f t="shared" si="80"/>
        <v>293.33333333333582</v>
      </c>
      <c r="GE92" s="62">
        <f ca="1">AVERAGE(OFFSET($GD$3,0,0,'Données projet'!$E$17+1,1))-AVERAGE(OFFSET($H$3,0,0,'Données projet'!$E$17+1,1))</f>
        <v>292.57482726862594</v>
      </c>
      <c r="GF92" s="62">
        <f t="shared" si="104"/>
        <v>283.48738729114024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4.1025641025640995</v>
      </c>
      <c r="GU92" s="13">
        <f>IF('Données projet'!$A$270&gt;35,GU91+GT92-HC91,IF(A92&lt;'Données projet'!$A$270,$GR$205^A92,IF(A92='Données projet'!$A$270,'Données projet'!$B$270,GU91+GT92-HC91)))</f>
        <v>305.51282051282044</v>
      </c>
      <c r="GV92" s="18">
        <f>GU92*VLOOKUP('Données projet'!$B$18,Paramètres!$A$1:$I$89,3,0)*VLOOKUP('Données projet'!$B$18,Paramètres!$A$1:$I$89,5,0)</f>
        <v>204.93799999999999</v>
      </c>
      <c r="GW92" s="14">
        <f t="shared" si="105"/>
        <v>50.827845390767983</v>
      </c>
      <c r="GX92" s="22">
        <f t="shared" si="82"/>
        <v>445.4588473889209</v>
      </c>
      <c r="GY92" s="62">
        <f t="shared" si="83"/>
        <v>738.79218072225422</v>
      </c>
      <c r="GZ92" s="62">
        <f ca="1">AVERAGE(OFFSET($GY$3,0,0,'Données projet'!$E$18+1,1))-AVERAGE(OFFSET($H$3,0,0,'Données projet'!$E$18+1,1))</f>
        <v>343.33067866534634</v>
      </c>
      <c r="HA92" s="62">
        <f t="shared" si="106"/>
        <v>261.91036689641402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354</v>
      </c>
      <c r="L93" s="13">
        <f>VLOOKUP(A93,'Données projet'!$A$35:$I$55,9,0)</f>
        <v>3.4</v>
      </c>
      <c r="M93" s="13">
        <f t="array" ref="M93">INDEX(L:L,MIN(IF(ISNUMBER(L93:L289),ROW(L93:L289),"")))</f>
        <v>3.4</v>
      </c>
      <c r="N93" s="14">
        <f>IF('Données projet'!$A$36&gt;35,N92+M93-V92,IF(A93&lt;'Données projet'!$A$36,$K$205^A93,IF(A93='Données projet'!$A$36,'Données projet'!$B$36,N92+M93-V92)))</f>
        <v>353.99999999999977</v>
      </c>
      <c r="O93" s="14">
        <f>N93*VLOOKUP('Données projet'!$B$9,Paramètres!$A$1:$I$89,3,0)*VLOOKUP('Données projet'!$B$9,Paramètres!$A$1:$I$89,5,0)</f>
        <v>320.29919999999976</v>
      </c>
      <c r="P93" s="14">
        <f t="shared" si="87"/>
        <v>75.41560465509292</v>
      </c>
      <c r="Q93" s="22">
        <f t="shared" si="54"/>
        <v>689.20328477428632</v>
      </c>
      <c r="R93" s="62">
        <f t="shared" si="55"/>
        <v>982.53661810761969</v>
      </c>
      <c r="S93" s="62">
        <f ca="1">AVERAGE(OFFSET($R$3,0,0,'Données projet'!$E$9+1,1))-AVERAGE(OFFSET($H$3,0,0,'Données projet'!$E$9+1,1))</f>
        <v>508.77990078889337</v>
      </c>
      <c r="T93" s="62">
        <f t="shared" si="88"/>
        <v>278.21741231699929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354</v>
      </c>
      <c r="AG93" s="13">
        <f>VLOOKUP(A93,'Données projet'!$A$61:$I$81,9,0)</f>
        <v>3.4</v>
      </c>
      <c r="AH93" s="13">
        <f t="array" ref="AH93">INDEX(AG:AG,MIN(IF(ISNUMBER(AG93:AG289),ROW(AG93:AG289),"")))</f>
        <v>3.4</v>
      </c>
      <c r="AI93" s="14">
        <f>IF('Données projet'!$A$62&gt;35,AI92+AH93-AQ92,IF(A93&lt;'Données projet'!$A$62,$AF$205^A93,IF(A93='Données projet'!$A$62,'Données projet'!$B$62,AI92+AH93-AQ92)))</f>
        <v>353.99999999999977</v>
      </c>
      <c r="AJ93" s="14">
        <f>AI93*VLOOKUP('Données projet'!$B$10,Paramètres!$A$1:$I$89,3,0)*VLOOKUP('Données projet'!$B$10,Paramètres!$A$1:$I$89,5,0)</f>
        <v>358.95599999999979</v>
      </c>
      <c r="AK93" s="14">
        <f t="shared" si="89"/>
        <v>83.403924069620885</v>
      </c>
      <c r="AL93" s="22">
        <f t="shared" si="58"/>
        <v>770.443534421256</v>
      </c>
      <c r="AM93" s="62">
        <f t="shared" si="59"/>
        <v>1063.7768677545894</v>
      </c>
      <c r="AN93" s="62">
        <f ca="1">AVERAGE(OFFSET($AM$3,0,0,'Données projet'!$E$10+1,1))-AVERAGE(OFFSET($H$3,0,0,'Données projet'!$E$10+1,1))</f>
        <v>564.84596170333884</v>
      </c>
      <c r="AO93" s="62">
        <f t="shared" si="90"/>
        <v>306.61893266146666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56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-1.8089849618263545E-13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370.79299728190904</v>
      </c>
      <c r="BJ93" s="62">
        <f t="shared" si="92"/>
        <v>404.95703400805775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projet'!$B$12,Paramètres!$A$1:$I$89,3,0)*VLOOKUP('Données projet'!$B$12,Paramètres!$A$1:$I$89,5,0)</f>
        <v>-1.8089849618263545E-13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370.79299728190904</v>
      </c>
      <c r="CE93" s="62">
        <f t="shared" si="94"/>
        <v>404.95703400805775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-1.7053025658242404E-13</v>
      </c>
      <c r="CU93" s="18">
        <f>CT93*VLOOKUP('Données projet'!$B$13,Paramètres!$A$1:$I$89,3,0)*VLOOKUP('Données projet'!$B$13,Paramètres!$A$1:$I$89,5,0)</f>
        <v>-1.4897523215040567E-13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339.58437495284466</v>
      </c>
      <c r="CZ93" s="62">
        <f t="shared" si="96"/>
        <v>371.26234252426531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-2.2737367544323206E-13</v>
      </c>
      <c r="DP93" s="18">
        <f>DO93*VLOOKUP('Données projet'!$B$14,Paramètres!$A$1:$I$89,3,0)*VLOOKUP('Données projet'!$B$14,Paramètres!$A$1:$I$89,5,0)</f>
        <v>-1.6671037883497774E-13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344.63665697794022</v>
      </c>
      <c r="DU93" s="62">
        <f t="shared" si="98"/>
        <v>376.72762011188041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248.7179487179487</v>
      </c>
      <c r="EH93" s="13">
        <f>VLOOKUP(A93,'Données projet'!$A$191:$I$211,9,0)</f>
        <v>3.8461538461538454</v>
      </c>
      <c r="EI93" s="13">
        <f t="array" ref="EI93">INDEX(EH:EH,MIN(IF(ISNUMBER(EH93:EH289),ROW(EH93:EH289),"")))</f>
        <v>3.8461538461538454</v>
      </c>
      <c r="EJ93" s="13">
        <f>IF('Données projet'!$A$192&gt;35,EJ92+EI93-ER92,IF(A93&lt;'Données projet'!$A$192,$EG$205^A93,IF(A93='Données projet'!$A$192,'Données projet'!$B$192,EJ92+EI93-ER92)))</f>
        <v>248.71794871794864</v>
      </c>
      <c r="EK93" s="18">
        <f>EJ93*VLOOKUP('Données projet'!$B$15,Paramètres!$A$1:$I$89,3,0)*VLOOKUP('Données projet'!$B$15,Paramètres!$A$1:$I$89,5,0)</f>
        <v>236.67999999999995</v>
      </c>
      <c r="EL93" s="14">
        <f t="shared" si="99"/>
        <v>57.724638232498961</v>
      </c>
      <c r="EM93" s="22">
        <f t="shared" si="73"/>
        <v>512.7547449216022</v>
      </c>
      <c r="EN93" s="62">
        <f t="shared" si="74"/>
        <v>806.08807825493545</v>
      </c>
      <c r="EO93" s="62">
        <f ca="1">AVERAGE(OFFSET($EN$3,0,0,'Données projet'!$E$15+1,1))-AVERAGE(OFFSET($H$3,0,0,'Données projet'!$E$15+1,1))</f>
        <v>406.24139966722936</v>
      </c>
      <c r="EP93" s="62">
        <f t="shared" si="100"/>
        <v>295.95724296920577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354</v>
      </c>
      <c r="FC93" s="13">
        <f>VLOOKUP(A93,'Données projet'!$A$217:$I$237,9,0)</f>
        <v>3.4</v>
      </c>
      <c r="FD93" s="13">
        <f t="array" ref="FD93">INDEX(FC:FC,MIN(IF(ISNUMBER(FC93:FC289),ROW(FC93:FC289),"")))</f>
        <v>3.4</v>
      </c>
      <c r="FE93" s="13">
        <f>IF('Données projet'!$A$218&gt;35,FE92+FD93-FM92,IF(A93&lt;'Données projet'!$A$218,$FB$205^A93,IF(A93='Données projet'!$A$218,'Données projet'!$B$218,FE92+FD93-FM92)))</f>
        <v>353.99999999999977</v>
      </c>
      <c r="FF93" s="18">
        <f>FE93*VLOOKUP('Données projet'!$B$16,Paramètres!$A$1:$I$89,3,0)*VLOOKUP('Données projet'!$B$16,Paramètres!$A$1:$I$89,5,0)</f>
        <v>342.38879999999978</v>
      </c>
      <c r="FG93" s="14">
        <f t="shared" si="101"/>
        <v>79.993286339683465</v>
      </c>
      <c r="FH93" s="22">
        <f t="shared" si="76"/>
        <v>735.64880037494834</v>
      </c>
      <c r="FI93" s="62">
        <f t="shared" si="77"/>
        <v>1028.9821337082817</v>
      </c>
      <c r="FJ93" s="62">
        <f ca="1">AVERAGE(OFFSET($FI$3,0,0,'Données projet'!$E$16+1,1))-AVERAGE(OFFSET($H$3,0,0,'Données projet'!$E$16+1,1))</f>
        <v>540.83352418045502</v>
      </c>
      <c r="FK93" s="62">
        <f t="shared" si="102"/>
        <v>294.45557293177131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56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1.1368683772161603E-13</v>
      </c>
      <c r="GA93" s="18">
        <f>FZ93*VLOOKUP('Données projet'!$B$17,Paramètres!$A$1:$I$89,3,0)*VLOOKUP('Données projet'!$B$17,Paramètres!$A$1:$I$89,5,0)</f>
        <v>8.8675733422860506E-14</v>
      </c>
      <c r="GB93" s="14">
        <f t="shared" si="103"/>
        <v>1.3509285393066301E-12</v>
      </c>
      <c r="GC93" s="22">
        <f t="shared" si="79"/>
        <v>2.5073107750038623E-12</v>
      </c>
      <c r="GD93" s="62">
        <f t="shared" si="80"/>
        <v>293.33333333333582</v>
      </c>
      <c r="GE93" s="62">
        <f ca="1">AVERAGE(OFFSET($GD$3,0,0,'Données projet'!$E$17+1,1))-AVERAGE(OFFSET($H$3,0,0,'Données projet'!$E$17+1,1))</f>
        <v>292.57482726862594</v>
      </c>
      <c r="GF93" s="62">
        <f t="shared" si="104"/>
        <v>283.48738729114024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309.61538461538458</v>
      </c>
      <c r="GS93" s="13">
        <f>VLOOKUP(A93,'Données projet'!$A$269:$I$289,9,0)</f>
        <v>4.1025641025640995</v>
      </c>
      <c r="GT93" s="13">
        <f t="array" ref="GT93">INDEX(GS:GS,MIN(IF(ISNUMBER(GS93:GS289),ROW(GS93:GS289),"")))</f>
        <v>4.1025641025640995</v>
      </c>
      <c r="GU93" s="13">
        <f>IF('Données projet'!$A$270&gt;35,GU92+GT93-HC92,IF(A93&lt;'Données projet'!$A$270,$GR$205^A93,IF(A93='Données projet'!$A$270,'Données projet'!$B$270,GU92+GT93-HC92)))</f>
        <v>309.61538461538453</v>
      </c>
      <c r="GV93" s="18">
        <f>GU93*VLOOKUP('Données projet'!$B$18,Paramètres!$A$1:$I$89,3,0)*VLOOKUP('Données projet'!$B$18,Paramètres!$A$1:$I$89,5,0)</f>
        <v>207.68999999999997</v>
      </c>
      <c r="GW93" s="14">
        <f t="shared" si="105"/>
        <v>51.430468080360896</v>
      </c>
      <c r="GX93" s="22">
        <f t="shared" si="82"/>
        <v>451.30148190662845</v>
      </c>
      <c r="GY93" s="62">
        <f t="shared" si="83"/>
        <v>744.63481523996177</v>
      </c>
      <c r="GZ93" s="62">
        <f ca="1">AVERAGE(OFFSET($GY$3,0,0,'Données projet'!$E$18+1,1))-AVERAGE(OFFSET($H$3,0,0,'Données projet'!$E$18+1,1))</f>
        <v>343.33067866534634</v>
      </c>
      <c r="HA93" s="62">
        <f t="shared" si="106"/>
        <v>261.91036689641402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</v>
      </c>
      <c r="N94" s="14">
        <f>IF('Données projet'!$A$36&gt;35,N93+M94-V93,IF(A94&lt;'Données projet'!$A$36,$K$205^A94,IF(A94='Données projet'!$A$36,'Données projet'!$B$36,N93+M94-V93)))</f>
        <v>304.29999999999978</v>
      </c>
      <c r="O94" s="14">
        <f>N94*VLOOKUP('Données projet'!$B$9,Paramètres!$A$1:$I$89,3,0)*VLOOKUP('Données projet'!$B$9,Paramètres!$A$1:$I$89,5,0)</f>
        <v>275.33063999999979</v>
      </c>
      <c r="P94" s="14">
        <f t="shared" si="87"/>
        <v>65.979275169167408</v>
      </c>
      <c r="Q94" s="22">
        <f t="shared" si="54"/>
        <v>594.44810225296612</v>
      </c>
      <c r="R94" s="62">
        <f t="shared" si="55"/>
        <v>887.78143558629949</v>
      </c>
      <c r="S94" s="62">
        <f ca="1">AVERAGE(OFFSET($R$3,0,0,'Données projet'!$E$9+1,1))-AVERAGE(OFFSET($H$3,0,0,'Données projet'!$E$9+1,1))</f>
        <v>508.77990078889337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6.3</v>
      </c>
      <c r="AI94" s="14">
        <f>IF('Données projet'!$A$62&gt;35,AI93+AH94-AQ93,IF(A94&lt;'Données projet'!$A$62,$AF$205^A94,IF(A94='Données projet'!$A$62,'Données projet'!$B$62,AI93+AH94-AQ93)))</f>
        <v>304.29999999999978</v>
      </c>
      <c r="AJ94" s="14">
        <f>AI94*VLOOKUP('Données projet'!$B$10,Paramètres!$A$1:$I$89,3,0)*VLOOKUP('Données projet'!$B$10,Paramètres!$A$1:$I$89,5,0)</f>
        <v>308.56019999999984</v>
      </c>
      <c r="AK94" s="14">
        <f t="shared" si="89"/>
        <v>72.968061206232605</v>
      </c>
      <c r="AL94" s="22">
        <f t="shared" si="58"/>
        <v>664.49505493418815</v>
      </c>
      <c r="AM94" s="62">
        <f t="shared" si="59"/>
        <v>957.8283882675214</v>
      </c>
      <c r="AN94" s="62">
        <f ca="1">AVERAGE(OFFSET($AM$3,0,0,'Données projet'!$E$10+1,1))-AVERAGE(OFFSET($H$3,0,0,'Données projet'!$E$10+1,1))</f>
        <v>564.84596170333884</v>
      </c>
      <c r="AO94" s="62">
        <f t="shared" si="90"/>
        <v>306.61893266146666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-1.8089849618263545E-13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370.79299728190904</v>
      </c>
      <c r="BJ94" s="62">
        <f t="shared" si="92"/>
        <v>404.95703400805775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projet'!$B$12,Paramètres!$A$1:$I$89,3,0)*VLOOKUP('Données projet'!$B$12,Paramètres!$A$1:$I$89,5,0)</f>
        <v>-1.8089849618263545E-13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370.79299728190904</v>
      </c>
      <c r="CE94" s="62">
        <f t="shared" si="94"/>
        <v>404.95703400805775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-1.7053025658242404E-13</v>
      </c>
      <c r="CU94" s="18">
        <f>CT94*VLOOKUP('Données projet'!$B$13,Paramètres!$A$1:$I$89,3,0)*VLOOKUP('Données projet'!$B$13,Paramètres!$A$1:$I$89,5,0)</f>
        <v>-1.4897523215040567E-13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339.58437495284466</v>
      </c>
      <c r="CZ94" s="62">
        <f t="shared" si="96"/>
        <v>371.26234252426531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-2.2737367544323206E-13</v>
      </c>
      <c r="DP94" s="18">
        <f>DO94*VLOOKUP('Données projet'!$B$14,Paramètres!$A$1:$I$89,3,0)*VLOOKUP('Données projet'!$B$14,Paramètres!$A$1:$I$89,5,0)</f>
        <v>-1.6671037883497774E-13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344.63665697794022</v>
      </c>
      <c r="DU94" s="62">
        <f t="shared" si="98"/>
        <v>376.72762011188041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3.8461538461538511</v>
      </c>
      <c r="EJ94" s="13">
        <f>IF('Données projet'!$A$192&gt;35,EJ93+EI94-ER93,IF(A94&lt;'Données projet'!$A$192,$EG$205^A94,IF(A94='Données projet'!$A$192,'Données projet'!$B$192,EJ93+EI94-ER93)))</f>
        <v>252.56410256410248</v>
      </c>
      <c r="EK94" s="18">
        <f>EJ94*VLOOKUP('Données projet'!$B$15,Paramètres!$A$1:$I$89,3,0)*VLOOKUP('Données projet'!$B$15,Paramètres!$A$1:$I$89,5,0)</f>
        <v>240.33999999999992</v>
      </c>
      <c r="EL94" s="14">
        <f t="shared" si="99"/>
        <v>58.512677110228594</v>
      </c>
      <c r="EM94" s="22">
        <f t="shared" si="73"/>
        <v>520.50174596698128</v>
      </c>
      <c r="EN94" s="62">
        <f t="shared" si="74"/>
        <v>813.83507930031465</v>
      </c>
      <c r="EO94" s="62">
        <f ca="1">AVERAGE(OFFSET($EN$3,0,0,'Données projet'!$E$15+1,1))-AVERAGE(OFFSET($H$3,0,0,'Données projet'!$E$15+1,1))</f>
        <v>406.24139966722936</v>
      </c>
      <c r="EP94" s="62">
        <f t="shared" si="100"/>
        <v>295.95724296920577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6.3</v>
      </c>
      <c r="FE94" s="13">
        <f>IF('Données projet'!$A$218&gt;35,FE93+FD94-FM93,IF(A94&lt;'Données projet'!$A$218,$FB$205^A94,IF(A94='Données projet'!$A$218,'Données projet'!$B$218,FE93+FD94-FM93)))</f>
        <v>304.29999999999978</v>
      </c>
      <c r="FF94" s="18">
        <f>FE94*VLOOKUP('Données projet'!$B$16,Paramètres!$A$1:$I$89,3,0)*VLOOKUP('Données projet'!$B$16,Paramètres!$A$1:$I$89,5,0)</f>
        <v>294.31895999999978</v>
      </c>
      <c r="FG94" s="14">
        <f t="shared" si="101"/>
        <v>69.984177349369716</v>
      </c>
      <c r="FH94" s="22">
        <f t="shared" si="76"/>
        <v>634.49463088348523</v>
      </c>
      <c r="FI94" s="62">
        <f t="shared" si="77"/>
        <v>927.8279642168186</v>
      </c>
      <c r="FJ94" s="62">
        <f ca="1">AVERAGE(OFFSET($FI$3,0,0,'Données projet'!$E$16+1,1))-AVERAGE(OFFSET($H$3,0,0,'Données projet'!$E$16+1,1))</f>
        <v>540.83352418045502</v>
      </c>
      <c r="FK94" s="62">
        <f t="shared" si="102"/>
        <v>294.45557293177131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1.1368683772161603E-13</v>
      </c>
      <c r="GA94" s="18">
        <f>FZ94*VLOOKUP('Données projet'!$B$17,Paramètres!$A$1:$I$89,3,0)*VLOOKUP('Données projet'!$B$17,Paramètres!$A$1:$I$89,5,0)</f>
        <v>8.8675733422860506E-14</v>
      </c>
      <c r="GB94" s="14">
        <f t="shared" si="103"/>
        <v>1.3509285393066301E-12</v>
      </c>
      <c r="GC94" s="22">
        <f t="shared" si="79"/>
        <v>2.5073107750038623E-12</v>
      </c>
      <c r="GD94" s="62">
        <f t="shared" si="80"/>
        <v>293.33333333333582</v>
      </c>
      <c r="GE94" s="62">
        <f ca="1">AVERAGE(OFFSET($GD$3,0,0,'Données projet'!$E$17+1,1))-AVERAGE(OFFSET($H$3,0,0,'Données projet'!$E$17+1,1))</f>
        <v>292.57482726862594</v>
      </c>
      <c r="GF94" s="62">
        <f t="shared" si="104"/>
        <v>283.48738729114024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3.9743589743589838</v>
      </c>
      <c r="GU94" s="13">
        <f>IF('Données projet'!$A$270&gt;35,GU93+GT94-HC93,IF(A94&lt;'Données projet'!$A$270,$GR$205^A94,IF(A94='Données projet'!$A$270,'Données projet'!$B$270,GU93+GT94-HC93)))</f>
        <v>313.58974358974353</v>
      </c>
      <c r="GV94" s="18">
        <f>GU94*VLOOKUP('Données projet'!$B$18,Paramètres!$A$1:$I$89,3,0)*VLOOKUP('Données projet'!$B$18,Paramètres!$A$1:$I$89,5,0)</f>
        <v>210.35599999999997</v>
      </c>
      <c r="GW94" s="14">
        <f t="shared" si="105"/>
        <v>52.013372984495476</v>
      </c>
      <c r="GX94" s="22">
        <f t="shared" si="82"/>
        <v>456.95999128132956</v>
      </c>
      <c r="GY94" s="62">
        <f t="shared" si="83"/>
        <v>750.29332461466288</v>
      </c>
      <c r="GZ94" s="62">
        <f ca="1">AVERAGE(OFFSET($GY$3,0,0,'Données projet'!$E$18+1,1))-AVERAGE(OFFSET($H$3,0,0,'Données projet'!$E$18+1,1))</f>
        <v>343.33067866534634</v>
      </c>
      <c r="HA94" s="62">
        <f t="shared" si="106"/>
        <v>261.91036689641402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</v>
      </c>
      <c r="N95" s="14">
        <f>IF('Données projet'!$A$36&gt;35,N94+M95-V94,IF(A95&lt;'Données projet'!$A$36,$K$205^A95,IF(A95='Données projet'!$A$36,'Données projet'!$B$36,N94+M95-V94)))</f>
        <v>310.5999999999998</v>
      </c>
      <c r="O95" s="14">
        <f>N95*VLOOKUP('Données projet'!$B$9,Paramètres!$A$1:$I$89,3,0)*VLOOKUP('Données projet'!$B$9,Paramètres!$A$1:$I$89,5,0)</f>
        <v>281.03087999999985</v>
      </c>
      <c r="P95" s="14">
        <f t="shared" si="87"/>
        <v>67.184816842275467</v>
      </c>
      <c r="Q95" s="22">
        <f t="shared" si="54"/>
        <v>606.47567200029607</v>
      </c>
      <c r="R95" s="62">
        <f t="shared" si="55"/>
        <v>899.80900533362933</v>
      </c>
      <c r="S95" s="62">
        <f ca="1">AVERAGE(OFFSET($R$3,0,0,'Données projet'!$E$9+1,1))-AVERAGE(OFFSET($H$3,0,0,'Données projet'!$E$9+1,1))</f>
        <v>508.77990078889337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6.3</v>
      </c>
      <c r="AI95" s="14">
        <f>IF('Données projet'!$A$62&gt;35,AI94+AH95-AQ94,IF(A95&lt;'Données projet'!$A$62,$AF$205^A95,IF(A95='Données projet'!$A$62,'Données projet'!$B$62,AI94+AH95-AQ94)))</f>
        <v>310.5999999999998</v>
      </c>
      <c r="AJ95" s="14">
        <f>AI95*VLOOKUP('Données projet'!$B$10,Paramètres!$A$1:$I$89,3,0)*VLOOKUP('Données projet'!$B$10,Paramètres!$A$1:$I$89,5,0)</f>
        <v>314.94839999999982</v>
      </c>
      <c r="AK95" s="14">
        <f t="shared" si="89"/>
        <v>74.301298626081149</v>
      </c>
      <c r="AL95" s="22">
        <f t="shared" si="58"/>
        <v>677.94322510709105</v>
      </c>
      <c r="AM95" s="62">
        <f t="shared" si="59"/>
        <v>971.27655844042442</v>
      </c>
      <c r="AN95" s="62">
        <f ca="1">AVERAGE(OFFSET($AM$3,0,0,'Données projet'!$E$10+1,1))-AVERAGE(OFFSET($H$3,0,0,'Données projet'!$E$10+1,1))</f>
        <v>564.84596170333884</v>
      </c>
      <c r="AO95" s="62">
        <f t="shared" si="90"/>
        <v>306.61893266146666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-1.8089849618263545E-13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370.79299728190904</v>
      </c>
      <c r="BJ95" s="62">
        <f t="shared" si="92"/>
        <v>404.95703400805775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projet'!$B$12,Paramètres!$A$1:$I$89,3,0)*VLOOKUP('Données projet'!$B$12,Paramètres!$A$1:$I$89,5,0)</f>
        <v>-1.8089849618263545E-13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370.79299728190904</v>
      </c>
      <c r="CE95" s="62">
        <f t="shared" si="94"/>
        <v>404.95703400805775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-1.7053025658242404E-13</v>
      </c>
      <c r="CU95" s="18">
        <f>CT95*VLOOKUP('Données projet'!$B$13,Paramètres!$A$1:$I$89,3,0)*VLOOKUP('Données projet'!$B$13,Paramètres!$A$1:$I$89,5,0)</f>
        <v>-1.4897523215040567E-13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339.58437495284466</v>
      </c>
      <c r="CZ95" s="62">
        <f t="shared" si="96"/>
        <v>371.26234252426531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-2.2737367544323206E-13</v>
      </c>
      <c r="DP95" s="18">
        <f>DO95*VLOOKUP('Données projet'!$B$14,Paramètres!$A$1:$I$89,3,0)*VLOOKUP('Données projet'!$B$14,Paramètres!$A$1:$I$89,5,0)</f>
        <v>-1.6671037883497774E-13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344.63665697794022</v>
      </c>
      <c r="DU95" s="62">
        <f t="shared" si="98"/>
        <v>376.72762011188041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3.8461538461538511</v>
      </c>
      <c r="EJ95" s="13">
        <f>IF('Données projet'!$A$192&gt;35,EJ94+EI95-ER94,IF(A95&lt;'Données projet'!$A$192,$EG$205^A95,IF(A95='Données projet'!$A$192,'Données projet'!$B$192,EJ94+EI95-ER94)))</f>
        <v>256.41025641025635</v>
      </c>
      <c r="EK95" s="18">
        <f>EJ95*VLOOKUP('Données projet'!$B$15,Paramètres!$A$1:$I$89,3,0)*VLOOKUP('Données projet'!$B$15,Paramètres!$A$1:$I$89,5,0)</f>
        <v>243.99999999999997</v>
      </c>
      <c r="EL95" s="14">
        <f t="shared" si="99"/>
        <v>59.299320299313244</v>
      </c>
      <c r="EM95" s="22">
        <f t="shared" si="73"/>
        <v>528.24631618797048</v>
      </c>
      <c r="EN95" s="62">
        <f t="shared" si="74"/>
        <v>821.57964952130374</v>
      </c>
      <c r="EO95" s="62">
        <f ca="1">AVERAGE(OFFSET($EN$3,0,0,'Données projet'!$E$15+1,1))-AVERAGE(OFFSET($H$3,0,0,'Données projet'!$E$15+1,1))</f>
        <v>406.24139966722936</v>
      </c>
      <c r="EP95" s="62">
        <f t="shared" si="100"/>
        <v>295.95724296920577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6.3</v>
      </c>
      <c r="FE95" s="13">
        <f>IF('Données projet'!$A$218&gt;35,FE94+FD95-FM94,IF(A95&lt;'Données projet'!$A$218,$FB$205^A95,IF(A95='Données projet'!$A$218,'Données projet'!$B$218,FE94+FD95-FM94)))</f>
        <v>310.5999999999998</v>
      </c>
      <c r="FF95" s="18">
        <f>FE95*VLOOKUP('Données projet'!$B$16,Paramètres!$A$1:$I$89,3,0)*VLOOKUP('Données projet'!$B$16,Paramètres!$A$1:$I$89,5,0)</f>
        <v>300.4123199999998</v>
      </c>
      <c r="FG95" s="14">
        <f t="shared" si="101"/>
        <v>71.262894674416614</v>
      </c>
      <c r="FH95" s="22">
        <f t="shared" si="76"/>
        <v>647.33433222460849</v>
      </c>
      <c r="FI95" s="62">
        <f t="shared" si="77"/>
        <v>940.66766555794175</v>
      </c>
      <c r="FJ95" s="62">
        <f ca="1">AVERAGE(OFFSET($FI$3,0,0,'Données projet'!$E$16+1,1))-AVERAGE(OFFSET($H$3,0,0,'Données projet'!$E$16+1,1))</f>
        <v>540.83352418045502</v>
      </c>
      <c r="FK95" s="62">
        <f t="shared" si="102"/>
        <v>294.45557293177131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1.1368683772161603E-13</v>
      </c>
      <c r="GA95" s="18">
        <f>FZ95*VLOOKUP('Données projet'!$B$17,Paramètres!$A$1:$I$89,3,0)*VLOOKUP('Données projet'!$B$17,Paramètres!$A$1:$I$89,5,0)</f>
        <v>8.8675733422860506E-14</v>
      </c>
      <c r="GB95" s="14">
        <f t="shared" si="103"/>
        <v>1.3509285393066301E-12</v>
      </c>
      <c r="GC95" s="22">
        <f t="shared" si="79"/>
        <v>2.5073107750038623E-12</v>
      </c>
      <c r="GD95" s="62">
        <f t="shared" si="80"/>
        <v>293.33333333333582</v>
      </c>
      <c r="GE95" s="62">
        <f ca="1">AVERAGE(OFFSET($GD$3,0,0,'Données projet'!$E$17+1,1))-AVERAGE(OFFSET($H$3,0,0,'Données projet'!$E$17+1,1))</f>
        <v>292.57482726862594</v>
      </c>
      <c r="GF95" s="62">
        <f t="shared" si="104"/>
        <v>283.48738729114024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3.9743589743589838</v>
      </c>
      <c r="GU95" s="13">
        <f>IF('Données projet'!$A$270&gt;35,GU94+GT95-HC94,IF(A95&lt;'Données projet'!$A$270,$GR$205^A95,IF(A95='Données projet'!$A$270,'Données projet'!$B$270,GU94+GT95-HC94)))</f>
        <v>317.56410256410254</v>
      </c>
      <c r="GV95" s="18">
        <f>GU95*VLOOKUP('Données projet'!$B$18,Paramètres!$A$1:$I$89,3,0)*VLOOKUP('Données projet'!$B$18,Paramètres!$A$1:$I$89,5,0)</f>
        <v>213.02199999999996</v>
      </c>
      <c r="GW95" s="14">
        <f t="shared" si="105"/>
        <v>52.595418582472995</v>
      </c>
      <c r="GX95" s="22">
        <f t="shared" si="82"/>
        <v>462.61700403114037</v>
      </c>
      <c r="GY95" s="62">
        <f t="shared" si="83"/>
        <v>755.95033736447363</v>
      </c>
      <c r="GZ95" s="62">
        <f ca="1">AVERAGE(OFFSET($GY$3,0,0,'Données projet'!$E$18+1,1))-AVERAGE(OFFSET($H$3,0,0,'Données projet'!$E$18+1,1))</f>
        <v>343.33067866534634</v>
      </c>
      <c r="HA95" s="62">
        <f t="shared" si="106"/>
        <v>261.91036689641402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</v>
      </c>
      <c r="N96" s="14">
        <f>IF('Données projet'!$A$36&gt;35,N95+M96-V95,IF(A96&lt;'Données projet'!$A$36,$K$205^A96,IF(A96='Données projet'!$A$36,'Données projet'!$B$36,N95+M96-V95)))</f>
        <v>316.89999999999981</v>
      </c>
      <c r="O96" s="14">
        <f>N96*VLOOKUP('Données projet'!$B$9,Paramètres!$A$1:$I$89,3,0)*VLOOKUP('Données projet'!$B$9,Paramètres!$A$1:$I$89,5,0)</f>
        <v>286.73111999999981</v>
      </c>
      <c r="P96" s="14">
        <f t="shared" si="87"/>
        <v>68.387515408373375</v>
      </c>
      <c r="Q96" s="22">
        <f t="shared" si="54"/>
        <v>618.49829000291663</v>
      </c>
      <c r="R96" s="62">
        <f t="shared" si="55"/>
        <v>911.83162333625</v>
      </c>
      <c r="S96" s="62">
        <f ca="1">AVERAGE(OFFSET($R$3,0,0,'Données projet'!$E$9+1,1))-AVERAGE(OFFSET($H$3,0,0,'Données projet'!$E$9+1,1))</f>
        <v>508.77990078889337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6.3</v>
      </c>
      <c r="AI96" s="14">
        <f>IF('Données projet'!$A$62&gt;35,AI95+AH96-AQ95,IF(A96&lt;'Données projet'!$A$62,$AF$205^A96,IF(A96='Données projet'!$A$62,'Données projet'!$B$62,AI95+AH96-AQ95)))</f>
        <v>316.89999999999981</v>
      </c>
      <c r="AJ96" s="14">
        <f>AI96*VLOOKUP('Données projet'!$B$10,Paramètres!$A$1:$I$89,3,0)*VLOOKUP('Données projet'!$B$10,Paramètres!$A$1:$I$89,5,0)</f>
        <v>321.33659999999981</v>
      </c>
      <c r="AK96" s="14">
        <f t="shared" si="89"/>
        <v>75.631391785769054</v>
      </c>
      <c r="AL96" s="22">
        <f t="shared" si="58"/>
        <v>691.38591902688074</v>
      </c>
      <c r="AM96" s="62">
        <f t="shared" si="59"/>
        <v>984.71925236021411</v>
      </c>
      <c r="AN96" s="62">
        <f ca="1">AVERAGE(OFFSET($AM$3,0,0,'Données projet'!$E$10+1,1))-AVERAGE(OFFSET($H$3,0,0,'Données projet'!$E$10+1,1))</f>
        <v>564.84596170333884</v>
      </c>
      <c r="AO96" s="62">
        <f t="shared" si="90"/>
        <v>306.61893266146666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-1.8089849618263545E-13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370.79299728190904</v>
      </c>
      <c r="BJ96" s="62">
        <f t="shared" si="92"/>
        <v>404.95703400805775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projet'!$B$12,Paramètres!$A$1:$I$89,3,0)*VLOOKUP('Données projet'!$B$12,Paramètres!$A$1:$I$89,5,0)</f>
        <v>-1.8089849618263545E-13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370.79299728190904</v>
      </c>
      <c r="CE96" s="62">
        <f t="shared" si="94"/>
        <v>404.95703400805775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-1.7053025658242404E-13</v>
      </c>
      <c r="CU96" s="18">
        <f>CT96*VLOOKUP('Données projet'!$B$13,Paramètres!$A$1:$I$89,3,0)*VLOOKUP('Données projet'!$B$13,Paramètres!$A$1:$I$89,5,0)</f>
        <v>-1.4897523215040567E-13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339.58437495284466</v>
      </c>
      <c r="CZ96" s="62">
        <f t="shared" si="96"/>
        <v>371.26234252426531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-2.2737367544323206E-13</v>
      </c>
      <c r="DP96" s="18">
        <f>DO96*VLOOKUP('Données projet'!$B$14,Paramètres!$A$1:$I$89,3,0)*VLOOKUP('Données projet'!$B$14,Paramètres!$A$1:$I$89,5,0)</f>
        <v>-1.6671037883497774E-13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344.63665697794022</v>
      </c>
      <c r="DU96" s="62">
        <f t="shared" si="98"/>
        <v>376.72762011188041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3.8461538461538511</v>
      </c>
      <c r="EJ96" s="13">
        <f>IF('Données projet'!$A$192&gt;35,EJ95+EI96-ER95,IF(A96&lt;'Données projet'!$A$192,$EG$205^A96,IF(A96='Données projet'!$A$192,'Données projet'!$B$192,EJ95+EI96-ER95)))</f>
        <v>260.25641025641022</v>
      </c>
      <c r="EK96" s="18">
        <f>EJ96*VLOOKUP('Données projet'!$B$15,Paramètres!$A$1:$I$89,3,0)*VLOOKUP('Données projet'!$B$15,Paramètres!$A$1:$I$89,5,0)</f>
        <v>247.65999999999994</v>
      </c>
      <c r="EL96" s="14">
        <f t="shared" si="99"/>
        <v>60.084591153326222</v>
      </c>
      <c r="EM96" s="22">
        <f t="shared" si="73"/>
        <v>535.98849625870969</v>
      </c>
      <c r="EN96" s="62">
        <f t="shared" si="74"/>
        <v>829.32182959204306</v>
      </c>
      <c r="EO96" s="62">
        <f ca="1">AVERAGE(OFFSET($EN$3,0,0,'Données projet'!$E$15+1,1))-AVERAGE(OFFSET($H$3,0,0,'Données projet'!$E$15+1,1))</f>
        <v>406.24139966722936</v>
      </c>
      <c r="EP96" s="62">
        <f t="shared" si="100"/>
        <v>295.95724296920577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6.3</v>
      </c>
      <c r="FE96" s="13">
        <f>IF('Données projet'!$A$218&gt;35,FE95+FD96-FM95,IF(A96&lt;'Données projet'!$A$218,$FB$205^A96,IF(A96='Données projet'!$A$218,'Données projet'!$B$218,FE95+FD96-FM95)))</f>
        <v>316.89999999999981</v>
      </c>
      <c r="FF96" s="18">
        <f>FE96*VLOOKUP('Données projet'!$B$16,Paramètres!$A$1:$I$89,3,0)*VLOOKUP('Données projet'!$B$16,Paramètres!$A$1:$I$89,5,0)</f>
        <v>306.50567999999981</v>
      </c>
      <c r="FG96" s="14">
        <f t="shared" si="101"/>
        <v>72.53859631757382</v>
      </c>
      <c r="FH96" s="22">
        <f t="shared" si="76"/>
        <v>660.16878125310734</v>
      </c>
      <c r="FI96" s="62">
        <f t="shared" si="77"/>
        <v>953.50211458644071</v>
      </c>
      <c r="FJ96" s="62">
        <f ca="1">AVERAGE(OFFSET($FI$3,0,0,'Données projet'!$E$16+1,1))-AVERAGE(OFFSET($H$3,0,0,'Données projet'!$E$16+1,1))</f>
        <v>540.83352418045502</v>
      </c>
      <c r="FK96" s="62">
        <f t="shared" si="102"/>
        <v>294.45557293177131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1.1368683772161603E-13</v>
      </c>
      <c r="GA96" s="18">
        <f>FZ96*VLOOKUP('Données projet'!$B$17,Paramètres!$A$1:$I$89,3,0)*VLOOKUP('Données projet'!$B$17,Paramètres!$A$1:$I$89,5,0)</f>
        <v>8.8675733422860506E-14</v>
      </c>
      <c r="GB96" s="14">
        <f t="shared" si="103"/>
        <v>1.3509285393066301E-12</v>
      </c>
      <c r="GC96" s="22">
        <f t="shared" si="79"/>
        <v>2.5073107750038623E-12</v>
      </c>
      <c r="GD96" s="62">
        <f t="shared" si="80"/>
        <v>293.33333333333582</v>
      </c>
      <c r="GE96" s="62">
        <f ca="1">AVERAGE(OFFSET($GD$3,0,0,'Données projet'!$E$17+1,1))-AVERAGE(OFFSET($H$3,0,0,'Données projet'!$E$17+1,1))</f>
        <v>292.57482726862594</v>
      </c>
      <c r="GF96" s="62">
        <f t="shared" si="104"/>
        <v>283.48738729114024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3.9743589743589838</v>
      </c>
      <c r="GU96" s="13">
        <f>IF('Données projet'!$A$270&gt;35,GU95+GT96-HC95,IF(A96&lt;'Données projet'!$A$270,$GR$205^A96,IF(A96='Données projet'!$A$270,'Données projet'!$B$270,GU95+GT96-HC95)))</f>
        <v>321.53846153846155</v>
      </c>
      <c r="GV96" s="18">
        <f>GU96*VLOOKUP('Données projet'!$B$18,Paramètres!$A$1:$I$89,3,0)*VLOOKUP('Données projet'!$B$18,Paramètres!$A$1:$I$89,5,0)</f>
        <v>215.68800000000002</v>
      </c>
      <c r="GW96" s="14">
        <f t="shared" si="105"/>
        <v>53.17661687232367</v>
      </c>
      <c r="GX96" s="22">
        <f t="shared" si="82"/>
        <v>468.2725410526304</v>
      </c>
      <c r="GY96" s="62">
        <f t="shared" si="83"/>
        <v>761.60587438596372</v>
      </c>
      <c r="GZ96" s="62">
        <f ca="1">AVERAGE(OFFSET($GY$3,0,0,'Données projet'!$E$18+1,1))-AVERAGE(OFFSET($H$3,0,0,'Données projet'!$E$18+1,1))</f>
        <v>343.33067866534634</v>
      </c>
      <c r="HA96" s="62">
        <f t="shared" si="106"/>
        <v>261.91036689641402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</v>
      </c>
      <c r="N97" s="14">
        <f>IF('Données projet'!$A$36&gt;35,N96+M97-V96,IF(A97&lt;'Données projet'!$A$36,$K$205^A97,IF(A97='Données projet'!$A$36,'Données projet'!$B$36,N96+M97-V96)))</f>
        <v>323.19999999999982</v>
      </c>
      <c r="O97" s="14">
        <f>N97*VLOOKUP('Données projet'!$B$9,Paramètres!$A$1:$I$89,3,0)*VLOOKUP('Données projet'!$B$9,Paramètres!$A$1:$I$89,5,0)</f>
        <v>292.43135999999981</v>
      </c>
      <c r="P97" s="14">
        <f t="shared" si="87"/>
        <v>69.58743390317693</v>
      </c>
      <c r="Q97" s="22">
        <f t="shared" si="54"/>
        <v>630.51606604803283</v>
      </c>
      <c r="R97" s="62">
        <f t="shared" si="55"/>
        <v>923.84939938136608</v>
      </c>
      <c r="S97" s="62">
        <f ca="1">AVERAGE(OFFSET($R$3,0,0,'Données projet'!$E$9+1,1))-AVERAGE(OFFSET($H$3,0,0,'Données projet'!$E$9+1,1))</f>
        <v>508.77990078889337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6.3</v>
      </c>
      <c r="AI97" s="14">
        <f>IF('Données projet'!$A$62&gt;35,AI96+AH97-AQ96,IF(A97&lt;'Données projet'!$A$62,$AF$205^A97,IF(A97='Données projet'!$A$62,'Données projet'!$B$62,AI96+AH97-AQ96)))</f>
        <v>323.19999999999982</v>
      </c>
      <c r="AJ97" s="14">
        <f>AI97*VLOOKUP('Données projet'!$B$10,Paramètres!$A$1:$I$89,3,0)*VLOOKUP('Données projet'!$B$10,Paramètres!$A$1:$I$89,5,0)</f>
        <v>327.72479999999985</v>
      </c>
      <c r="AK97" s="14">
        <f t="shared" si="89"/>
        <v>76.958410398004915</v>
      </c>
      <c r="AL97" s="22">
        <f t="shared" si="58"/>
        <v>704.82325810985822</v>
      </c>
      <c r="AM97" s="62">
        <f t="shared" si="59"/>
        <v>998.15659144319147</v>
      </c>
      <c r="AN97" s="62">
        <f ca="1">AVERAGE(OFFSET($AM$3,0,0,'Données projet'!$E$10+1,1))-AVERAGE(OFFSET($H$3,0,0,'Données projet'!$E$10+1,1))</f>
        <v>564.84596170333884</v>
      </c>
      <c r="AO97" s="62">
        <f t="shared" si="90"/>
        <v>306.61893266146666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-1.8089849618263545E-13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370.79299728190904</v>
      </c>
      <c r="BJ97" s="62">
        <f t="shared" si="92"/>
        <v>404.95703400805775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projet'!$B$12,Paramètres!$A$1:$I$89,3,0)*VLOOKUP('Données projet'!$B$12,Paramètres!$A$1:$I$89,5,0)</f>
        <v>-1.8089849618263545E-13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370.79299728190904</v>
      </c>
      <c r="CE97" s="62">
        <f t="shared" si="94"/>
        <v>404.95703400805775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-1.7053025658242404E-13</v>
      </c>
      <c r="CU97" s="18">
        <f>CT97*VLOOKUP('Données projet'!$B$13,Paramètres!$A$1:$I$89,3,0)*VLOOKUP('Données projet'!$B$13,Paramètres!$A$1:$I$89,5,0)</f>
        <v>-1.4897523215040567E-13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339.58437495284466</v>
      </c>
      <c r="CZ97" s="62">
        <f t="shared" si="96"/>
        <v>371.26234252426531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-2.2737367544323206E-13</v>
      </c>
      <c r="DP97" s="18">
        <f>DO97*VLOOKUP('Données projet'!$B$14,Paramètres!$A$1:$I$89,3,0)*VLOOKUP('Données projet'!$B$14,Paramètres!$A$1:$I$89,5,0)</f>
        <v>-1.6671037883497774E-13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344.63665697794022</v>
      </c>
      <c r="DU97" s="62">
        <f t="shared" si="98"/>
        <v>376.72762011188041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3.8461538461538511</v>
      </c>
      <c r="EJ97" s="13">
        <f>IF('Données projet'!$A$192&gt;35,EJ96+EI97-ER96,IF(A97&lt;'Données projet'!$A$192,$EG$205^A97,IF(A97='Données projet'!$A$192,'Données projet'!$B$192,EJ96+EI97-ER96)))</f>
        <v>264.10256410256409</v>
      </c>
      <c r="EK97" s="18">
        <f>EJ97*VLOOKUP('Données projet'!$B$15,Paramètres!$A$1:$I$89,3,0)*VLOOKUP('Données projet'!$B$15,Paramètres!$A$1:$I$89,5,0)</f>
        <v>251.32</v>
      </c>
      <c r="EL97" s="14">
        <f t="shared" si="99"/>
        <v>60.868512295963441</v>
      </c>
      <c r="EM97" s="22">
        <f t="shared" si="73"/>
        <v>543.72832558213634</v>
      </c>
      <c r="EN97" s="62">
        <f t="shared" si="74"/>
        <v>837.06165891546971</v>
      </c>
      <c r="EO97" s="62">
        <f ca="1">AVERAGE(OFFSET($EN$3,0,0,'Données projet'!$E$15+1,1))-AVERAGE(OFFSET($H$3,0,0,'Données projet'!$E$15+1,1))</f>
        <v>406.24139966722936</v>
      </c>
      <c r="EP97" s="62">
        <f t="shared" si="100"/>
        <v>295.95724296920577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6.3</v>
      </c>
      <c r="FE97" s="13">
        <f>IF('Données projet'!$A$218&gt;35,FE96+FD97-FM96,IF(A97&lt;'Données projet'!$A$218,$FB$205^A97,IF(A97='Données projet'!$A$218,'Données projet'!$B$218,FE96+FD97-FM96)))</f>
        <v>323.19999999999982</v>
      </c>
      <c r="FF97" s="18">
        <f>FE97*VLOOKUP('Données projet'!$B$16,Paramètres!$A$1:$I$89,3,0)*VLOOKUP('Données projet'!$B$16,Paramètres!$A$1:$I$89,5,0)</f>
        <v>312.59903999999983</v>
      </c>
      <c r="FG97" s="14">
        <f t="shared" si="101"/>
        <v>73.811349140787058</v>
      </c>
      <c r="FH97" s="22">
        <f t="shared" si="76"/>
        <v>672.99809442020376</v>
      </c>
      <c r="FI97" s="62">
        <f t="shared" si="77"/>
        <v>966.33142775353713</v>
      </c>
      <c r="FJ97" s="62">
        <f ca="1">AVERAGE(OFFSET($FI$3,0,0,'Données projet'!$E$16+1,1))-AVERAGE(OFFSET($H$3,0,0,'Données projet'!$E$16+1,1))</f>
        <v>540.83352418045502</v>
      </c>
      <c r="FK97" s="62">
        <f t="shared" si="102"/>
        <v>294.45557293177131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1.1368683772161603E-13</v>
      </c>
      <c r="GA97" s="18">
        <f>FZ97*VLOOKUP('Données projet'!$B$17,Paramètres!$A$1:$I$89,3,0)*VLOOKUP('Données projet'!$B$17,Paramètres!$A$1:$I$89,5,0)</f>
        <v>8.8675733422860506E-14</v>
      </c>
      <c r="GB97" s="14">
        <f t="shared" si="103"/>
        <v>1.3509285393066301E-12</v>
      </c>
      <c r="GC97" s="22">
        <f t="shared" si="79"/>
        <v>2.5073107750038623E-12</v>
      </c>
      <c r="GD97" s="62">
        <f t="shared" si="80"/>
        <v>293.33333333333582</v>
      </c>
      <c r="GE97" s="62">
        <f ca="1">AVERAGE(OFFSET($GD$3,0,0,'Données projet'!$E$17+1,1))-AVERAGE(OFFSET($H$3,0,0,'Données projet'!$E$17+1,1))</f>
        <v>292.57482726862594</v>
      </c>
      <c r="GF97" s="62">
        <f t="shared" si="104"/>
        <v>283.48738729114024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3.9743589743589838</v>
      </c>
      <c r="GU97" s="13">
        <f>IF('Données projet'!$A$270&gt;35,GU96+GT97-HC96,IF(A97&lt;'Données projet'!$A$270,$GR$205^A97,IF(A97='Données projet'!$A$270,'Données projet'!$B$270,GU96+GT97-HC96)))</f>
        <v>325.51282051282055</v>
      </c>
      <c r="GV97" s="18">
        <f>GU97*VLOOKUP('Données projet'!$B$18,Paramètres!$A$1:$I$89,3,0)*VLOOKUP('Données projet'!$B$18,Paramètres!$A$1:$I$89,5,0)</f>
        <v>218.35400000000001</v>
      </c>
      <c r="GW97" s="14">
        <f t="shared" si="105"/>
        <v>53.756979538415074</v>
      </c>
      <c r="GX97" s="22">
        <f t="shared" si="82"/>
        <v>473.92662269607291</v>
      </c>
      <c r="GY97" s="62">
        <f t="shared" si="83"/>
        <v>767.25995602940623</v>
      </c>
      <c r="GZ97" s="62">
        <f ca="1">AVERAGE(OFFSET($GY$3,0,0,'Données projet'!$E$18+1,1))-AVERAGE(OFFSET($H$3,0,0,'Données projet'!$E$18+1,1))</f>
        <v>343.33067866534634</v>
      </c>
      <c r="HA97" s="62">
        <f t="shared" si="106"/>
        <v>261.91036689641402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6.3</v>
      </c>
      <c r="N98" s="14">
        <f>IF('Données projet'!$A$36&gt;35,N97+M98-V97,IF(A98&lt;'Données projet'!$A$36,$K$205^A98,IF(A98='Données projet'!$A$36,'Données projet'!$B$36,N97+M98-V97)))</f>
        <v>329.49999999999983</v>
      </c>
      <c r="O98" s="14">
        <f>N98*VLOOKUP('Données projet'!$B$9,Paramètres!$A$1:$I$89,3,0)*VLOOKUP('Données projet'!$B$9,Paramètres!$A$1:$I$89,5,0)</f>
        <v>298.13159999999988</v>
      </c>
      <c r="P98" s="14">
        <f t="shared" si="87"/>
        <v>70.784632764376028</v>
      </c>
      <c r="Q98" s="22">
        <f t="shared" si="54"/>
        <v>642.52910539795459</v>
      </c>
      <c r="R98" s="62">
        <f t="shared" si="55"/>
        <v>935.86243873128797</v>
      </c>
      <c r="S98" s="62">
        <f ca="1">AVERAGE(OFFSET($R$3,0,0,'Données projet'!$E$9+1,1))-AVERAGE(OFFSET($H$3,0,0,'Données projet'!$E$9+1,1))</f>
        <v>508.77990078889337</v>
      </c>
      <c r="T98" s="62">
        <f t="shared" si="88"/>
        <v>278.21741231699929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6.3</v>
      </c>
      <c r="AI98" s="14">
        <f>IF('Données projet'!$A$62&gt;35,AI97+AH98-AQ97,IF(A98&lt;'Données projet'!$A$62,$AF$205^A98,IF(A98='Données projet'!$A$62,'Données projet'!$B$62,AI97+AH98-AQ97)))</f>
        <v>329.49999999999983</v>
      </c>
      <c r="AJ98" s="14">
        <f>AI98*VLOOKUP('Données projet'!$B$10,Paramètres!$A$1:$I$89,3,0)*VLOOKUP('Données projet'!$B$10,Paramètres!$A$1:$I$89,5,0)</f>
        <v>334.11299999999983</v>
      </c>
      <c r="AK98" s="14">
        <f t="shared" si="89"/>
        <v>78.282421302277939</v>
      </c>
      <c r="AL98" s="22">
        <f t="shared" si="58"/>
        <v>718.25535876813376</v>
      </c>
      <c r="AM98" s="62">
        <f t="shared" si="59"/>
        <v>1011.5886921014671</v>
      </c>
      <c r="AN98" s="62">
        <f ca="1">AVERAGE(OFFSET($AM$3,0,0,'Données projet'!$E$10+1,1))-AVERAGE(OFFSET($H$3,0,0,'Données projet'!$E$10+1,1))</f>
        <v>564.84596170333884</v>
      </c>
      <c r="AO98" s="62">
        <f t="shared" si="90"/>
        <v>306.61893266146666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-1.8089849618263545E-13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370.79299728190904</v>
      </c>
      <c r="BJ98" s="62">
        <f t="shared" si="92"/>
        <v>404.95703400805775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projet'!$B$12,Paramètres!$A$1:$I$89,3,0)*VLOOKUP('Données projet'!$B$12,Paramètres!$A$1:$I$89,5,0)</f>
        <v>-1.8089849618263545E-13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370.79299728190904</v>
      </c>
      <c r="CE98" s="62">
        <f t="shared" si="94"/>
        <v>404.95703400805775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-1.7053025658242404E-13</v>
      </c>
      <c r="CU98" s="18">
        <f>CT98*VLOOKUP('Données projet'!$B$13,Paramètres!$A$1:$I$89,3,0)*VLOOKUP('Données projet'!$B$13,Paramètres!$A$1:$I$89,5,0)</f>
        <v>-1.4897523215040567E-13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339.58437495284466</v>
      </c>
      <c r="CZ98" s="62">
        <f t="shared" si="96"/>
        <v>371.26234252426531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-2.2737367544323206E-13</v>
      </c>
      <c r="DP98" s="18">
        <f>DO98*VLOOKUP('Données projet'!$B$14,Paramètres!$A$1:$I$89,3,0)*VLOOKUP('Données projet'!$B$14,Paramètres!$A$1:$I$89,5,0)</f>
        <v>-1.6671037883497774E-13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344.63665697794022</v>
      </c>
      <c r="DU98" s="62">
        <f t="shared" si="98"/>
        <v>376.72762011188041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267.94871794871796</v>
      </c>
      <c r="EH98" s="13">
        <f>VLOOKUP(A98,'Données projet'!$A$191:$I$211,9,0)</f>
        <v>3.8461538461538511</v>
      </c>
      <c r="EI98" s="13">
        <f t="array" ref="EI98">INDEX(EH:EH,MIN(IF(ISNUMBER(EH98:EH294),ROW(EH98:EH294),"")))</f>
        <v>3.8461538461538511</v>
      </c>
      <c r="EJ98" s="13">
        <f>IF('Données projet'!$A$192&gt;35,EJ97+EI98-ER97,IF(A98&lt;'Données projet'!$A$192,$EG$205^A98,IF(A98='Données projet'!$A$192,'Données projet'!$B$192,EJ97+EI98-ER97)))</f>
        <v>267.94871794871796</v>
      </c>
      <c r="EK98" s="18">
        <f>EJ98*VLOOKUP('Données projet'!$B$15,Paramètres!$A$1:$I$89,3,0)*VLOOKUP('Données projet'!$B$15,Paramètres!$A$1:$I$89,5,0)</f>
        <v>254.98000000000002</v>
      </c>
      <c r="EL98" s="14">
        <f t="shared" si="99"/>
        <v>61.651105654144821</v>
      </c>
      <c r="EM98" s="22">
        <f t="shared" si="73"/>
        <v>551.46584234763566</v>
      </c>
      <c r="EN98" s="62">
        <f t="shared" si="74"/>
        <v>844.79917568096903</v>
      </c>
      <c r="EO98" s="62">
        <f ca="1">AVERAGE(OFFSET($EN$3,0,0,'Données projet'!$E$15+1,1))-AVERAGE(OFFSET($H$3,0,0,'Données projet'!$E$15+1,1))</f>
        <v>406.24139966722936</v>
      </c>
      <c r="EP98" s="62">
        <f t="shared" si="100"/>
        <v>295.95724296920577</v>
      </c>
      <c r="EQ98" s="16">
        <f>IF(ISNA(VLOOKUP(A98,'Données projet'!$A$191:$I$211,3,0)),0,VLOOKUP(A98,'Données projet'!$A$191:$I$211,3,0))</f>
        <v>8</v>
      </c>
      <c r="ER98" s="16">
        <f>IF(ISNA(VLOOKUP(A98,'Données projet'!$A$191:$I$211,4,0)),0,VLOOKUP(A98,'Données projet'!$A$191:$I$211,4,0))</f>
        <v>27.564102564102562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6.3</v>
      </c>
      <c r="FE98" s="13">
        <f>IF('Données projet'!$A$218&gt;35,FE97+FD98-FM97,IF(A98&lt;'Données projet'!$A$218,$FB$205^A98,IF(A98='Données projet'!$A$218,'Données projet'!$B$218,FE97+FD98-FM97)))</f>
        <v>329.49999999999983</v>
      </c>
      <c r="FF98" s="18">
        <f>FE98*VLOOKUP('Données projet'!$B$16,Paramètres!$A$1:$I$89,3,0)*VLOOKUP('Données projet'!$B$16,Paramètres!$A$1:$I$89,5,0)</f>
        <v>318.69239999999985</v>
      </c>
      <c r="FG98" s="14">
        <f t="shared" si="101"/>
        <v>75.081217250277518</v>
      </c>
      <c r="FH98" s="22">
        <f t="shared" si="76"/>
        <v>685.82238337756644</v>
      </c>
      <c r="FI98" s="62">
        <f t="shared" si="77"/>
        <v>979.1557167108997</v>
      </c>
      <c r="FJ98" s="62">
        <f ca="1">AVERAGE(OFFSET($FI$3,0,0,'Données projet'!$E$16+1,1))-AVERAGE(OFFSET($H$3,0,0,'Données projet'!$E$16+1,1))</f>
        <v>540.83352418045502</v>
      </c>
      <c r="FK98" s="62">
        <f t="shared" si="102"/>
        <v>294.45557293177131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1.1368683772161603E-13</v>
      </c>
      <c r="GA98" s="18">
        <f>FZ98*VLOOKUP('Données projet'!$B$17,Paramètres!$A$1:$I$89,3,0)*VLOOKUP('Données projet'!$B$17,Paramètres!$A$1:$I$89,5,0)</f>
        <v>8.8675733422860506E-14</v>
      </c>
      <c r="GB98" s="14">
        <f t="shared" si="103"/>
        <v>1.3509285393066301E-12</v>
      </c>
      <c r="GC98" s="22">
        <f t="shared" si="79"/>
        <v>2.5073107750038623E-12</v>
      </c>
      <c r="GD98" s="62">
        <f t="shared" si="80"/>
        <v>293.33333333333582</v>
      </c>
      <c r="GE98" s="62">
        <f ca="1">AVERAGE(OFFSET($GD$3,0,0,'Données projet'!$E$17+1,1))-AVERAGE(OFFSET($H$3,0,0,'Données projet'!$E$17+1,1))</f>
        <v>292.57482726862594</v>
      </c>
      <c r="GF98" s="62">
        <f t="shared" si="104"/>
        <v>283.48738729114024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329.4871794871795</v>
      </c>
      <c r="GS98" s="13">
        <f>VLOOKUP(A98,'Données projet'!$A$269:$I$289,9,0)</f>
        <v>3.9743589743589838</v>
      </c>
      <c r="GT98" s="13">
        <f t="array" ref="GT98">INDEX(GS:GS,MIN(IF(ISNUMBER(GS98:GS294),ROW(GS98:GS294),"")))</f>
        <v>3.9743589743589838</v>
      </c>
      <c r="GU98" s="13">
        <f>IF('Données projet'!$A$270&gt;35,GU97+GT98-HC97,IF(A98&lt;'Données projet'!$A$270,$GR$205^A98,IF(A98='Données projet'!$A$270,'Données projet'!$B$270,GU97+GT98-HC97)))</f>
        <v>329.48717948717956</v>
      </c>
      <c r="GV98" s="18">
        <f>GU98*VLOOKUP('Données projet'!$B$18,Paramètres!$A$1:$I$89,3,0)*VLOOKUP('Données projet'!$B$18,Paramètres!$A$1:$I$89,5,0)</f>
        <v>221.02000000000007</v>
      </c>
      <c r="GW98" s="14">
        <f t="shared" si="105"/>
        <v>54.336517963380317</v>
      </c>
      <c r="GX98" s="22">
        <f t="shared" si="82"/>
        <v>479.57926878622084</v>
      </c>
      <c r="GY98" s="62">
        <f t="shared" si="83"/>
        <v>772.91260211955409</v>
      </c>
      <c r="GZ98" s="62">
        <f ca="1">AVERAGE(OFFSET($GY$3,0,0,'Données projet'!$E$18+1,1))-AVERAGE(OFFSET($H$3,0,0,'Données projet'!$E$18+1,1))</f>
        <v>343.33067866534634</v>
      </c>
      <c r="HA98" s="62">
        <f t="shared" si="106"/>
        <v>261.91036689641402</v>
      </c>
      <c r="HB98" s="16">
        <f>IF(ISNA(VLOOKUP(A98,'Données projet'!$A$269:$I$289,3,0)),0,VLOOKUP(A98,'Données projet'!$A$269:$I$289,3,0))</f>
        <v>9</v>
      </c>
      <c r="HC98" s="16">
        <f>IF(ISNA(VLOOKUP(A98,'Données projet'!$A$269:$I$289,4,0)),0,VLOOKUP(A98,'Données projet'!$A$269:$I$289,4,0))</f>
        <v>25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6.3</v>
      </c>
      <c r="N99" s="14">
        <f>IF('Données projet'!$A$36&gt;35,N98+M99-V98,IF(A99&lt;'Données projet'!$A$36,$K$205^A99,IF(A99='Données projet'!$A$36,'Données projet'!$B$36,N98+M99-V98)))</f>
        <v>335.79999999999984</v>
      </c>
      <c r="O99" s="14">
        <f>N99*VLOOKUP('Données projet'!$B$9,Paramètres!$A$1:$I$89,3,0)*VLOOKUP('Données projet'!$B$9,Paramètres!$A$1:$I$89,5,0)</f>
        <v>303.83183999999983</v>
      </c>
      <c r="P99" s="14">
        <f t="shared" si="87"/>
        <v>71.979169986303916</v>
      </c>
      <c r="Q99" s="22">
        <f t="shared" ref="Q99:Q130" si="107">(O99+P99)*0.475*44/12</f>
        <v>654.53750905947902</v>
      </c>
      <c r="R99" s="62">
        <f t="shared" si="55"/>
        <v>947.87084239281239</v>
      </c>
      <c r="S99" s="62">
        <f ca="1">AVERAGE(OFFSET($R$3,0,0,'Données projet'!$E$9+1,1))-AVERAGE(OFFSET($H$3,0,0,'Données projet'!$E$9+1,1))</f>
        <v>508.77990078889337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6.3</v>
      </c>
      <c r="AI99" s="14">
        <f>IF('Données projet'!$A$62&gt;35,AI98+AH99-AQ98,IF(A99&lt;'Données projet'!$A$62,$AF$205^A99,IF(A99='Données projet'!$A$62,'Données projet'!$B$62,AI98+AH99-AQ98)))</f>
        <v>335.79999999999984</v>
      </c>
      <c r="AJ99" s="14">
        <f>AI99*VLOOKUP('Données projet'!$B$10,Paramètres!$A$1:$I$89,3,0)*VLOOKUP('Données projet'!$B$10,Paramètres!$A$1:$I$89,5,0)</f>
        <v>340.50119999999987</v>
      </c>
      <c r="AK99" s="14">
        <f t="shared" si="89"/>
        <v>79.603488635910736</v>
      </c>
      <c r="AL99" s="22">
        <f t="shared" si="58"/>
        <v>731.68233270754433</v>
      </c>
      <c r="AM99" s="62">
        <f t="shared" si="59"/>
        <v>1025.0156660408777</v>
      </c>
      <c r="AN99" s="62">
        <f ca="1">AVERAGE(OFFSET($AM$3,0,0,'Données projet'!$E$10+1,1))-AVERAGE(OFFSET($H$3,0,0,'Données projet'!$E$10+1,1))</f>
        <v>564.84596170333884</v>
      </c>
      <c r="AO99" s="62">
        <f t="shared" si="90"/>
        <v>306.61893266146666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-1.8089849618263545E-13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370.79299728190904</v>
      </c>
      <c r="BJ99" s="62">
        <f t="shared" si="92"/>
        <v>404.95703400805775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projet'!$B$12,Paramètres!$A$1:$I$89,3,0)*VLOOKUP('Données projet'!$B$12,Paramètres!$A$1:$I$89,5,0)</f>
        <v>-1.8089849618263545E-13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370.79299728190904</v>
      </c>
      <c r="CE99" s="62">
        <f t="shared" si="94"/>
        <v>404.95703400805775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-1.7053025658242404E-13</v>
      </c>
      <c r="CU99" s="18">
        <f>CT99*VLOOKUP('Données projet'!$B$13,Paramètres!$A$1:$I$89,3,0)*VLOOKUP('Données projet'!$B$13,Paramètres!$A$1:$I$89,5,0)</f>
        <v>-1.4897523215040567E-13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339.58437495284466</v>
      </c>
      <c r="CZ99" s="62">
        <f t="shared" si="96"/>
        <v>371.26234252426531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-2.2737367544323206E-13</v>
      </c>
      <c r="DP99" s="18">
        <f>DO99*VLOOKUP('Données projet'!$B$14,Paramètres!$A$1:$I$89,3,0)*VLOOKUP('Données projet'!$B$14,Paramètres!$A$1:$I$89,5,0)</f>
        <v>-1.6671037883497774E-13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344.63665697794022</v>
      </c>
      <c r="DU99" s="62">
        <f t="shared" si="98"/>
        <v>376.72762011188041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3.5897435897435854</v>
      </c>
      <c r="EJ99" s="13">
        <f>IF('Données projet'!$A$192&gt;35,EJ98+EI99-ER98,IF(A99&lt;'Données projet'!$A$192,$EG$205^A99,IF(A99='Données projet'!$A$192,'Données projet'!$B$192,EJ98+EI99-ER98)))</f>
        <v>243.97435897435898</v>
      </c>
      <c r="EK99" s="18">
        <f>EJ99*VLOOKUP('Données projet'!$B$15,Paramètres!$A$1:$I$89,3,0)*VLOOKUP('Données projet'!$B$15,Paramètres!$A$1:$I$89,5,0)</f>
        <v>232.166</v>
      </c>
      <c r="EL99" s="14">
        <f t="shared" si="99"/>
        <v>56.750765573960223</v>
      </c>
      <c r="EM99" s="22">
        <f t="shared" si="73"/>
        <v>503.19670004131399</v>
      </c>
      <c r="EN99" s="62">
        <f t="shared" si="74"/>
        <v>796.53003337464725</v>
      </c>
      <c r="EO99" s="62">
        <f ca="1">AVERAGE(OFFSET($EN$3,0,0,'Données projet'!$E$15+1,1))-AVERAGE(OFFSET($H$3,0,0,'Données projet'!$E$15+1,1))</f>
        <v>406.24139966722936</v>
      </c>
      <c r="EP99" s="62">
        <f t="shared" si="100"/>
        <v>295.95724296920577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6.3</v>
      </c>
      <c r="FE99" s="13">
        <f>IF('Données projet'!$A$218&gt;35,FE98+FD99-FM98,IF(A99&lt;'Données projet'!$A$218,$FB$205^A99,IF(A99='Données projet'!$A$218,'Données projet'!$B$218,FE98+FD99-FM98)))</f>
        <v>335.79999999999984</v>
      </c>
      <c r="FF99" s="18">
        <f>FE99*VLOOKUP('Données projet'!$B$16,Paramètres!$A$1:$I$89,3,0)*VLOOKUP('Données projet'!$B$16,Paramètres!$A$1:$I$89,5,0)</f>
        <v>324.78575999999987</v>
      </c>
      <c r="FG99" s="14">
        <f t="shared" si="101"/>
        <v>76.348262160599447</v>
      </c>
      <c r="FH99" s="22">
        <f t="shared" si="76"/>
        <v>698.64175526304382</v>
      </c>
      <c r="FI99" s="62">
        <f t="shared" si="77"/>
        <v>991.97508859637719</v>
      </c>
      <c r="FJ99" s="62">
        <f ca="1">AVERAGE(OFFSET($FI$3,0,0,'Données projet'!$E$16+1,1))-AVERAGE(OFFSET($H$3,0,0,'Données projet'!$E$16+1,1))</f>
        <v>540.83352418045502</v>
      </c>
      <c r="FK99" s="62">
        <f t="shared" si="102"/>
        <v>294.45557293177131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1.1368683772161603E-13</v>
      </c>
      <c r="GA99" s="18">
        <f>FZ99*VLOOKUP('Données projet'!$B$17,Paramètres!$A$1:$I$89,3,0)*VLOOKUP('Données projet'!$B$17,Paramètres!$A$1:$I$89,5,0)</f>
        <v>8.8675733422860506E-14</v>
      </c>
      <c r="GB99" s="14">
        <f t="shared" si="103"/>
        <v>1.3509285393066301E-12</v>
      </c>
      <c r="GC99" s="22">
        <f t="shared" si="79"/>
        <v>2.5073107750038623E-12</v>
      </c>
      <c r="GD99" s="62">
        <f t="shared" si="80"/>
        <v>293.33333333333582</v>
      </c>
      <c r="GE99" s="62">
        <f ca="1">AVERAGE(OFFSET($GD$3,0,0,'Données projet'!$E$17+1,1))-AVERAGE(OFFSET($H$3,0,0,'Données projet'!$E$17+1,1))</f>
        <v>292.57482726862594</v>
      </c>
      <c r="GF99" s="62">
        <f t="shared" si="104"/>
        <v>283.48738729114024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3.717948717948707</v>
      </c>
      <c r="GU99" s="13">
        <f>IF('Données projet'!$A$270&gt;35,GU98+GT99-HC98,IF(A99&lt;'Données projet'!$A$270,$GR$205^A99,IF(A99='Données projet'!$A$270,'Données projet'!$B$270,GU98+GT99-HC98)))</f>
        <v>308.20512820512829</v>
      </c>
      <c r="GV99" s="18">
        <f>GU99*VLOOKUP('Données projet'!$B$18,Paramètres!$A$1:$I$89,3,0)*VLOOKUP('Données projet'!$B$18,Paramètres!$A$1:$I$89,5,0)</f>
        <v>206.74400000000009</v>
      </c>
      <c r="GW99" s="14">
        <f t="shared" si="105"/>
        <v>51.223421985771196</v>
      </c>
      <c r="GX99" s="22">
        <f t="shared" si="82"/>
        <v>449.29325995855169</v>
      </c>
      <c r="GY99" s="62">
        <f t="shared" si="83"/>
        <v>742.626593291885</v>
      </c>
      <c r="GZ99" s="62">
        <f ca="1">AVERAGE(OFFSET($GY$3,0,0,'Données projet'!$E$18+1,1))-AVERAGE(OFFSET($H$3,0,0,'Données projet'!$E$18+1,1))</f>
        <v>343.33067866534634</v>
      </c>
      <c r="HA99" s="62">
        <f t="shared" si="106"/>
        <v>261.91036689641402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6.3</v>
      </c>
      <c r="N100" s="14">
        <f>IF('Données projet'!$A$36&gt;35,N99+M100-V99,IF(A100&lt;'Données projet'!$A$36,$K$205^A100,IF(A100='Données projet'!$A$36,'Données projet'!$B$36,N99+M100-V99)))</f>
        <v>342.09999999999985</v>
      </c>
      <c r="O100" s="14">
        <f>N100*VLOOKUP('Données projet'!$B$9,Paramètres!$A$1:$I$89,3,0)*VLOOKUP('Données projet'!$B$9,Paramètres!$A$1:$I$89,5,0)</f>
        <v>309.53207999999984</v>
      </c>
      <c r="P100" s="14">
        <f t="shared" si="87"/>
        <v>73.171101262671186</v>
      </c>
      <c r="Q100" s="22">
        <f t="shared" si="107"/>
        <v>666.54137403248535</v>
      </c>
      <c r="R100" s="62">
        <f t="shared" si="55"/>
        <v>959.87470736581872</v>
      </c>
      <c r="S100" s="62">
        <f ca="1">AVERAGE(OFFSET($R$3,0,0,'Données projet'!$E$9+1,1))-AVERAGE(OFFSET($H$3,0,0,'Données projet'!$E$9+1,1))</f>
        <v>508.77990078889337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6.3</v>
      </c>
      <c r="AI100" s="14">
        <f>IF('Données projet'!$A$62&gt;35,AI99+AH100-AQ99,IF(A100&lt;'Données projet'!$A$62,$AF$205^A100,IF(A100='Données projet'!$A$62,'Données projet'!$B$62,AI99+AH100-AQ99)))</f>
        <v>342.09999999999985</v>
      </c>
      <c r="AJ100" s="14">
        <f>AI100*VLOOKUP('Données projet'!$B$10,Paramètres!$A$1:$I$89,3,0)*VLOOKUP('Données projet'!$B$10,Paramètres!$A$1:$I$89,5,0)</f>
        <v>346.88939999999991</v>
      </c>
      <c r="AK100" s="14">
        <f t="shared" si="89"/>
        <v>80.921673991912243</v>
      </c>
      <c r="AL100" s="22">
        <f t="shared" si="58"/>
        <v>745.10428720258039</v>
      </c>
      <c r="AM100" s="62">
        <f t="shared" si="59"/>
        <v>1038.4376205359138</v>
      </c>
      <c r="AN100" s="62">
        <f ca="1">AVERAGE(OFFSET($AM$3,0,0,'Données projet'!$E$10+1,1))-AVERAGE(OFFSET($H$3,0,0,'Données projet'!$E$10+1,1))</f>
        <v>564.84596170333884</v>
      </c>
      <c r="AO100" s="62">
        <f t="shared" si="90"/>
        <v>306.61893266146666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-1.8089849618263545E-13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370.79299728190904</v>
      </c>
      <c r="BJ100" s="62">
        <f t="shared" si="92"/>
        <v>404.95703400805775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projet'!$B$12,Paramètres!$A$1:$I$89,3,0)*VLOOKUP('Données projet'!$B$12,Paramètres!$A$1:$I$89,5,0)</f>
        <v>-1.8089849618263545E-13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370.79299728190904</v>
      </c>
      <c r="CE100" s="62">
        <f t="shared" si="94"/>
        <v>404.95703400805775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-1.7053025658242404E-13</v>
      </c>
      <c r="CU100" s="18">
        <f>CT100*VLOOKUP('Données projet'!$B$13,Paramètres!$A$1:$I$89,3,0)*VLOOKUP('Données projet'!$B$13,Paramètres!$A$1:$I$89,5,0)</f>
        <v>-1.4897523215040567E-13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339.58437495284466</v>
      </c>
      <c r="CZ100" s="62">
        <f t="shared" si="96"/>
        <v>371.26234252426531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-2.2737367544323206E-13</v>
      </c>
      <c r="DP100" s="18">
        <f>DO100*VLOOKUP('Données projet'!$B$14,Paramètres!$A$1:$I$89,3,0)*VLOOKUP('Données projet'!$B$14,Paramètres!$A$1:$I$89,5,0)</f>
        <v>-1.6671037883497774E-13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344.63665697794022</v>
      </c>
      <c r="DU100" s="62">
        <f t="shared" si="98"/>
        <v>376.72762011188041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3.5897435897435854</v>
      </c>
      <c r="EJ100" s="13">
        <f>IF('Données projet'!$A$192&gt;35,EJ99+EI100-ER99,IF(A100&lt;'Données projet'!$A$192,$EG$205^A100,IF(A100='Données projet'!$A$192,'Données projet'!$B$192,EJ99+EI100-ER99)))</f>
        <v>247.56410256410257</v>
      </c>
      <c r="EK100" s="18">
        <f>EJ100*VLOOKUP('Données projet'!$B$15,Paramètres!$A$1:$I$89,3,0)*VLOOKUP('Données projet'!$B$15,Paramètres!$A$1:$I$89,5,0)</f>
        <v>235.58199999999999</v>
      </c>
      <c r="EL100" s="14">
        <f t="shared" si="99"/>
        <v>57.487950824806624</v>
      </c>
      <c r="EM100" s="22">
        <f t="shared" si="73"/>
        <v>510.4301643532047</v>
      </c>
      <c r="EN100" s="62">
        <f t="shared" si="74"/>
        <v>803.76349768653802</v>
      </c>
      <c r="EO100" s="62">
        <f ca="1">AVERAGE(OFFSET($EN$3,0,0,'Données projet'!$E$15+1,1))-AVERAGE(OFFSET($H$3,0,0,'Données projet'!$E$15+1,1))</f>
        <v>406.24139966722936</v>
      </c>
      <c r="EP100" s="62">
        <f t="shared" si="100"/>
        <v>295.95724296920577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6.3</v>
      </c>
      <c r="FE100" s="13">
        <f>IF('Données projet'!$A$218&gt;35,FE99+FD100-FM99,IF(A100&lt;'Données projet'!$A$218,$FB$205^A100,IF(A100='Données projet'!$A$218,'Données projet'!$B$218,FE99+FD100-FM99)))</f>
        <v>342.09999999999985</v>
      </c>
      <c r="FF100" s="18">
        <f>FE100*VLOOKUP('Données projet'!$B$16,Paramètres!$A$1:$I$89,3,0)*VLOOKUP('Données projet'!$B$16,Paramètres!$A$1:$I$89,5,0)</f>
        <v>330.87911999999989</v>
      </c>
      <c r="FG100" s="14">
        <f t="shared" si="101"/>
        <v>77.612542946038175</v>
      </c>
      <c r="FH100" s="22">
        <f t="shared" si="76"/>
        <v>711.45631296434965</v>
      </c>
      <c r="FI100" s="62">
        <f t="shared" si="77"/>
        <v>1004.789646297683</v>
      </c>
      <c r="FJ100" s="62">
        <f ca="1">AVERAGE(OFFSET($FI$3,0,0,'Données projet'!$E$16+1,1))-AVERAGE(OFFSET($H$3,0,0,'Données projet'!$E$16+1,1))</f>
        <v>540.83352418045502</v>
      </c>
      <c r="FK100" s="62">
        <f t="shared" si="102"/>
        <v>294.45557293177131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1.1368683772161603E-13</v>
      </c>
      <c r="GA100" s="18">
        <f>FZ100*VLOOKUP('Données projet'!$B$17,Paramètres!$A$1:$I$89,3,0)*VLOOKUP('Données projet'!$B$17,Paramètres!$A$1:$I$89,5,0)</f>
        <v>8.8675733422860506E-14</v>
      </c>
      <c r="GB100" s="14">
        <f t="shared" si="103"/>
        <v>1.3509285393066301E-12</v>
      </c>
      <c r="GC100" s="22">
        <f t="shared" si="79"/>
        <v>2.5073107750038623E-12</v>
      </c>
      <c r="GD100" s="62">
        <f t="shared" si="80"/>
        <v>293.33333333333582</v>
      </c>
      <c r="GE100" s="62">
        <f ca="1">AVERAGE(OFFSET($GD$3,0,0,'Données projet'!$E$17+1,1))-AVERAGE(OFFSET($H$3,0,0,'Données projet'!$E$17+1,1))</f>
        <v>292.57482726862594</v>
      </c>
      <c r="GF100" s="62">
        <f t="shared" si="104"/>
        <v>283.48738729114024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3.717948717948707</v>
      </c>
      <c r="GU100" s="13">
        <f>IF('Données projet'!$A$270&gt;35,GU99+GT100-HC99,IF(A100&lt;'Données projet'!$A$270,$GR$205^A100,IF(A100='Données projet'!$A$270,'Données projet'!$B$270,GU99+GT100-HC99)))</f>
        <v>311.92307692307702</v>
      </c>
      <c r="GV100" s="18">
        <f>GU100*VLOOKUP('Données projet'!$B$18,Paramètres!$A$1:$I$89,3,0)*VLOOKUP('Données projet'!$B$18,Paramètres!$A$1:$I$89,5,0)</f>
        <v>209.23800000000006</v>
      </c>
      <c r="GW100" s="14">
        <f t="shared" si="105"/>
        <v>51.769034313723793</v>
      </c>
      <c r="GX100" s="22">
        <f t="shared" si="82"/>
        <v>454.58725142973572</v>
      </c>
      <c r="GY100" s="62">
        <f t="shared" si="83"/>
        <v>747.92058476306897</v>
      </c>
      <c r="GZ100" s="62">
        <f ca="1">AVERAGE(OFFSET($GY$3,0,0,'Données projet'!$E$18+1,1))-AVERAGE(OFFSET($H$3,0,0,'Données projet'!$E$18+1,1))</f>
        <v>343.33067866534634</v>
      </c>
      <c r="HA100" s="62">
        <f t="shared" si="106"/>
        <v>261.91036689641402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6.3</v>
      </c>
      <c r="N101" s="14">
        <f>IF('Données projet'!$A$36&gt;35,N100+M101-V100,IF(A101&lt;'Données projet'!$A$36,$K$205^A101,IF(A101='Données projet'!$A$36,'Données projet'!$B$36,N100+M101-V100)))</f>
        <v>348.39999999999986</v>
      </c>
      <c r="O101" s="14">
        <f>N101*VLOOKUP('Données projet'!$B$9,Paramètres!$A$1:$I$89,3,0)*VLOOKUP('Données projet'!$B$9,Paramètres!$A$1:$I$89,5,0)</f>
        <v>315.2323199999999</v>
      </c>
      <c r="P101" s="14">
        <f t="shared" si="87"/>
        <v>74.360480118488411</v>
      </c>
      <c r="Q101" s="22">
        <f t="shared" si="107"/>
        <v>678.54079353970053</v>
      </c>
      <c r="R101" s="62">
        <f t="shared" si="55"/>
        <v>971.8741268730339</v>
      </c>
      <c r="S101" s="62">
        <f ca="1">AVERAGE(OFFSET($R$3,0,0,'Données projet'!$E$9+1,1))-AVERAGE(OFFSET($H$3,0,0,'Données projet'!$E$9+1,1))</f>
        <v>508.77990078889337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6.3</v>
      </c>
      <c r="AI101" s="14">
        <f>IF('Données projet'!$A$62&gt;35,AI100+AH101-AQ100,IF(A101&lt;'Données projet'!$A$62,$AF$205^A101,IF(A101='Données projet'!$A$62,'Données projet'!$B$62,AI100+AH101-AQ100)))</f>
        <v>348.39999999999986</v>
      </c>
      <c r="AJ101" s="14">
        <f>AI101*VLOOKUP('Données projet'!$B$10,Paramètres!$A$1:$I$89,3,0)*VLOOKUP('Données projet'!$B$10,Paramètres!$A$1:$I$89,5,0)</f>
        <v>353.27759999999989</v>
      </c>
      <c r="AK101" s="14">
        <f t="shared" si="89"/>
        <v>82.237036564874046</v>
      </c>
      <c r="AL101" s="22">
        <f t="shared" si="58"/>
        <v>758.52132535048884</v>
      </c>
      <c r="AM101" s="62">
        <f t="shared" si="59"/>
        <v>1051.8546586838222</v>
      </c>
      <c r="AN101" s="62">
        <f ca="1">AVERAGE(OFFSET($AM$3,0,0,'Données projet'!$E$10+1,1))-AVERAGE(OFFSET($H$3,0,0,'Données projet'!$E$10+1,1))</f>
        <v>564.84596170333884</v>
      </c>
      <c r="AO101" s="62">
        <f t="shared" si="90"/>
        <v>306.61893266146666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-1.8089849618263545E-13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370.79299728190904</v>
      </c>
      <c r="BJ101" s="62">
        <f t="shared" si="92"/>
        <v>404.95703400805775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projet'!$B$12,Paramètres!$A$1:$I$89,3,0)*VLOOKUP('Données projet'!$B$12,Paramètres!$A$1:$I$89,5,0)</f>
        <v>-1.8089849618263545E-13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370.79299728190904</v>
      </c>
      <c r="CE101" s="62">
        <f t="shared" si="94"/>
        <v>404.95703400805775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-1.7053025658242404E-13</v>
      </c>
      <c r="CU101" s="18">
        <f>CT101*VLOOKUP('Données projet'!$B$13,Paramètres!$A$1:$I$89,3,0)*VLOOKUP('Données projet'!$B$13,Paramètres!$A$1:$I$89,5,0)</f>
        <v>-1.4897523215040567E-13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339.58437495284466</v>
      </c>
      <c r="CZ101" s="62">
        <f t="shared" si="96"/>
        <v>371.26234252426531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-2.2737367544323206E-13</v>
      </c>
      <c r="DP101" s="18">
        <f>DO101*VLOOKUP('Données projet'!$B$14,Paramètres!$A$1:$I$89,3,0)*VLOOKUP('Données projet'!$B$14,Paramètres!$A$1:$I$89,5,0)</f>
        <v>-1.6671037883497774E-13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344.63665697794022</v>
      </c>
      <c r="DU101" s="62">
        <f t="shared" si="98"/>
        <v>376.72762011188041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3.5897435897435854</v>
      </c>
      <c r="EJ101" s="13">
        <f>IF('Données projet'!$A$192&gt;35,EJ100+EI101-ER100,IF(A101&lt;'Données projet'!$A$192,$EG$205^A101,IF(A101='Données projet'!$A$192,'Données projet'!$B$192,EJ100+EI101-ER100)))</f>
        <v>251.15384615384616</v>
      </c>
      <c r="EK101" s="18">
        <f>EJ101*VLOOKUP('Données projet'!$B$15,Paramètres!$A$1:$I$89,3,0)*VLOOKUP('Données projet'!$B$15,Paramètres!$A$1:$I$89,5,0)</f>
        <v>238.99799999999999</v>
      </c>
      <c r="EL101" s="14">
        <f t="shared" si="99"/>
        <v>58.223892835547517</v>
      </c>
      <c r="EM101" s="22">
        <f t="shared" si="73"/>
        <v>517.66146335524525</v>
      </c>
      <c r="EN101" s="62">
        <f t="shared" si="74"/>
        <v>810.99479668857862</v>
      </c>
      <c r="EO101" s="62">
        <f ca="1">AVERAGE(OFFSET($EN$3,0,0,'Données projet'!$E$15+1,1))-AVERAGE(OFFSET($H$3,0,0,'Données projet'!$E$15+1,1))</f>
        <v>406.24139966722936</v>
      </c>
      <c r="EP101" s="62">
        <f t="shared" si="100"/>
        <v>295.95724296920577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6.3</v>
      </c>
      <c r="FE101" s="13">
        <f>IF('Données projet'!$A$218&gt;35,FE100+FD101-FM100,IF(A101&lt;'Données projet'!$A$218,$FB$205^A101,IF(A101='Données projet'!$A$218,'Données projet'!$B$218,FE100+FD101-FM100)))</f>
        <v>348.39999999999986</v>
      </c>
      <c r="FF101" s="18">
        <f>FE101*VLOOKUP('Données projet'!$B$16,Paramètres!$A$1:$I$89,3,0)*VLOOKUP('Données projet'!$B$16,Paramètres!$A$1:$I$89,5,0)</f>
        <v>336.9724799999999</v>
      </c>
      <c r="FG101" s="14">
        <f t="shared" si="101"/>
        <v>78.874116380539874</v>
      </c>
      <c r="FH101" s="22">
        <f t="shared" si="76"/>
        <v>724.26615536277347</v>
      </c>
      <c r="FI101" s="62">
        <f t="shared" si="77"/>
        <v>1017.5994886961068</v>
      </c>
      <c r="FJ101" s="62">
        <f ca="1">AVERAGE(OFFSET($FI$3,0,0,'Données projet'!$E$16+1,1))-AVERAGE(OFFSET($H$3,0,0,'Données projet'!$E$16+1,1))</f>
        <v>540.83352418045502</v>
      </c>
      <c r="FK101" s="62">
        <f t="shared" si="102"/>
        <v>294.45557293177131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1.1368683772161603E-13</v>
      </c>
      <c r="GA101" s="18">
        <f>FZ101*VLOOKUP('Données projet'!$B$17,Paramètres!$A$1:$I$89,3,0)*VLOOKUP('Données projet'!$B$17,Paramètres!$A$1:$I$89,5,0)</f>
        <v>8.8675733422860506E-14</v>
      </c>
      <c r="GB101" s="14">
        <f t="shared" si="103"/>
        <v>1.3509285393066301E-12</v>
      </c>
      <c r="GC101" s="22">
        <f t="shared" si="79"/>
        <v>2.5073107750038623E-12</v>
      </c>
      <c r="GD101" s="62">
        <f t="shared" si="80"/>
        <v>293.33333333333582</v>
      </c>
      <c r="GE101" s="62">
        <f ca="1">AVERAGE(OFFSET($GD$3,0,0,'Données projet'!$E$17+1,1))-AVERAGE(OFFSET($H$3,0,0,'Données projet'!$E$17+1,1))</f>
        <v>292.57482726862594</v>
      </c>
      <c r="GF101" s="62">
        <f t="shared" si="104"/>
        <v>283.48738729114024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3.717948717948707</v>
      </c>
      <c r="GU101" s="13">
        <f>IF('Données projet'!$A$270&gt;35,GU100+GT101-HC100,IF(A101&lt;'Données projet'!$A$270,$GR$205^A101,IF(A101='Données projet'!$A$270,'Données projet'!$B$270,GU100+GT101-HC100)))</f>
        <v>315.64102564102575</v>
      </c>
      <c r="GV101" s="18">
        <f>GU101*VLOOKUP('Données projet'!$B$18,Paramètres!$A$1:$I$89,3,0)*VLOOKUP('Données projet'!$B$18,Paramètres!$A$1:$I$89,5,0)</f>
        <v>211.73200000000008</v>
      </c>
      <c r="GW101" s="14">
        <f t="shared" si="105"/>
        <v>52.313890152569769</v>
      </c>
      <c r="GX101" s="22">
        <f t="shared" si="82"/>
        <v>459.87992534905925</v>
      </c>
      <c r="GY101" s="62">
        <f t="shared" si="83"/>
        <v>753.21325868239251</v>
      </c>
      <c r="GZ101" s="62">
        <f ca="1">AVERAGE(OFFSET($GY$3,0,0,'Données projet'!$E$18+1,1))-AVERAGE(OFFSET($H$3,0,0,'Données projet'!$E$18+1,1))</f>
        <v>343.33067866534634</v>
      </c>
      <c r="HA101" s="62">
        <f t="shared" si="106"/>
        <v>261.91036689641402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6.3</v>
      </c>
      <c r="N102" s="14">
        <f>IF('Données projet'!$A$36&gt;35,N101+M102-V101,IF(A102&lt;'Données projet'!$A$36,$K$205^A102,IF(A102='Données projet'!$A$36,'Données projet'!$B$36,N101+M102-V101)))</f>
        <v>354.69999999999987</v>
      </c>
      <c r="O102" s="14">
        <f>N102*VLOOKUP('Données projet'!$B$9,Paramètres!$A$1:$I$89,3,0)*VLOOKUP('Données projet'!$B$9,Paramètres!$A$1:$I$89,5,0)</f>
        <v>320.93255999999985</v>
      </c>
      <c r="P102" s="14">
        <f t="shared" si="87"/>
        <v>75.547358032176149</v>
      </c>
      <c r="Q102" s="22">
        <f t="shared" si="107"/>
        <v>690.53585723937306</v>
      </c>
      <c r="R102" s="62">
        <f t="shared" si="55"/>
        <v>983.86919057270643</v>
      </c>
      <c r="S102" s="62">
        <f ca="1">AVERAGE(OFFSET($R$3,0,0,'Données projet'!$E$9+1,1))-AVERAGE(OFFSET($H$3,0,0,'Données projet'!$E$9+1,1))</f>
        <v>508.77990078889337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6.3</v>
      </c>
      <c r="AI102" s="14">
        <f>IF('Données projet'!$A$62&gt;35,AI101+AH102-AQ101,IF(A102&lt;'Données projet'!$A$62,$AF$205^A102,IF(A102='Données projet'!$A$62,'Données projet'!$B$62,AI101+AH102-AQ101)))</f>
        <v>354.69999999999987</v>
      </c>
      <c r="AJ102" s="14">
        <f>AI102*VLOOKUP('Données projet'!$B$10,Paramètres!$A$1:$I$89,3,0)*VLOOKUP('Données projet'!$B$10,Paramètres!$A$1:$I$89,5,0)</f>
        <v>359.66579999999988</v>
      </c>
      <c r="AK102" s="14">
        <f t="shared" si="89"/>
        <v>83.549633286014853</v>
      </c>
      <c r="AL102" s="22">
        <f t="shared" si="58"/>
        <v>771.93354630647571</v>
      </c>
      <c r="AM102" s="62">
        <f t="shared" si="59"/>
        <v>1065.2668796398091</v>
      </c>
      <c r="AN102" s="62">
        <f ca="1">AVERAGE(OFFSET($AM$3,0,0,'Données projet'!$E$10+1,1))-AVERAGE(OFFSET($H$3,0,0,'Données projet'!$E$10+1,1))</f>
        <v>564.84596170333884</v>
      </c>
      <c r="AO102" s="62">
        <f t="shared" si="90"/>
        <v>306.61893266146666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-1.8089849618263545E-13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370.79299728190904</v>
      </c>
      <c r="BJ102" s="62">
        <f t="shared" si="92"/>
        <v>404.95703400805775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projet'!$B$12,Paramètres!$A$1:$I$89,3,0)*VLOOKUP('Données projet'!$B$12,Paramètres!$A$1:$I$89,5,0)</f>
        <v>-1.8089849618263545E-13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370.79299728190904</v>
      </c>
      <c r="CE102" s="62">
        <f t="shared" si="94"/>
        <v>404.95703400805775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-1.7053025658242404E-13</v>
      </c>
      <c r="CU102" s="18">
        <f>CT102*VLOOKUP('Données projet'!$B$13,Paramètres!$A$1:$I$89,3,0)*VLOOKUP('Données projet'!$B$13,Paramètres!$A$1:$I$89,5,0)</f>
        <v>-1.4897523215040567E-13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339.58437495284466</v>
      </c>
      <c r="CZ102" s="62">
        <f t="shared" si="96"/>
        <v>371.26234252426531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-2.2737367544323206E-13</v>
      </c>
      <c r="DP102" s="18">
        <f>DO102*VLOOKUP('Données projet'!$B$14,Paramètres!$A$1:$I$89,3,0)*VLOOKUP('Données projet'!$B$14,Paramètres!$A$1:$I$89,5,0)</f>
        <v>-1.6671037883497774E-13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344.63665697794022</v>
      </c>
      <c r="DU102" s="62">
        <f t="shared" si="98"/>
        <v>376.72762011188041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3.5897435897435854</v>
      </c>
      <c r="EJ102" s="13">
        <f>IF('Données projet'!$A$192&gt;35,EJ101+EI102-ER101,IF(A102&lt;'Données projet'!$A$192,$EG$205^A102,IF(A102='Données projet'!$A$192,'Données projet'!$B$192,EJ101+EI102-ER101)))</f>
        <v>254.74358974358975</v>
      </c>
      <c r="EK102" s="18">
        <f>EJ102*VLOOKUP('Données projet'!$B$15,Paramètres!$A$1:$I$89,3,0)*VLOOKUP('Données projet'!$B$15,Paramètres!$A$1:$I$89,5,0)</f>
        <v>242.41400000000002</v>
      </c>
      <c r="EL102" s="14">
        <f t="shared" si="99"/>
        <v>58.958611429073422</v>
      </c>
      <c r="EM102" s="22">
        <f t="shared" si="73"/>
        <v>524.89063157230294</v>
      </c>
      <c r="EN102" s="62">
        <f t="shared" si="74"/>
        <v>818.22396490563619</v>
      </c>
      <c r="EO102" s="62">
        <f ca="1">AVERAGE(OFFSET($EN$3,0,0,'Données projet'!$E$15+1,1))-AVERAGE(OFFSET($H$3,0,0,'Données projet'!$E$15+1,1))</f>
        <v>406.24139966722936</v>
      </c>
      <c r="EP102" s="62">
        <f t="shared" si="100"/>
        <v>295.95724296920577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6.3</v>
      </c>
      <c r="FE102" s="13">
        <f>IF('Données projet'!$A$218&gt;35,FE101+FD102-FM101,IF(A102&lt;'Données projet'!$A$218,$FB$205^A102,IF(A102='Données projet'!$A$218,'Données projet'!$B$218,FE101+FD102-FM101)))</f>
        <v>354.69999999999987</v>
      </c>
      <c r="FF102" s="18">
        <f>FE102*VLOOKUP('Données projet'!$B$16,Paramètres!$A$1:$I$89,3,0)*VLOOKUP('Données projet'!$B$16,Paramètres!$A$1:$I$89,5,0)</f>
        <v>343.06583999999992</v>
      </c>
      <c r="FG102" s="14">
        <f t="shared" si="101"/>
        <v>80.133037067234412</v>
      </c>
      <c r="FH102" s="22">
        <f t="shared" si="76"/>
        <v>737.07137755876647</v>
      </c>
      <c r="FI102" s="62">
        <f t="shared" si="77"/>
        <v>1030.4047108920997</v>
      </c>
      <c r="FJ102" s="62">
        <f ca="1">AVERAGE(OFFSET($FI$3,0,0,'Données projet'!$E$16+1,1))-AVERAGE(OFFSET($H$3,0,0,'Données projet'!$E$16+1,1))</f>
        <v>540.83352418045502</v>
      </c>
      <c r="FK102" s="62">
        <f t="shared" si="102"/>
        <v>294.45557293177131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1.1368683772161603E-13</v>
      </c>
      <c r="GA102" s="18">
        <f>FZ102*VLOOKUP('Données projet'!$B$17,Paramètres!$A$1:$I$89,3,0)*VLOOKUP('Données projet'!$B$17,Paramètres!$A$1:$I$89,5,0)</f>
        <v>8.8675733422860506E-14</v>
      </c>
      <c r="GB102" s="14">
        <f t="shared" si="103"/>
        <v>1.3509285393066301E-12</v>
      </c>
      <c r="GC102" s="22">
        <f t="shared" si="79"/>
        <v>2.5073107750038623E-12</v>
      </c>
      <c r="GD102" s="62">
        <f t="shared" si="80"/>
        <v>293.33333333333582</v>
      </c>
      <c r="GE102" s="62">
        <f ca="1">AVERAGE(OFFSET($GD$3,0,0,'Données projet'!$E$17+1,1))-AVERAGE(OFFSET($H$3,0,0,'Données projet'!$E$17+1,1))</f>
        <v>292.57482726862594</v>
      </c>
      <c r="GF102" s="62">
        <f t="shared" si="104"/>
        <v>283.48738729114024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3.717948717948707</v>
      </c>
      <c r="GU102" s="13">
        <f>IF('Données projet'!$A$270&gt;35,GU101+GT102-HC101,IF(A102&lt;'Données projet'!$A$270,$GR$205^A102,IF(A102='Données projet'!$A$270,'Données projet'!$B$270,GU101+GT102-HC101)))</f>
        <v>319.35897435897448</v>
      </c>
      <c r="GV102" s="18">
        <f>GU102*VLOOKUP('Données projet'!$B$18,Paramètres!$A$1:$I$89,3,0)*VLOOKUP('Données projet'!$B$18,Paramètres!$A$1:$I$89,5,0)</f>
        <v>214.22600000000008</v>
      </c>
      <c r="GW102" s="14">
        <f t="shared" si="105"/>
        <v>52.857999443878597</v>
      </c>
      <c r="GX102" s="22">
        <f t="shared" si="82"/>
        <v>465.171299031422</v>
      </c>
      <c r="GY102" s="62">
        <f t="shared" si="83"/>
        <v>758.50463236475525</v>
      </c>
      <c r="GZ102" s="62">
        <f ca="1">AVERAGE(OFFSET($GY$3,0,0,'Données projet'!$E$18+1,1))-AVERAGE(OFFSET($H$3,0,0,'Données projet'!$E$18+1,1))</f>
        <v>343.33067866534634</v>
      </c>
      <c r="HA102" s="62">
        <f t="shared" si="106"/>
        <v>261.91036689641402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6.3</v>
      </c>
      <c r="M103" s="13">
        <f t="array" ref="M103">INDEX(L:L,MIN(IF(ISNUMBER(L103:L299),ROW(L103:L299),"")))</f>
        <v>6.3</v>
      </c>
      <c r="N103" s="14">
        <f>IF('Données projet'!$A$36&gt;35,N102+M103-V102,IF(A103&lt;'Données projet'!$A$36,$K$205^A103,IF(A103='Données projet'!$A$36,'Données projet'!$B$36,N102+M103-V102)))</f>
        <v>360.99999999999989</v>
      </c>
      <c r="O103" s="14">
        <f>N103*VLOOKUP('Données projet'!$B$9,Paramètres!$A$1:$I$89,3,0)*VLOOKUP('Données projet'!$B$9,Paramètres!$A$1:$I$89,5,0)</f>
        <v>326.63279999999986</v>
      </c>
      <c r="P103" s="14">
        <f t="shared" si="87"/>
        <v>76.731784548754774</v>
      </c>
      <c r="Q103" s="22">
        <f t="shared" si="107"/>
        <v>702.52665142241437</v>
      </c>
      <c r="R103" s="62">
        <f t="shared" si="55"/>
        <v>995.85998475574775</v>
      </c>
      <c r="S103" s="62">
        <f ca="1">AVERAGE(OFFSET($R$3,0,0,'Données projet'!$E$9+1,1))-AVERAGE(OFFSET($H$3,0,0,'Données projet'!$E$9+1,1))</f>
        <v>508.77990078889337</v>
      </c>
      <c r="T103" s="62">
        <f t="shared" si="88"/>
        <v>278.21741231699929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361</v>
      </c>
      <c r="AG103" s="13">
        <f>VLOOKUP(A103,'Données projet'!$A$61:$I$81,9,0)</f>
        <v>6.3</v>
      </c>
      <c r="AH103" s="13">
        <f t="array" ref="AH103">INDEX(AG:AG,MIN(IF(ISNUMBER(AG103:AG299),ROW(AG103:AG299),"")))</f>
        <v>6.3</v>
      </c>
      <c r="AI103" s="14">
        <f>IF('Données projet'!$A$62&gt;35,AI102+AH103-AQ102,IF(A103&lt;'Données projet'!$A$62,$AF$205^A103,IF(A103='Données projet'!$A$62,'Données projet'!$B$62,AI102+AH103-AQ102)))</f>
        <v>360.99999999999989</v>
      </c>
      <c r="AJ103" s="14">
        <f>AI103*VLOOKUP('Données projet'!$B$10,Paramètres!$A$1:$I$89,3,0)*VLOOKUP('Données projet'!$B$10,Paramètres!$A$1:$I$89,5,0)</f>
        <v>366.05399999999986</v>
      </c>
      <c r="AK103" s="14">
        <f t="shared" si="89"/>
        <v>84.85951894835965</v>
      </c>
      <c r="AL103" s="22">
        <f t="shared" si="58"/>
        <v>785.34104550172617</v>
      </c>
      <c r="AM103" s="62">
        <f t="shared" si="59"/>
        <v>1078.6743788350595</v>
      </c>
      <c r="AN103" s="62">
        <f ca="1">AVERAGE(OFFSET($AM$3,0,0,'Données projet'!$E$10+1,1))-AVERAGE(OFFSET($H$3,0,0,'Données projet'!$E$10+1,1))</f>
        <v>564.84596170333884</v>
      </c>
      <c r="AO103" s="62">
        <f t="shared" si="90"/>
        <v>306.61893266146666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55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-1.8089849618263545E-13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370.79299728190904</v>
      </c>
      <c r="BJ103" s="62">
        <f t="shared" si="92"/>
        <v>404.95703400805775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projet'!$B$12,Paramètres!$A$1:$I$89,3,0)*VLOOKUP('Données projet'!$B$12,Paramètres!$A$1:$I$89,5,0)</f>
        <v>-1.8089849618263545E-13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370.79299728190904</v>
      </c>
      <c r="CE103" s="62">
        <f t="shared" si="94"/>
        <v>404.95703400805775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-1.7053025658242404E-13</v>
      </c>
      <c r="CU103" s="18">
        <f>CT103*VLOOKUP('Données projet'!$B$13,Paramètres!$A$1:$I$89,3,0)*VLOOKUP('Données projet'!$B$13,Paramètres!$A$1:$I$89,5,0)</f>
        <v>-1.4897523215040567E-13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339.58437495284466</v>
      </c>
      <c r="CZ103" s="62">
        <f t="shared" si="96"/>
        <v>371.26234252426531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-2.2737367544323206E-13</v>
      </c>
      <c r="DP103" s="18">
        <f>DO103*VLOOKUP('Données projet'!$B$14,Paramètres!$A$1:$I$89,3,0)*VLOOKUP('Données projet'!$B$14,Paramètres!$A$1:$I$89,5,0)</f>
        <v>-1.6671037883497774E-13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344.63665697794022</v>
      </c>
      <c r="DU103" s="62">
        <f t="shared" si="98"/>
        <v>376.72762011188041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258.33333333333331</v>
      </c>
      <c r="EH103" s="13">
        <f>VLOOKUP(A103,'Données projet'!$A$191:$I$211,9,0)</f>
        <v>3.5897435897435854</v>
      </c>
      <c r="EI103" s="13">
        <f t="array" ref="EI103">INDEX(EH:EH,MIN(IF(ISNUMBER(EH103:EH299),ROW(EH103:EH299),"")))</f>
        <v>3.5897435897435854</v>
      </c>
      <c r="EJ103" s="13">
        <f>IF('Données projet'!$A$192&gt;35,EJ102+EI103-ER102,IF(A103&lt;'Données projet'!$A$192,$EG$205^A103,IF(A103='Données projet'!$A$192,'Données projet'!$B$192,EJ102+EI103-ER102)))</f>
        <v>258.33333333333331</v>
      </c>
      <c r="EK103" s="18">
        <f>EJ103*VLOOKUP('Données projet'!$B$15,Paramètres!$A$1:$I$89,3,0)*VLOOKUP('Données projet'!$B$15,Paramètres!$A$1:$I$89,5,0)</f>
        <v>245.82999999999998</v>
      </c>
      <c r="EL103" s="14">
        <f t="shared" si="99"/>
        <v>59.692125837514034</v>
      </c>
      <c r="EM103" s="22">
        <f t="shared" si="73"/>
        <v>532.11770250033692</v>
      </c>
      <c r="EN103" s="62">
        <f t="shared" si="74"/>
        <v>825.45103583367018</v>
      </c>
      <c r="EO103" s="62">
        <f ca="1">AVERAGE(OFFSET($EN$3,0,0,'Données projet'!$E$15+1,1))-AVERAGE(OFFSET($H$3,0,0,'Données projet'!$E$15+1,1))</f>
        <v>406.24139966722936</v>
      </c>
      <c r="EP103" s="62">
        <f t="shared" si="100"/>
        <v>295.95724296920577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361</v>
      </c>
      <c r="FC103" s="13">
        <f>VLOOKUP(A103,'Données projet'!$A$217:$I$237,9,0)</f>
        <v>6.3</v>
      </c>
      <c r="FD103" s="13">
        <f t="array" ref="FD103">INDEX(FC:FC,MIN(IF(ISNUMBER(FC103:FC299),ROW(FC103:FC299),"")))</f>
        <v>6.3</v>
      </c>
      <c r="FE103" s="13">
        <f>IF('Données projet'!$A$218&gt;35,FE102+FD103-FM102,IF(A103&lt;'Données projet'!$A$218,$FB$205^A103,IF(A103='Données projet'!$A$218,'Données projet'!$B$218,FE102+FD103-FM102)))</f>
        <v>360.99999999999989</v>
      </c>
      <c r="FF103" s="18">
        <f>FE103*VLOOKUP('Données projet'!$B$16,Paramètres!$A$1:$I$89,3,0)*VLOOKUP('Données projet'!$B$16,Paramètres!$A$1:$I$89,5,0)</f>
        <v>349.15919999999988</v>
      </c>
      <c r="FG103" s="14">
        <f t="shared" si="101"/>
        <v>81.389357558494837</v>
      </c>
      <c r="FH103" s="22">
        <f t="shared" si="76"/>
        <v>749.87207108104496</v>
      </c>
      <c r="FI103" s="62">
        <f t="shared" si="77"/>
        <v>1043.2054044143783</v>
      </c>
      <c r="FJ103" s="62">
        <f ca="1">AVERAGE(OFFSET($FI$3,0,0,'Données projet'!$E$16+1,1))-AVERAGE(OFFSET($H$3,0,0,'Données projet'!$E$16+1,1))</f>
        <v>540.83352418045502</v>
      </c>
      <c r="FK103" s="62">
        <f t="shared" si="102"/>
        <v>294.45557293177131</v>
      </c>
      <c r="FL103" s="16">
        <f>IF(ISNA(VLOOKUP(A103,'Données projet'!$A$217:$I$237,3,0)),0,VLOOKUP(A103,'Données projet'!$A$217:$I$237,3,0))</f>
        <v>8</v>
      </c>
      <c r="FM103" s="16">
        <f>IF(ISNA(VLOOKUP(A103,'Données projet'!$A$217:$I$237,4,0)),0,VLOOKUP(A103,'Données projet'!$A$217:$I$237,4,0))</f>
        <v>55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1.1368683772161603E-13</v>
      </c>
      <c r="GA103" s="18">
        <f>FZ103*VLOOKUP('Données projet'!$B$17,Paramètres!$A$1:$I$89,3,0)*VLOOKUP('Données projet'!$B$17,Paramètres!$A$1:$I$89,5,0)</f>
        <v>8.8675733422860506E-14</v>
      </c>
      <c r="GB103" s="14">
        <f t="shared" si="103"/>
        <v>1.3509285393066301E-12</v>
      </c>
      <c r="GC103" s="22">
        <f t="shared" si="79"/>
        <v>2.5073107750038623E-12</v>
      </c>
      <c r="GD103" s="62">
        <f t="shared" si="80"/>
        <v>293.33333333333582</v>
      </c>
      <c r="GE103" s="62">
        <f ca="1">AVERAGE(OFFSET($GD$3,0,0,'Données projet'!$E$17+1,1))-AVERAGE(OFFSET($H$3,0,0,'Données projet'!$E$17+1,1))</f>
        <v>292.57482726862594</v>
      </c>
      <c r="GF103" s="62">
        <f t="shared" si="104"/>
        <v>283.48738729114024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323.07692307692304</v>
      </c>
      <c r="GS103" s="13">
        <f>VLOOKUP(A103,'Données projet'!$A$269:$I$289,9,0)</f>
        <v>3.717948717948707</v>
      </c>
      <c r="GT103" s="13">
        <f t="array" ref="GT103">INDEX(GS:GS,MIN(IF(ISNUMBER(GS103:GS299),ROW(GS103:GS299),"")))</f>
        <v>3.717948717948707</v>
      </c>
      <c r="GU103" s="13">
        <f>IF('Données projet'!$A$270&gt;35,GU102+GT103-HC102,IF(A103&lt;'Données projet'!$A$270,$GR$205^A103,IF(A103='Données projet'!$A$270,'Données projet'!$B$270,GU102+GT103-HC102)))</f>
        <v>323.07692307692321</v>
      </c>
      <c r="GV103" s="18">
        <f>GU103*VLOOKUP('Données projet'!$B$18,Paramètres!$A$1:$I$89,3,0)*VLOOKUP('Données projet'!$B$18,Paramètres!$A$1:$I$89,5,0)</f>
        <v>216.72000000000011</v>
      </c>
      <c r="GW103" s="14">
        <f t="shared" si="105"/>
        <v>53.401371884419554</v>
      </c>
      <c r="GX103" s="22">
        <f t="shared" si="82"/>
        <v>470.46138936536425</v>
      </c>
      <c r="GY103" s="62">
        <f t="shared" si="83"/>
        <v>763.79472269869757</v>
      </c>
      <c r="GZ103" s="62">
        <f ca="1">AVERAGE(OFFSET($GY$3,0,0,'Données projet'!$E$18+1,1))-AVERAGE(OFFSET($H$3,0,0,'Données projet'!$E$18+1,1))</f>
        <v>343.33067866534634</v>
      </c>
      <c r="HA103" s="62">
        <f t="shared" si="106"/>
        <v>261.91036689641402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311.19999999999987</v>
      </c>
      <c r="O104" s="14">
        <f>N104*VLOOKUP('Données projet'!$B$9,Paramètres!$A$1:$I$89,3,0)*VLOOKUP('Données projet'!$B$9,Paramètres!$A$1:$I$89,5,0)</f>
        <v>281.57375999999988</v>
      </c>
      <c r="P104" s="14">
        <f t="shared" si="87"/>
        <v>67.299481043334993</v>
      </c>
      <c r="Q104" s="22">
        <f t="shared" si="107"/>
        <v>607.62089481714156</v>
      </c>
      <c r="R104" s="62">
        <f t="shared" si="55"/>
        <v>900.95422815047482</v>
      </c>
      <c r="S104" s="62">
        <f ca="1">AVERAGE(OFFSET($R$3,0,0,'Données projet'!$E$9+1,1))-AVERAGE(OFFSET($H$3,0,0,'Données projet'!$E$9+1,1))</f>
        <v>508.77990078889337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5.2</v>
      </c>
      <c r="AI104" s="14">
        <f>IF('Données projet'!$A$62&gt;35,AI103+AH104-AQ103,IF(A104&lt;'Données projet'!$A$62,$AF$205^A104,IF(A104='Données projet'!$A$62,'Données projet'!$B$62,AI103+AH104-AQ103)))</f>
        <v>311.19999999999987</v>
      </c>
      <c r="AJ104" s="14">
        <f>AI104*VLOOKUP('Données projet'!$B$10,Paramètres!$A$1:$I$89,3,0)*VLOOKUP('Données projet'!$B$10,Paramètres!$A$1:$I$89,5,0)</f>
        <v>315.5567999999999</v>
      </c>
      <c r="AK104" s="14">
        <f t="shared" si="89"/>
        <v>74.428108513271013</v>
      </c>
      <c r="AL104" s="22">
        <f t="shared" si="58"/>
        <v>679.22371566061349</v>
      </c>
      <c r="AM104" s="62">
        <f t="shared" si="59"/>
        <v>972.55704899394686</v>
      </c>
      <c r="AN104" s="62">
        <f ca="1">AVERAGE(OFFSET($AM$3,0,0,'Données projet'!$E$10+1,1))-AVERAGE(OFFSET($H$3,0,0,'Données projet'!$E$10+1,1))</f>
        <v>564.84596170333884</v>
      </c>
      <c r="AO104" s="62">
        <f t="shared" si="90"/>
        <v>306.61893266146666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-1.8089849618263545E-13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370.79299728190904</v>
      </c>
      <c r="BJ104" s="62">
        <f t="shared" si="92"/>
        <v>404.95703400805775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projet'!$B$12,Paramètres!$A$1:$I$89,3,0)*VLOOKUP('Données projet'!$B$12,Paramètres!$A$1:$I$89,5,0)</f>
        <v>-1.8089849618263545E-13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370.79299728190904</v>
      </c>
      <c r="CE104" s="62">
        <f t="shared" si="94"/>
        <v>404.95703400805775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-1.7053025658242404E-13</v>
      </c>
      <c r="CU104" s="18">
        <f>CT104*VLOOKUP('Données projet'!$B$13,Paramètres!$A$1:$I$89,3,0)*VLOOKUP('Données projet'!$B$13,Paramètres!$A$1:$I$89,5,0)</f>
        <v>-1.4897523215040567E-13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339.58437495284466</v>
      </c>
      <c r="CZ104" s="62">
        <f t="shared" si="96"/>
        <v>371.26234252426531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-2.2737367544323206E-13</v>
      </c>
      <c r="DP104" s="18">
        <f>DO104*VLOOKUP('Données projet'!$B$14,Paramètres!$A$1:$I$89,3,0)*VLOOKUP('Données projet'!$B$14,Paramètres!$A$1:$I$89,5,0)</f>
        <v>-1.6671037883497774E-13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344.63665697794022</v>
      </c>
      <c r="DU104" s="62">
        <f t="shared" si="98"/>
        <v>376.72762011188041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3.3974358974359005</v>
      </c>
      <c r="EJ104" s="13">
        <f>IF('Données projet'!$A$192&gt;35,EJ103+EI104-ER103,IF(A104&lt;'Données projet'!$A$192,$EG$205^A104,IF(A104='Données projet'!$A$192,'Données projet'!$B$192,EJ103+EI104-ER103)))</f>
        <v>261.73076923076923</v>
      </c>
      <c r="EK104" s="18">
        <f>EJ104*VLOOKUP('Données projet'!$B$15,Paramètres!$A$1:$I$89,3,0)*VLOOKUP('Données projet'!$B$15,Paramètres!$A$1:$I$89,5,0)</f>
        <v>249.06300000000002</v>
      </c>
      <c r="EL104" s="14">
        <f t="shared" si="99"/>
        <v>60.385252576343511</v>
      </c>
      <c r="EM104" s="22">
        <f t="shared" si="73"/>
        <v>538.95570657046494</v>
      </c>
      <c r="EN104" s="62">
        <f t="shared" si="74"/>
        <v>832.28903990379831</v>
      </c>
      <c r="EO104" s="62">
        <f ca="1">AVERAGE(OFFSET($EN$3,0,0,'Données projet'!$E$15+1,1))-AVERAGE(OFFSET($H$3,0,0,'Données projet'!$E$15+1,1))</f>
        <v>406.24139966722936</v>
      </c>
      <c r="EP104" s="62">
        <f t="shared" si="100"/>
        <v>295.95724296920577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5.2</v>
      </c>
      <c r="FE104" s="13">
        <f>IF('Données projet'!$A$218&gt;35,FE103+FD104-FM103,IF(A104&lt;'Données projet'!$A$218,$FB$205^A104,IF(A104='Données projet'!$A$218,'Données projet'!$B$218,FE103+FD104-FM103)))</f>
        <v>311.19999999999987</v>
      </c>
      <c r="FF104" s="18">
        <f>FE104*VLOOKUP('Données projet'!$B$16,Paramètres!$A$1:$I$89,3,0)*VLOOKUP('Données projet'!$B$16,Paramètres!$A$1:$I$89,5,0)</f>
        <v>300.99263999999988</v>
      </c>
      <c r="FG104" s="14">
        <f t="shared" si="101"/>
        <v>71.384518923273589</v>
      </c>
      <c r="FH104" s="22">
        <f t="shared" si="76"/>
        <v>648.55688512470113</v>
      </c>
      <c r="FI104" s="62">
        <f t="shared" si="77"/>
        <v>941.8902184580345</v>
      </c>
      <c r="FJ104" s="62">
        <f ca="1">AVERAGE(OFFSET($FI$3,0,0,'Données projet'!$E$16+1,1))-AVERAGE(OFFSET($H$3,0,0,'Données projet'!$E$16+1,1))</f>
        <v>540.83352418045502</v>
      </c>
      <c r="FK104" s="62">
        <f t="shared" si="102"/>
        <v>294.45557293177131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1.1368683772161603E-13</v>
      </c>
      <c r="GA104" s="18">
        <f>FZ104*VLOOKUP('Données projet'!$B$17,Paramètres!$A$1:$I$89,3,0)*VLOOKUP('Données projet'!$B$17,Paramètres!$A$1:$I$89,5,0)</f>
        <v>8.8675733422860506E-14</v>
      </c>
      <c r="GB104" s="14">
        <f t="shared" si="103"/>
        <v>1.3509285393066301E-12</v>
      </c>
      <c r="GC104" s="22">
        <f t="shared" si="79"/>
        <v>2.5073107750038623E-12</v>
      </c>
      <c r="GD104" s="62">
        <f t="shared" si="80"/>
        <v>293.33333333333582</v>
      </c>
      <c r="GE104" s="62">
        <f ca="1">AVERAGE(OFFSET($GD$3,0,0,'Données projet'!$E$17+1,1))-AVERAGE(OFFSET($H$3,0,0,'Données projet'!$E$17+1,1))</f>
        <v>292.57482726862594</v>
      </c>
      <c r="GF104" s="62">
        <f t="shared" si="104"/>
        <v>283.48738729114024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3.5256410256410278</v>
      </c>
      <c r="GU104" s="13">
        <f>IF('Données projet'!$A$270&gt;35,GU103+GT104-HC103,IF(A104&lt;'Données projet'!$A$270,$GR$205^A104,IF(A104='Données projet'!$A$270,'Données projet'!$B$270,GU103+GT104-HC103)))</f>
        <v>326.60256410256426</v>
      </c>
      <c r="GV104" s="18">
        <f>GU104*VLOOKUP('Données projet'!$B$18,Paramètres!$A$1:$I$89,3,0)*VLOOKUP('Données projet'!$B$18,Paramètres!$A$1:$I$89,5,0)</f>
        <v>219.08500000000009</v>
      </c>
      <c r="GW104" s="14">
        <f t="shared" si="105"/>
        <v>53.91596677829537</v>
      </c>
      <c r="GX104" s="22">
        <f t="shared" si="82"/>
        <v>475.4766838055312</v>
      </c>
      <c r="GY104" s="62">
        <f t="shared" si="83"/>
        <v>768.81001713886451</v>
      </c>
      <c r="GZ104" s="62">
        <f ca="1">AVERAGE(OFFSET($GY$3,0,0,'Données projet'!$E$18+1,1))-AVERAGE(OFFSET($H$3,0,0,'Données projet'!$E$18+1,1))</f>
        <v>343.33067866534634</v>
      </c>
      <c r="HA104" s="62">
        <f t="shared" si="106"/>
        <v>261.91036689641402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316.39999999999986</v>
      </c>
      <c r="O105" s="14">
        <f>N105*VLOOKUP('Données projet'!$B$9,Paramètres!$A$1:$I$89,3,0)*VLOOKUP('Données projet'!$B$9,Paramètres!$A$1:$I$89,5,0)</f>
        <v>286.27871999999985</v>
      </c>
      <c r="P105" s="14">
        <f t="shared" si="87"/>
        <v>68.292165517667542</v>
      </c>
      <c r="Q105" s="22">
        <f t="shared" si="107"/>
        <v>617.5442922766041</v>
      </c>
      <c r="R105" s="62">
        <f t="shared" si="55"/>
        <v>910.87762560993747</v>
      </c>
      <c r="S105" s="62">
        <f ca="1">AVERAGE(OFFSET($R$3,0,0,'Données projet'!$E$9+1,1))-AVERAGE(OFFSET($H$3,0,0,'Données projet'!$E$9+1,1))</f>
        <v>508.77990078889337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5.2</v>
      </c>
      <c r="AI105" s="14">
        <f>IF('Données projet'!$A$62&gt;35,AI104+AH105-AQ104,IF(A105&lt;'Données projet'!$A$62,$AF$205^A105,IF(A105='Données projet'!$A$62,'Données projet'!$B$62,AI104+AH105-AQ104)))</f>
        <v>316.39999999999986</v>
      </c>
      <c r="AJ105" s="14">
        <f>AI105*VLOOKUP('Données projet'!$B$10,Paramètres!$A$1:$I$89,3,0)*VLOOKUP('Données projet'!$B$10,Paramètres!$A$1:$I$89,5,0)</f>
        <v>320.82959999999986</v>
      </c>
      <c r="AK105" s="14">
        <f t="shared" si="89"/>
        <v>75.525942057150615</v>
      </c>
      <c r="AL105" s="22">
        <f t="shared" si="58"/>
        <v>690.31923574953714</v>
      </c>
      <c r="AM105" s="62">
        <f t="shared" si="59"/>
        <v>983.65256908287051</v>
      </c>
      <c r="AN105" s="62">
        <f ca="1">AVERAGE(OFFSET($AM$3,0,0,'Données projet'!$E$10+1,1))-AVERAGE(OFFSET($H$3,0,0,'Données projet'!$E$10+1,1))</f>
        <v>564.84596170333884</v>
      </c>
      <c r="AO105" s="62">
        <f t="shared" si="90"/>
        <v>306.61893266146666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-1.8089849618263545E-13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370.79299728190904</v>
      </c>
      <c r="BJ105" s="62">
        <f t="shared" si="92"/>
        <v>404.95703400805775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projet'!$B$12,Paramètres!$A$1:$I$89,3,0)*VLOOKUP('Données projet'!$B$12,Paramètres!$A$1:$I$89,5,0)</f>
        <v>-1.8089849618263545E-13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370.79299728190904</v>
      </c>
      <c r="CE105" s="62">
        <f t="shared" si="94"/>
        <v>404.95703400805775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-1.7053025658242404E-13</v>
      </c>
      <c r="CU105" s="18">
        <f>CT105*VLOOKUP('Données projet'!$B$13,Paramètres!$A$1:$I$89,3,0)*VLOOKUP('Données projet'!$B$13,Paramètres!$A$1:$I$89,5,0)</f>
        <v>-1.4897523215040567E-13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339.58437495284466</v>
      </c>
      <c r="CZ105" s="62">
        <f t="shared" si="96"/>
        <v>371.26234252426531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-2.2737367544323206E-13</v>
      </c>
      <c r="DP105" s="18">
        <f>DO105*VLOOKUP('Données projet'!$B$14,Paramètres!$A$1:$I$89,3,0)*VLOOKUP('Données projet'!$B$14,Paramètres!$A$1:$I$89,5,0)</f>
        <v>-1.6671037883497774E-13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344.63665697794022</v>
      </c>
      <c r="DU105" s="62">
        <f t="shared" si="98"/>
        <v>376.72762011188041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3.3974358974359005</v>
      </c>
      <c r="EJ105" s="13">
        <f>IF('Données projet'!$A$192&gt;35,EJ104+EI105-ER104,IF(A105&lt;'Données projet'!$A$192,$EG$205^A105,IF(A105='Données projet'!$A$192,'Données projet'!$B$192,EJ104+EI105-ER104)))</f>
        <v>265.12820512820514</v>
      </c>
      <c r="EK105" s="18">
        <f>EJ105*VLOOKUP('Données projet'!$B$15,Paramètres!$A$1:$I$89,3,0)*VLOOKUP('Données projet'!$B$15,Paramètres!$A$1:$I$89,5,0)</f>
        <v>252.29600000000002</v>
      </c>
      <c r="EL105" s="14">
        <f t="shared" si="99"/>
        <v>61.077332796544965</v>
      </c>
      <c r="EM105" s="22">
        <f t="shared" si="73"/>
        <v>545.7918879539825</v>
      </c>
      <c r="EN105" s="62">
        <f t="shared" si="74"/>
        <v>839.12522128731575</v>
      </c>
      <c r="EO105" s="62">
        <f ca="1">AVERAGE(OFFSET($EN$3,0,0,'Données projet'!$E$15+1,1))-AVERAGE(OFFSET($H$3,0,0,'Données projet'!$E$15+1,1))</f>
        <v>406.24139966722936</v>
      </c>
      <c r="EP105" s="62">
        <f t="shared" si="100"/>
        <v>295.95724296920577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5.2</v>
      </c>
      <c r="FE105" s="13">
        <f>IF('Données projet'!$A$218&gt;35,FE104+FD105-FM104,IF(A105&lt;'Données projet'!$A$218,$FB$205^A105,IF(A105='Données projet'!$A$218,'Données projet'!$B$218,FE104+FD105-FM104)))</f>
        <v>316.39999999999986</v>
      </c>
      <c r="FF105" s="18">
        <f>FE105*VLOOKUP('Données projet'!$B$16,Paramètres!$A$1:$I$89,3,0)*VLOOKUP('Données projet'!$B$16,Paramètres!$A$1:$I$89,5,0)</f>
        <v>306.0220799999999</v>
      </c>
      <c r="FG105" s="14">
        <f t="shared" si="101"/>
        <v>72.437458746051689</v>
      </c>
      <c r="FH105" s="22">
        <f t="shared" si="76"/>
        <v>659.15036331603972</v>
      </c>
      <c r="FI105" s="62">
        <f t="shared" si="77"/>
        <v>952.48369664937309</v>
      </c>
      <c r="FJ105" s="62">
        <f ca="1">AVERAGE(OFFSET($FI$3,0,0,'Données projet'!$E$16+1,1))-AVERAGE(OFFSET($H$3,0,0,'Données projet'!$E$16+1,1))</f>
        <v>540.83352418045502</v>
      </c>
      <c r="FK105" s="62">
        <f t="shared" si="102"/>
        <v>294.45557293177131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1.1368683772161603E-13</v>
      </c>
      <c r="GA105" s="18">
        <f>FZ105*VLOOKUP('Données projet'!$B$17,Paramètres!$A$1:$I$89,3,0)*VLOOKUP('Données projet'!$B$17,Paramètres!$A$1:$I$89,5,0)</f>
        <v>8.8675733422860506E-14</v>
      </c>
      <c r="GB105" s="14">
        <f t="shared" si="103"/>
        <v>1.3509285393066301E-12</v>
      </c>
      <c r="GC105" s="22">
        <f t="shared" si="79"/>
        <v>2.5073107750038623E-12</v>
      </c>
      <c r="GD105" s="62">
        <f t="shared" si="80"/>
        <v>293.33333333333582</v>
      </c>
      <c r="GE105" s="62">
        <f ca="1">AVERAGE(OFFSET($GD$3,0,0,'Données projet'!$E$17+1,1))-AVERAGE(OFFSET($H$3,0,0,'Données projet'!$E$17+1,1))</f>
        <v>292.57482726862594</v>
      </c>
      <c r="GF105" s="62">
        <f t="shared" si="104"/>
        <v>283.48738729114024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3.5256410256410278</v>
      </c>
      <c r="GU105" s="13">
        <f>IF('Données projet'!$A$270&gt;35,GU104+GT105-HC104,IF(A105&lt;'Données projet'!$A$270,$GR$205^A105,IF(A105='Données projet'!$A$270,'Données projet'!$B$270,GU104+GT105-HC104)))</f>
        <v>330.12820512820531</v>
      </c>
      <c r="GV105" s="18">
        <f>GU105*VLOOKUP('Données projet'!$B$18,Paramètres!$A$1:$I$89,3,0)*VLOOKUP('Données projet'!$B$18,Paramètres!$A$1:$I$89,5,0)</f>
        <v>221.45000000000013</v>
      </c>
      <c r="GW105" s="14">
        <f t="shared" si="105"/>
        <v>54.429915463097601</v>
      </c>
      <c r="GX105" s="22">
        <f t="shared" si="82"/>
        <v>480.49085276489518</v>
      </c>
      <c r="GY105" s="62">
        <f t="shared" si="83"/>
        <v>773.82418609822844</v>
      </c>
      <c r="GZ105" s="62">
        <f ca="1">AVERAGE(OFFSET($GY$3,0,0,'Données projet'!$E$18+1,1))-AVERAGE(OFFSET($H$3,0,0,'Données projet'!$E$18+1,1))</f>
        <v>343.33067866534634</v>
      </c>
      <c r="HA105" s="62">
        <f t="shared" si="106"/>
        <v>261.91036689641402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321.59999999999985</v>
      </c>
      <c r="O106" s="14">
        <f>N106*VLOOKUP('Données projet'!$B$9,Paramètres!$A$1:$I$89,3,0)*VLOOKUP('Données projet'!$B$9,Paramètres!$A$1:$I$89,5,0)</f>
        <v>290.98367999999988</v>
      </c>
      <c r="P106" s="14">
        <f t="shared" si="87"/>
        <v>69.282952690245423</v>
      </c>
      <c r="Q106" s="22">
        <f t="shared" si="107"/>
        <v>627.46438526884378</v>
      </c>
      <c r="R106" s="62">
        <f t="shared" si="55"/>
        <v>920.79771860217716</v>
      </c>
      <c r="S106" s="62">
        <f ca="1">AVERAGE(OFFSET($R$3,0,0,'Données projet'!$E$9+1,1))-AVERAGE(OFFSET($H$3,0,0,'Données projet'!$E$9+1,1))</f>
        <v>508.77990078889337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5.2</v>
      </c>
      <c r="AI106" s="14">
        <f>IF('Données projet'!$A$62&gt;35,AI105+AH106-AQ105,IF(A106&lt;'Données projet'!$A$62,$AF$205^A106,IF(A106='Données projet'!$A$62,'Données projet'!$B$62,AI105+AH106-AQ105)))</f>
        <v>321.59999999999985</v>
      </c>
      <c r="AJ106" s="14">
        <f>AI106*VLOOKUP('Données projet'!$B$10,Paramètres!$A$1:$I$89,3,0)*VLOOKUP('Données projet'!$B$10,Paramètres!$A$1:$I$89,5,0)</f>
        <v>326.10239999999988</v>
      </c>
      <c r="AK106" s="14">
        <f t="shared" si="89"/>
        <v>76.621677329562289</v>
      </c>
      <c r="AL106" s="22">
        <f t="shared" si="58"/>
        <v>701.41110134898747</v>
      </c>
      <c r="AM106" s="62">
        <f t="shared" si="59"/>
        <v>994.74443468232084</v>
      </c>
      <c r="AN106" s="62">
        <f ca="1">AVERAGE(OFFSET($AM$3,0,0,'Données projet'!$E$10+1,1))-AVERAGE(OFFSET($H$3,0,0,'Données projet'!$E$10+1,1))</f>
        <v>564.84596170333884</v>
      </c>
      <c r="AO106" s="62">
        <f t="shared" si="90"/>
        <v>306.61893266146666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-1.8089849618263545E-13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370.79299728190904</v>
      </c>
      <c r="BJ106" s="62">
        <f t="shared" si="92"/>
        <v>404.95703400805775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projet'!$B$12,Paramètres!$A$1:$I$89,3,0)*VLOOKUP('Données projet'!$B$12,Paramètres!$A$1:$I$89,5,0)</f>
        <v>-1.8089849618263545E-13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370.79299728190904</v>
      </c>
      <c r="CE106" s="62">
        <f t="shared" si="94"/>
        <v>404.95703400805775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-1.7053025658242404E-13</v>
      </c>
      <c r="CU106" s="18">
        <f>CT106*VLOOKUP('Données projet'!$B$13,Paramètres!$A$1:$I$89,3,0)*VLOOKUP('Données projet'!$B$13,Paramètres!$A$1:$I$89,5,0)</f>
        <v>-1.4897523215040567E-13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339.58437495284466</v>
      </c>
      <c r="CZ106" s="62">
        <f t="shared" si="96"/>
        <v>371.26234252426531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-2.2737367544323206E-13</v>
      </c>
      <c r="DP106" s="18">
        <f>DO106*VLOOKUP('Données projet'!$B$14,Paramètres!$A$1:$I$89,3,0)*VLOOKUP('Données projet'!$B$14,Paramètres!$A$1:$I$89,5,0)</f>
        <v>-1.6671037883497774E-13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344.63665697794022</v>
      </c>
      <c r="DU106" s="62">
        <f t="shared" si="98"/>
        <v>376.72762011188041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3.3974358974359005</v>
      </c>
      <c r="EJ106" s="13">
        <f>IF('Données projet'!$A$192&gt;35,EJ105+EI106-ER105,IF(A106&lt;'Données projet'!$A$192,$EG$205^A106,IF(A106='Données projet'!$A$192,'Données projet'!$B$192,EJ105+EI106-ER105)))</f>
        <v>268.52564102564105</v>
      </c>
      <c r="EK106" s="18">
        <f>EJ106*VLOOKUP('Données projet'!$B$15,Paramètres!$A$1:$I$89,3,0)*VLOOKUP('Données projet'!$B$15,Paramètres!$A$1:$I$89,5,0)</f>
        <v>255.52900000000002</v>
      </c>
      <c r="EL106" s="14">
        <f t="shared" si="99"/>
        <v>61.768381459172247</v>
      </c>
      <c r="EM106" s="22">
        <f t="shared" si="73"/>
        <v>552.62627270805831</v>
      </c>
      <c r="EN106" s="62">
        <f t="shared" si="74"/>
        <v>845.95960604139168</v>
      </c>
      <c r="EO106" s="62">
        <f ca="1">AVERAGE(OFFSET($EN$3,0,0,'Données projet'!$E$15+1,1))-AVERAGE(OFFSET($H$3,0,0,'Données projet'!$E$15+1,1))</f>
        <v>406.24139966722936</v>
      </c>
      <c r="EP106" s="62">
        <f t="shared" si="100"/>
        <v>295.95724296920577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5.2</v>
      </c>
      <c r="FE106" s="13">
        <f>IF('Données projet'!$A$218&gt;35,FE105+FD106-FM105,IF(A106&lt;'Données projet'!$A$218,$FB$205^A106,IF(A106='Données projet'!$A$218,'Données projet'!$B$218,FE105+FD106-FM105)))</f>
        <v>321.59999999999985</v>
      </c>
      <c r="FF106" s="18">
        <f>FE106*VLOOKUP('Données projet'!$B$16,Paramètres!$A$1:$I$89,3,0)*VLOOKUP('Données projet'!$B$16,Paramètres!$A$1:$I$89,5,0)</f>
        <v>311.05151999999987</v>
      </c>
      <c r="FG106" s="14">
        <f t="shared" si="101"/>
        <v>73.488386102003744</v>
      </c>
      <c r="FH106" s="22">
        <f t="shared" si="76"/>
        <v>669.74033646098962</v>
      </c>
      <c r="FI106" s="62">
        <f t="shared" si="77"/>
        <v>963.073669794323</v>
      </c>
      <c r="FJ106" s="62">
        <f ca="1">AVERAGE(OFFSET($FI$3,0,0,'Données projet'!$E$16+1,1))-AVERAGE(OFFSET($H$3,0,0,'Données projet'!$E$16+1,1))</f>
        <v>540.83352418045502</v>
      </c>
      <c r="FK106" s="62">
        <f t="shared" si="102"/>
        <v>294.45557293177131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1.1368683772161603E-13</v>
      </c>
      <c r="GA106" s="18">
        <f>FZ106*VLOOKUP('Données projet'!$B$17,Paramètres!$A$1:$I$89,3,0)*VLOOKUP('Données projet'!$B$17,Paramètres!$A$1:$I$89,5,0)</f>
        <v>8.8675733422860506E-14</v>
      </c>
      <c r="GB106" s="14">
        <f t="shared" si="103"/>
        <v>1.3509285393066301E-12</v>
      </c>
      <c r="GC106" s="22">
        <f t="shared" si="79"/>
        <v>2.5073107750038623E-12</v>
      </c>
      <c r="GD106" s="62">
        <f t="shared" si="80"/>
        <v>293.33333333333582</v>
      </c>
      <c r="GE106" s="62">
        <f ca="1">AVERAGE(OFFSET($GD$3,0,0,'Données projet'!$E$17+1,1))-AVERAGE(OFFSET($H$3,0,0,'Données projet'!$E$17+1,1))</f>
        <v>292.57482726862594</v>
      </c>
      <c r="GF106" s="62">
        <f t="shared" si="104"/>
        <v>283.48738729114024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3.5256410256410278</v>
      </c>
      <c r="GU106" s="13">
        <f>IF('Données projet'!$A$270&gt;35,GU105+GT106-HC105,IF(A106&lt;'Données projet'!$A$270,$GR$205^A106,IF(A106='Données projet'!$A$270,'Données projet'!$B$270,GU105+GT106-HC105)))</f>
        <v>333.65384615384636</v>
      </c>
      <c r="GV106" s="18">
        <f>GU106*VLOOKUP('Données projet'!$B$18,Paramètres!$A$1:$I$89,3,0)*VLOOKUP('Données projet'!$B$18,Paramètres!$A$1:$I$89,5,0)</f>
        <v>223.81500000000014</v>
      </c>
      <c r="GW106" s="14">
        <f t="shared" si="105"/>
        <v>54.943225638902341</v>
      </c>
      <c r="GX106" s="22">
        <f t="shared" si="82"/>
        <v>485.50390965442176</v>
      </c>
      <c r="GY106" s="62">
        <f t="shared" si="83"/>
        <v>778.83724298775508</v>
      </c>
      <c r="GZ106" s="62">
        <f ca="1">AVERAGE(OFFSET($GY$3,0,0,'Données projet'!$E$18+1,1))-AVERAGE(OFFSET($H$3,0,0,'Données projet'!$E$18+1,1))</f>
        <v>343.33067866534634</v>
      </c>
      <c r="HA106" s="62">
        <f t="shared" si="106"/>
        <v>261.91036689641402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326.79999999999984</v>
      </c>
      <c r="O107" s="14">
        <f>N107*VLOOKUP('Données projet'!$B$9,Paramètres!$A$1:$I$89,3,0)*VLOOKUP('Données projet'!$B$9,Paramètres!$A$1:$I$89,5,0)</f>
        <v>295.68863999999985</v>
      </c>
      <c r="P107" s="14">
        <f t="shared" si="87"/>
        <v>70.271876780519676</v>
      </c>
      <c r="Q107" s="22">
        <f t="shared" si="107"/>
        <v>637.38123339273818</v>
      </c>
      <c r="R107" s="62">
        <f t="shared" si="55"/>
        <v>930.71456672607155</v>
      </c>
      <c r="S107" s="62">
        <f ca="1">AVERAGE(OFFSET($R$3,0,0,'Données projet'!$E$9+1,1))-AVERAGE(OFFSET($H$3,0,0,'Données projet'!$E$9+1,1))</f>
        <v>508.77990078889337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5.2</v>
      </c>
      <c r="AI107" s="14">
        <f>IF('Données projet'!$A$62&gt;35,AI106+AH107-AQ106,IF(A107&lt;'Données projet'!$A$62,$AF$205^A107,IF(A107='Données projet'!$A$62,'Données projet'!$B$62,AI106+AH107-AQ106)))</f>
        <v>326.79999999999984</v>
      </c>
      <c r="AJ107" s="14">
        <f>AI107*VLOOKUP('Données projet'!$B$10,Paramètres!$A$1:$I$89,3,0)*VLOOKUP('Données projet'!$B$10,Paramètres!$A$1:$I$89,5,0)</f>
        <v>331.37519999999984</v>
      </c>
      <c r="AK107" s="14">
        <f t="shared" si="89"/>
        <v>77.715352174616896</v>
      </c>
      <c r="AL107" s="22">
        <f t="shared" si="58"/>
        <v>712.49937837079085</v>
      </c>
      <c r="AM107" s="62">
        <f t="shared" si="59"/>
        <v>1005.8327117041242</v>
      </c>
      <c r="AN107" s="62">
        <f ca="1">AVERAGE(OFFSET($AM$3,0,0,'Données projet'!$E$10+1,1))-AVERAGE(OFFSET($H$3,0,0,'Données projet'!$E$10+1,1))</f>
        <v>564.84596170333884</v>
      </c>
      <c r="AO107" s="62">
        <f t="shared" si="90"/>
        <v>306.61893266146666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-1.8089849618263545E-13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370.79299728190904</v>
      </c>
      <c r="BJ107" s="62">
        <f t="shared" si="92"/>
        <v>404.95703400805775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projet'!$B$12,Paramètres!$A$1:$I$89,3,0)*VLOOKUP('Données projet'!$B$12,Paramètres!$A$1:$I$89,5,0)</f>
        <v>-1.8089849618263545E-13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370.79299728190904</v>
      </c>
      <c r="CE107" s="62">
        <f t="shared" si="94"/>
        <v>404.95703400805775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-1.7053025658242404E-13</v>
      </c>
      <c r="CU107" s="18">
        <f>CT107*VLOOKUP('Données projet'!$B$13,Paramètres!$A$1:$I$89,3,0)*VLOOKUP('Données projet'!$B$13,Paramètres!$A$1:$I$89,5,0)</f>
        <v>-1.4897523215040567E-13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339.58437495284466</v>
      </c>
      <c r="CZ107" s="62">
        <f t="shared" si="96"/>
        <v>371.26234252426531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-2.2737367544323206E-13</v>
      </c>
      <c r="DP107" s="18">
        <f>DO107*VLOOKUP('Données projet'!$B$14,Paramètres!$A$1:$I$89,3,0)*VLOOKUP('Données projet'!$B$14,Paramètres!$A$1:$I$89,5,0)</f>
        <v>-1.6671037883497774E-13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344.63665697794022</v>
      </c>
      <c r="DU107" s="62">
        <f t="shared" si="98"/>
        <v>376.72762011188041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3.3974358974359005</v>
      </c>
      <c r="EJ107" s="13">
        <f>IF('Données projet'!$A$192&gt;35,EJ106+EI107-ER106,IF(A107&lt;'Données projet'!$A$192,$EG$205^A107,IF(A107='Données projet'!$A$192,'Données projet'!$B$192,EJ106+EI107-ER106)))</f>
        <v>271.92307692307696</v>
      </c>
      <c r="EK107" s="18">
        <f>EJ107*VLOOKUP('Données projet'!$B$15,Paramètres!$A$1:$I$89,3,0)*VLOOKUP('Données projet'!$B$15,Paramètres!$A$1:$I$89,5,0)</f>
        <v>258.76200000000006</v>
      </c>
      <c r="EL107" s="14">
        <f t="shared" si="99"/>
        <v>62.458413124928875</v>
      </c>
      <c r="EM107" s="22">
        <f t="shared" si="73"/>
        <v>559.4588861925846</v>
      </c>
      <c r="EN107" s="62">
        <f t="shared" si="74"/>
        <v>852.79221952591797</v>
      </c>
      <c r="EO107" s="62">
        <f ca="1">AVERAGE(OFFSET($EN$3,0,0,'Données projet'!$E$15+1,1))-AVERAGE(OFFSET($H$3,0,0,'Données projet'!$E$15+1,1))</f>
        <v>406.24139966722936</v>
      </c>
      <c r="EP107" s="62">
        <f t="shared" si="100"/>
        <v>295.95724296920577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5.2</v>
      </c>
      <c r="FE107" s="13">
        <f>IF('Données projet'!$A$218&gt;35,FE106+FD107-FM106,IF(A107&lt;'Données projet'!$A$218,$FB$205^A107,IF(A107='Données projet'!$A$218,'Données projet'!$B$218,FE106+FD107-FM106)))</f>
        <v>326.79999999999984</v>
      </c>
      <c r="FF107" s="18">
        <f>FE107*VLOOKUP('Données projet'!$B$16,Paramètres!$A$1:$I$89,3,0)*VLOOKUP('Données projet'!$B$16,Paramètres!$A$1:$I$89,5,0)</f>
        <v>316.08095999999983</v>
      </c>
      <c r="FG107" s="14">
        <f t="shared" si="101"/>
        <v>74.537337287681041</v>
      </c>
      <c r="FH107" s="22">
        <f t="shared" si="76"/>
        <v>680.3268677760442</v>
      </c>
      <c r="FI107" s="62">
        <f t="shared" si="77"/>
        <v>973.66020110937757</v>
      </c>
      <c r="FJ107" s="62">
        <f ca="1">AVERAGE(OFFSET($FI$3,0,0,'Données projet'!$E$16+1,1))-AVERAGE(OFFSET($H$3,0,0,'Données projet'!$E$16+1,1))</f>
        <v>540.83352418045502</v>
      </c>
      <c r="FK107" s="62">
        <f t="shared" si="102"/>
        <v>294.45557293177131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1.1368683772161603E-13</v>
      </c>
      <c r="GA107" s="18">
        <f>FZ107*VLOOKUP('Données projet'!$B$17,Paramètres!$A$1:$I$89,3,0)*VLOOKUP('Données projet'!$B$17,Paramètres!$A$1:$I$89,5,0)</f>
        <v>8.8675733422860506E-14</v>
      </c>
      <c r="GB107" s="14">
        <f t="shared" si="103"/>
        <v>1.3509285393066301E-12</v>
      </c>
      <c r="GC107" s="22">
        <f t="shared" si="79"/>
        <v>2.5073107750038623E-12</v>
      </c>
      <c r="GD107" s="62">
        <f t="shared" si="80"/>
        <v>293.33333333333582</v>
      </c>
      <c r="GE107" s="62">
        <f ca="1">AVERAGE(OFFSET($GD$3,0,0,'Données projet'!$E$17+1,1))-AVERAGE(OFFSET($H$3,0,0,'Données projet'!$E$17+1,1))</f>
        <v>292.57482726862594</v>
      </c>
      <c r="GF107" s="62">
        <f t="shared" si="104"/>
        <v>283.48738729114024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3.5256410256410278</v>
      </c>
      <c r="GU107" s="13">
        <f>IF('Données projet'!$A$270&gt;35,GU106+GT107-HC106,IF(A107&lt;'Données projet'!$A$270,$GR$205^A107,IF(A107='Données projet'!$A$270,'Données projet'!$B$270,GU106+GT107-HC106)))</f>
        <v>337.17948717948741</v>
      </c>
      <c r="GV107" s="18">
        <f>GU107*VLOOKUP('Données projet'!$B$18,Paramètres!$A$1:$I$89,3,0)*VLOOKUP('Données projet'!$B$18,Paramètres!$A$1:$I$89,5,0)</f>
        <v>226.18000000000018</v>
      </c>
      <c r="GW107" s="14">
        <f t="shared" si="105"/>
        <v>55.455904833681558</v>
      </c>
      <c r="GX107" s="22">
        <f t="shared" si="82"/>
        <v>490.51586758532886</v>
      </c>
      <c r="GY107" s="62">
        <f t="shared" si="83"/>
        <v>783.84920091866218</v>
      </c>
      <c r="GZ107" s="62">
        <f ca="1">AVERAGE(OFFSET($GY$3,0,0,'Données projet'!$E$18+1,1))-AVERAGE(OFFSET($H$3,0,0,'Données projet'!$E$18+1,1))</f>
        <v>343.33067866534634</v>
      </c>
      <c r="HA107" s="62">
        <f t="shared" si="106"/>
        <v>261.91036689641402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331.99999999999983</v>
      </c>
      <c r="O108" s="14">
        <f>N108*VLOOKUP('Données projet'!$B$9,Paramètres!$A$1:$I$89,3,0)*VLOOKUP('Données projet'!$B$9,Paramètres!$A$1:$I$89,5,0)</f>
        <v>300.39359999999982</v>
      </c>
      <c r="P108" s="14">
        <f t="shared" si="87"/>
        <v>71.258970856492667</v>
      </c>
      <c r="Q108" s="22">
        <f t="shared" si="107"/>
        <v>647.29489424172436</v>
      </c>
      <c r="R108" s="62">
        <f t="shared" si="55"/>
        <v>940.62822757505774</v>
      </c>
      <c r="S108" s="62">
        <f ca="1">AVERAGE(OFFSET($R$3,0,0,'Données projet'!$E$9+1,1))-AVERAGE(OFFSET($H$3,0,0,'Données projet'!$E$9+1,1))</f>
        <v>508.77990078889337</v>
      </c>
      <c r="T108" s="62">
        <f t="shared" si="88"/>
        <v>278.21741231699929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5.2</v>
      </c>
      <c r="AI108" s="14">
        <f>IF('Données projet'!$A$62&gt;35,AI107+AH108-AQ107,IF(A108&lt;'Données projet'!$A$62,$AF$205^A108,IF(A108='Données projet'!$A$62,'Données projet'!$B$62,AI107+AH108-AQ107)))</f>
        <v>331.99999999999983</v>
      </c>
      <c r="AJ108" s="14">
        <f>AI108*VLOOKUP('Données projet'!$B$10,Paramètres!$A$1:$I$89,3,0)*VLOOKUP('Données projet'!$B$10,Paramètres!$A$1:$I$89,5,0)</f>
        <v>336.64799999999985</v>
      </c>
      <c r="AK108" s="14">
        <f t="shared" si="89"/>
        <v>78.807003163010307</v>
      </c>
      <c r="AL108" s="22">
        <f t="shared" si="58"/>
        <v>723.58413050890931</v>
      </c>
      <c r="AM108" s="62">
        <f t="shared" si="59"/>
        <v>1016.9174638422426</v>
      </c>
      <c r="AN108" s="62">
        <f ca="1">AVERAGE(OFFSET($AM$3,0,0,'Données projet'!$E$10+1,1))-AVERAGE(OFFSET($H$3,0,0,'Données projet'!$E$10+1,1))</f>
        <v>564.84596170333884</v>
      </c>
      <c r="AO108" s="62">
        <f t="shared" si="90"/>
        <v>306.61893266146666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-1.8089849618263545E-13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370.79299728190904</v>
      </c>
      <c r="BJ108" s="62">
        <f t="shared" si="92"/>
        <v>404.95703400805775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projet'!$B$12,Paramètres!$A$1:$I$89,3,0)*VLOOKUP('Données projet'!$B$12,Paramètres!$A$1:$I$89,5,0)</f>
        <v>-1.8089849618263545E-13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370.79299728190904</v>
      </c>
      <c r="CE108" s="62">
        <f t="shared" si="94"/>
        <v>404.95703400805775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-1.7053025658242404E-13</v>
      </c>
      <c r="CU108" s="18">
        <f>CT108*VLOOKUP('Données projet'!$B$13,Paramètres!$A$1:$I$89,3,0)*VLOOKUP('Données projet'!$B$13,Paramètres!$A$1:$I$89,5,0)</f>
        <v>-1.4897523215040567E-13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339.58437495284466</v>
      </c>
      <c r="CZ108" s="62">
        <f t="shared" si="96"/>
        <v>371.26234252426531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-2.2737367544323206E-13</v>
      </c>
      <c r="DP108" s="18">
        <f>DO108*VLOOKUP('Données projet'!$B$14,Paramètres!$A$1:$I$89,3,0)*VLOOKUP('Données projet'!$B$14,Paramètres!$A$1:$I$89,5,0)</f>
        <v>-1.6671037883497774E-13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344.63665697794022</v>
      </c>
      <c r="DU108" s="62">
        <f t="shared" si="98"/>
        <v>376.72762011188041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3.3974358974359005</v>
      </c>
      <c r="EJ108" s="13">
        <f>IF('Données projet'!$A$192&gt;35,EJ107+EI108-ER107,IF(A108&lt;'Données projet'!$A$192,$EG$205^A108,IF(A108='Données projet'!$A$192,'Données projet'!$B$192,EJ107+EI108-ER107)))</f>
        <v>275.32051282051287</v>
      </c>
      <c r="EK108" s="18">
        <f>EJ108*VLOOKUP('Données projet'!$B$15,Paramètres!$A$1:$I$89,3,0)*VLOOKUP('Données projet'!$B$15,Paramètres!$A$1:$I$89,5,0)</f>
        <v>261.99500000000006</v>
      </c>
      <c r="EL108" s="14">
        <f t="shared" si="99"/>
        <v>63.147441969746581</v>
      </c>
      <c r="EM108" s="22">
        <f t="shared" si="73"/>
        <v>566.28975309730868</v>
      </c>
      <c r="EN108" s="62">
        <f t="shared" si="74"/>
        <v>859.62308643064193</v>
      </c>
      <c r="EO108" s="62">
        <f ca="1">AVERAGE(OFFSET($EN$3,0,0,'Données projet'!$E$15+1,1))-AVERAGE(OFFSET($H$3,0,0,'Données projet'!$E$15+1,1))</f>
        <v>406.24139966722936</v>
      </c>
      <c r="EP108" s="62">
        <f t="shared" si="100"/>
        <v>295.95724296920577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5.2</v>
      </c>
      <c r="FE108" s="13">
        <f>IF('Données projet'!$A$218&gt;35,FE107+FD108-FM107,IF(A108&lt;'Données projet'!$A$218,$FB$205^A108,IF(A108='Données projet'!$A$218,'Données projet'!$B$218,FE107+FD108-FM107)))</f>
        <v>331.99999999999983</v>
      </c>
      <c r="FF108" s="18">
        <f>FE108*VLOOKUP('Données projet'!$B$16,Paramètres!$A$1:$I$89,3,0)*VLOOKUP('Données projet'!$B$16,Paramètres!$A$1:$I$89,5,0)</f>
        <v>321.11039999999986</v>
      </c>
      <c r="FG108" s="14">
        <f t="shared" si="101"/>
        <v>75.584347378293316</v>
      </c>
      <c r="FH108" s="22">
        <f t="shared" si="76"/>
        <v>690.91001835052737</v>
      </c>
      <c r="FI108" s="62">
        <f t="shared" si="77"/>
        <v>984.24335168386074</v>
      </c>
      <c r="FJ108" s="62">
        <f ca="1">AVERAGE(OFFSET($FI$3,0,0,'Données projet'!$E$16+1,1))-AVERAGE(OFFSET($H$3,0,0,'Données projet'!$E$16+1,1))</f>
        <v>540.83352418045502</v>
      </c>
      <c r="FK108" s="62">
        <f t="shared" si="102"/>
        <v>294.45557293177131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1.1368683772161603E-13</v>
      </c>
      <c r="GA108" s="18">
        <f>FZ108*VLOOKUP('Données projet'!$B$17,Paramètres!$A$1:$I$89,3,0)*VLOOKUP('Données projet'!$B$17,Paramètres!$A$1:$I$89,5,0)</f>
        <v>8.8675733422860506E-14</v>
      </c>
      <c r="GB108" s="14">
        <f t="shared" si="103"/>
        <v>1.3509285393066301E-12</v>
      </c>
      <c r="GC108" s="22">
        <f t="shared" si="79"/>
        <v>2.5073107750038623E-12</v>
      </c>
      <c r="GD108" s="62">
        <f t="shared" si="80"/>
        <v>293.33333333333582</v>
      </c>
      <c r="GE108" s="62">
        <f ca="1">AVERAGE(OFFSET($GD$3,0,0,'Données projet'!$E$17+1,1))-AVERAGE(OFFSET($H$3,0,0,'Données projet'!$E$17+1,1))</f>
        <v>292.57482726862594</v>
      </c>
      <c r="GF108" s="62">
        <f t="shared" si="104"/>
        <v>283.48738729114024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3.5256410256410278</v>
      </c>
      <c r="GU108" s="13">
        <f>IF('Données projet'!$A$270&gt;35,GU107+GT108-HC107,IF(A108&lt;'Données projet'!$A$270,$GR$205^A108,IF(A108='Données projet'!$A$270,'Données projet'!$B$270,GU107+GT108-HC107)))</f>
        <v>340.70512820512846</v>
      </c>
      <c r="GV108" s="18">
        <f>GU108*VLOOKUP('Données projet'!$B$18,Paramètres!$A$1:$I$89,3,0)*VLOOKUP('Données projet'!$B$18,Paramètres!$A$1:$I$89,5,0)</f>
        <v>228.54500000000016</v>
      </c>
      <c r="GW108" s="14">
        <f t="shared" si="105"/>
        <v>55.967960408907913</v>
      </c>
      <c r="GX108" s="22">
        <f t="shared" si="82"/>
        <v>495.52673937884811</v>
      </c>
      <c r="GY108" s="62">
        <f t="shared" si="83"/>
        <v>788.86007271218136</v>
      </c>
      <c r="GZ108" s="62">
        <f ca="1">AVERAGE(OFFSET($GY$3,0,0,'Données projet'!$E$18+1,1))-AVERAGE(OFFSET($H$3,0,0,'Données projet'!$E$18+1,1))</f>
        <v>343.33067866534634</v>
      </c>
      <c r="HA108" s="62">
        <f t="shared" si="106"/>
        <v>261.91036689641402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337.19999999999982</v>
      </c>
      <c r="O109" s="14">
        <f>N109*VLOOKUP('Données projet'!$B$9,Paramètres!$A$1:$I$89,3,0)*VLOOKUP('Données projet'!$B$9,Paramètres!$A$1:$I$89,5,0)</f>
        <v>305.09855999999985</v>
      </c>
      <c r="P109" s="14">
        <f t="shared" si="87"/>
        <v>72.244266890878791</v>
      </c>
      <c r="Q109" s="22">
        <f t="shared" si="107"/>
        <v>657.20542350161361</v>
      </c>
      <c r="R109" s="62">
        <f t="shared" si="55"/>
        <v>950.53875683494698</v>
      </c>
      <c r="S109" s="62">
        <f ca="1">AVERAGE(OFFSET($R$3,0,0,'Données projet'!$E$9+1,1))-AVERAGE(OFFSET($H$3,0,0,'Données projet'!$E$9+1,1))</f>
        <v>508.77990078889337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5.2</v>
      </c>
      <c r="AI109" s="14">
        <f>IF('Données projet'!$A$62&gt;35,AI108+AH109-AQ108,IF(A109&lt;'Données projet'!$A$62,$AF$205^A109,IF(A109='Données projet'!$A$62,'Données projet'!$B$62,AI108+AH109-AQ108)))</f>
        <v>337.19999999999982</v>
      </c>
      <c r="AJ109" s="14">
        <f>AI109*VLOOKUP('Données projet'!$B$10,Paramètres!$A$1:$I$89,3,0)*VLOOKUP('Données projet'!$B$10,Paramètres!$A$1:$I$89,5,0)</f>
        <v>341.92079999999987</v>
      </c>
      <c r="AK109" s="14">
        <f t="shared" si="89"/>
        <v>79.896665654133599</v>
      </c>
      <c r="AL109" s="22">
        <f t="shared" si="58"/>
        <v>734.66541934761574</v>
      </c>
      <c r="AM109" s="62">
        <f t="shared" si="59"/>
        <v>1027.9987526809491</v>
      </c>
      <c r="AN109" s="62">
        <f ca="1">AVERAGE(OFFSET($AM$3,0,0,'Données projet'!$E$10+1,1))-AVERAGE(OFFSET($H$3,0,0,'Données projet'!$E$10+1,1))</f>
        <v>564.84596170333884</v>
      </c>
      <c r="AO109" s="62">
        <f t="shared" si="90"/>
        <v>306.61893266146666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-1.8089849618263545E-13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370.79299728190904</v>
      </c>
      <c r="BJ109" s="62">
        <f t="shared" si="92"/>
        <v>404.95703400805775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projet'!$B$12,Paramètres!$A$1:$I$89,3,0)*VLOOKUP('Données projet'!$B$12,Paramètres!$A$1:$I$89,5,0)</f>
        <v>-1.8089849618263545E-13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370.79299728190904</v>
      </c>
      <c r="CE109" s="62">
        <f t="shared" si="94"/>
        <v>404.95703400805775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-1.7053025658242404E-13</v>
      </c>
      <c r="CU109" s="18">
        <f>CT109*VLOOKUP('Données projet'!$B$13,Paramètres!$A$1:$I$89,3,0)*VLOOKUP('Données projet'!$B$13,Paramètres!$A$1:$I$89,5,0)</f>
        <v>-1.4897523215040567E-13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339.58437495284466</v>
      </c>
      <c r="CZ109" s="62">
        <f t="shared" si="96"/>
        <v>371.26234252426531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-2.2737367544323206E-13</v>
      </c>
      <c r="DP109" s="18">
        <f>DO109*VLOOKUP('Données projet'!$B$14,Paramètres!$A$1:$I$89,3,0)*VLOOKUP('Données projet'!$B$14,Paramètres!$A$1:$I$89,5,0)</f>
        <v>-1.6671037883497774E-13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344.63665697794022</v>
      </c>
      <c r="DU109" s="62">
        <f t="shared" si="98"/>
        <v>376.72762011188041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3.3974358974359005</v>
      </c>
      <c r="EJ109" s="13">
        <f>IF('Données projet'!$A$192&gt;35,EJ108+EI109-ER108,IF(A109&lt;'Données projet'!$A$192,$EG$205^A109,IF(A109='Données projet'!$A$192,'Données projet'!$B$192,EJ108+EI109-ER108)))</f>
        <v>278.71794871794879</v>
      </c>
      <c r="EK109" s="18">
        <f>EJ109*VLOOKUP('Données projet'!$B$15,Paramètres!$A$1:$I$89,3,0)*VLOOKUP('Données projet'!$B$15,Paramètres!$A$1:$I$89,5,0)</f>
        <v>265.22800000000007</v>
      </c>
      <c r="EL109" s="14">
        <f t="shared" si="99"/>
        <v>63.835481799573074</v>
      </c>
      <c r="EM109" s="22">
        <f t="shared" si="73"/>
        <v>573.11889746758982</v>
      </c>
      <c r="EN109" s="62">
        <f t="shared" si="74"/>
        <v>866.45223080092319</v>
      </c>
      <c r="EO109" s="62">
        <f ca="1">AVERAGE(OFFSET($EN$3,0,0,'Données projet'!$E$15+1,1))-AVERAGE(OFFSET($H$3,0,0,'Données projet'!$E$15+1,1))</f>
        <v>406.24139966722936</v>
      </c>
      <c r="EP109" s="62">
        <f t="shared" si="100"/>
        <v>295.95724296920577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5.2</v>
      </c>
      <c r="FE109" s="13">
        <f>IF('Données projet'!$A$218&gt;35,FE108+FD109-FM108,IF(A109&lt;'Données projet'!$A$218,$FB$205^A109,IF(A109='Données projet'!$A$218,'Données projet'!$B$218,FE108+FD109-FM108)))</f>
        <v>337.19999999999982</v>
      </c>
      <c r="FF109" s="18">
        <f>FE109*VLOOKUP('Données projet'!$B$16,Paramètres!$A$1:$I$89,3,0)*VLOOKUP('Données projet'!$B$16,Paramètres!$A$1:$I$89,5,0)</f>
        <v>326.13983999999982</v>
      </c>
      <c r="FG109" s="14">
        <f t="shared" si="101"/>
        <v>76.62945028727961</v>
      </c>
      <c r="FH109" s="22">
        <f t="shared" si="76"/>
        <v>701.48984725034495</v>
      </c>
      <c r="FI109" s="62">
        <f t="shared" si="77"/>
        <v>994.82318058367832</v>
      </c>
      <c r="FJ109" s="62">
        <f ca="1">AVERAGE(OFFSET($FI$3,0,0,'Données projet'!$E$16+1,1))-AVERAGE(OFFSET($H$3,0,0,'Données projet'!$E$16+1,1))</f>
        <v>540.83352418045502</v>
      </c>
      <c r="FK109" s="62">
        <f t="shared" si="102"/>
        <v>294.45557293177131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1.1368683772161603E-13</v>
      </c>
      <c r="GA109" s="18">
        <f>FZ109*VLOOKUP('Données projet'!$B$17,Paramètres!$A$1:$I$89,3,0)*VLOOKUP('Données projet'!$B$17,Paramètres!$A$1:$I$89,5,0)</f>
        <v>8.8675733422860506E-14</v>
      </c>
      <c r="GB109" s="14">
        <f t="shared" si="103"/>
        <v>1.3509285393066301E-12</v>
      </c>
      <c r="GC109" s="22">
        <f t="shared" si="79"/>
        <v>2.5073107750038623E-12</v>
      </c>
      <c r="GD109" s="62">
        <f t="shared" si="80"/>
        <v>293.33333333333582</v>
      </c>
      <c r="GE109" s="62">
        <f ca="1">AVERAGE(OFFSET($GD$3,0,0,'Données projet'!$E$17+1,1))-AVERAGE(OFFSET($H$3,0,0,'Données projet'!$E$17+1,1))</f>
        <v>292.57482726862594</v>
      </c>
      <c r="GF109" s="62">
        <f t="shared" si="104"/>
        <v>283.48738729114024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3.5256410256410278</v>
      </c>
      <c r="GU109" s="13">
        <f>IF('Données projet'!$A$270&gt;35,GU108+GT109-HC108,IF(A109&lt;'Données projet'!$A$270,$GR$205^A109,IF(A109='Données projet'!$A$270,'Données projet'!$B$270,GU108+GT109-HC108)))</f>
        <v>344.23076923076951</v>
      </c>
      <c r="GV109" s="18">
        <f>GU109*VLOOKUP('Données projet'!$B$18,Paramètres!$A$1:$I$89,3,0)*VLOOKUP('Données projet'!$B$18,Paramètres!$A$1:$I$89,5,0)</f>
        <v>230.9100000000002</v>
      </c>
      <c r="GW109" s="14">
        <f t="shared" si="105"/>
        <v>56.479399564921678</v>
      </c>
      <c r="GX109" s="22">
        <f t="shared" si="82"/>
        <v>500.53653757557214</v>
      </c>
      <c r="GY109" s="62">
        <f t="shared" si="83"/>
        <v>793.86987090890545</v>
      </c>
      <c r="GZ109" s="62">
        <f ca="1">AVERAGE(OFFSET($GY$3,0,0,'Données projet'!$E$18+1,1))-AVERAGE(OFFSET($H$3,0,0,'Données projet'!$E$18+1,1))</f>
        <v>343.33067866534634</v>
      </c>
      <c r="HA109" s="62">
        <f t="shared" si="106"/>
        <v>261.91036689641402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342.39999999999981</v>
      </c>
      <c r="O110" s="14">
        <f>N110*VLOOKUP('Données projet'!$B$9,Paramètres!$A$1:$I$89,3,0)*VLOOKUP('Données projet'!$B$9,Paramètres!$A$1:$I$89,5,0)</f>
        <v>309.80351999999982</v>
      </c>
      <c r="P110" s="14">
        <f t="shared" si="87"/>
        <v>73.227795813703764</v>
      </c>
      <c r="Q110" s="22">
        <f t="shared" si="107"/>
        <v>667.11287504220047</v>
      </c>
      <c r="R110" s="62">
        <f t="shared" si="55"/>
        <v>960.44620837553384</v>
      </c>
      <c r="S110" s="62">
        <f ca="1">AVERAGE(OFFSET($R$3,0,0,'Données projet'!$E$9+1,1))-AVERAGE(OFFSET($H$3,0,0,'Données projet'!$E$9+1,1))</f>
        <v>508.77990078889337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5.2</v>
      </c>
      <c r="AI110" s="14">
        <f>IF('Données projet'!$A$62&gt;35,AI109+AH110-AQ109,IF(A110&lt;'Données projet'!$A$62,$AF$205^A110,IF(A110='Données projet'!$A$62,'Données projet'!$B$62,AI109+AH110-AQ109)))</f>
        <v>342.39999999999981</v>
      </c>
      <c r="AJ110" s="14">
        <f>AI110*VLOOKUP('Données projet'!$B$10,Paramètres!$A$1:$I$89,3,0)*VLOOKUP('Données projet'!$B$10,Paramètres!$A$1:$I$89,5,0)</f>
        <v>347.19359999999983</v>
      </c>
      <c r="AK110" s="14">
        <f t="shared" si="89"/>
        <v>80.984373854243287</v>
      </c>
      <c r="AL110" s="22">
        <f t="shared" si="58"/>
        <v>745.7433044628068</v>
      </c>
      <c r="AM110" s="62">
        <f t="shared" si="59"/>
        <v>1039.0766377961402</v>
      </c>
      <c r="AN110" s="62">
        <f ca="1">AVERAGE(OFFSET($AM$3,0,0,'Données projet'!$E$10+1,1))-AVERAGE(OFFSET($H$3,0,0,'Données projet'!$E$10+1,1))</f>
        <v>564.84596170333884</v>
      </c>
      <c r="AO110" s="62">
        <f t="shared" si="90"/>
        <v>306.61893266146666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-1.8089849618263545E-13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370.79299728190904</v>
      </c>
      <c r="BJ110" s="62">
        <f t="shared" si="92"/>
        <v>404.95703400805775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projet'!$B$12,Paramètres!$A$1:$I$89,3,0)*VLOOKUP('Données projet'!$B$12,Paramètres!$A$1:$I$89,5,0)</f>
        <v>-1.8089849618263545E-13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370.79299728190904</v>
      </c>
      <c r="CE110" s="62">
        <f t="shared" si="94"/>
        <v>404.95703400805775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-1.7053025658242404E-13</v>
      </c>
      <c r="CU110" s="18">
        <f>CT110*VLOOKUP('Données projet'!$B$13,Paramètres!$A$1:$I$89,3,0)*VLOOKUP('Données projet'!$B$13,Paramètres!$A$1:$I$89,5,0)</f>
        <v>-1.4897523215040567E-13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339.58437495284466</v>
      </c>
      <c r="CZ110" s="62">
        <f t="shared" si="96"/>
        <v>371.26234252426531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-2.2737367544323206E-13</v>
      </c>
      <c r="DP110" s="18">
        <f>DO110*VLOOKUP('Données projet'!$B$14,Paramètres!$A$1:$I$89,3,0)*VLOOKUP('Données projet'!$B$14,Paramètres!$A$1:$I$89,5,0)</f>
        <v>-1.6671037883497774E-13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344.63665697794022</v>
      </c>
      <c r="DU110" s="62">
        <f t="shared" si="98"/>
        <v>376.72762011188041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3.3974358974359005</v>
      </c>
      <c r="EJ110" s="13">
        <f>IF('Données projet'!$A$192&gt;35,EJ109+EI110-ER109,IF(A110&lt;'Données projet'!$A$192,$EG$205^A110,IF(A110='Données projet'!$A$192,'Données projet'!$B$192,EJ109+EI110-ER109)))</f>
        <v>282.1153846153847</v>
      </c>
      <c r="EK110" s="18">
        <f>EJ110*VLOOKUP('Données projet'!$B$15,Paramètres!$A$1:$I$89,3,0)*VLOOKUP('Données projet'!$B$15,Paramètres!$A$1:$I$89,5,0)</f>
        <v>268.46100000000007</v>
      </c>
      <c r="EL110" s="14">
        <f t="shared" si="99"/>
        <v>64.522546064418151</v>
      </c>
      <c r="EM110" s="22">
        <f t="shared" si="73"/>
        <v>579.94634272886162</v>
      </c>
      <c r="EN110" s="62">
        <f t="shared" si="74"/>
        <v>873.27967606219499</v>
      </c>
      <c r="EO110" s="62">
        <f ca="1">AVERAGE(OFFSET($EN$3,0,0,'Données projet'!$E$15+1,1))-AVERAGE(OFFSET($H$3,0,0,'Données projet'!$E$15+1,1))</f>
        <v>406.24139966722936</v>
      </c>
      <c r="EP110" s="62">
        <f t="shared" si="100"/>
        <v>295.95724296920577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5.2</v>
      </c>
      <c r="FE110" s="13">
        <f>IF('Données projet'!$A$218&gt;35,FE109+FD110-FM109,IF(A110&lt;'Données projet'!$A$218,$FB$205^A110,IF(A110='Données projet'!$A$218,'Données projet'!$B$218,FE109+FD110-FM109)))</f>
        <v>342.39999999999981</v>
      </c>
      <c r="FF110" s="18">
        <f>FE110*VLOOKUP('Données projet'!$B$16,Paramètres!$A$1:$I$89,3,0)*VLOOKUP('Données projet'!$B$16,Paramètres!$A$1:$I$89,5,0)</f>
        <v>331.16927999999979</v>
      </c>
      <c r="FG110" s="14">
        <f t="shared" si="101"/>
        <v>77.672678822099698</v>
      </c>
      <c r="FH110" s="22">
        <f t="shared" si="76"/>
        <v>712.06641161515665</v>
      </c>
      <c r="FI110" s="62">
        <f t="shared" si="77"/>
        <v>1005.39974494849</v>
      </c>
      <c r="FJ110" s="62">
        <f ca="1">AVERAGE(OFFSET($FI$3,0,0,'Données projet'!$E$16+1,1))-AVERAGE(OFFSET($H$3,0,0,'Données projet'!$E$16+1,1))</f>
        <v>540.83352418045502</v>
      </c>
      <c r="FK110" s="62">
        <f t="shared" si="102"/>
        <v>294.45557293177131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1.1368683772161603E-13</v>
      </c>
      <c r="GA110" s="18">
        <f>FZ110*VLOOKUP('Données projet'!$B$17,Paramètres!$A$1:$I$89,3,0)*VLOOKUP('Données projet'!$B$17,Paramètres!$A$1:$I$89,5,0)</f>
        <v>8.8675733422860506E-14</v>
      </c>
      <c r="GB110" s="14">
        <f t="shared" si="103"/>
        <v>1.3509285393066301E-12</v>
      </c>
      <c r="GC110" s="22">
        <f t="shared" si="79"/>
        <v>2.5073107750038623E-12</v>
      </c>
      <c r="GD110" s="62">
        <f t="shared" si="80"/>
        <v>293.33333333333582</v>
      </c>
      <c r="GE110" s="62">
        <f ca="1">AVERAGE(OFFSET($GD$3,0,0,'Données projet'!$E$17+1,1))-AVERAGE(OFFSET($H$3,0,0,'Données projet'!$E$17+1,1))</f>
        <v>292.57482726862594</v>
      </c>
      <c r="GF110" s="62">
        <f t="shared" si="104"/>
        <v>283.48738729114024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3.5256410256410278</v>
      </c>
      <c r="GU110" s="13">
        <f>IF('Données projet'!$A$270&gt;35,GU109+GT110-HC109,IF(A110&lt;'Données projet'!$A$270,$GR$205^A110,IF(A110='Données projet'!$A$270,'Données projet'!$B$270,GU109+GT110-HC109)))</f>
        <v>347.75641025641056</v>
      </c>
      <c r="GV110" s="18">
        <f>GU110*VLOOKUP('Données projet'!$B$18,Paramètres!$A$1:$I$89,3,0)*VLOOKUP('Données projet'!$B$18,Paramètres!$A$1:$I$89,5,0)</f>
        <v>233.27500000000023</v>
      </c>
      <c r="GW110" s="14">
        <f t="shared" si="105"/>
        <v>56.99022934607077</v>
      </c>
      <c r="GX110" s="22">
        <f t="shared" si="82"/>
        <v>505.54527444440697</v>
      </c>
      <c r="GY110" s="62">
        <f t="shared" si="83"/>
        <v>798.87860777774029</v>
      </c>
      <c r="GZ110" s="62">
        <f ca="1">AVERAGE(OFFSET($GY$3,0,0,'Données projet'!$E$18+1,1))-AVERAGE(OFFSET($H$3,0,0,'Données projet'!$E$18+1,1))</f>
        <v>343.33067866534634</v>
      </c>
      <c r="HA110" s="62">
        <f t="shared" si="106"/>
        <v>261.91036689641402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347.5999999999998</v>
      </c>
      <c r="O111" s="14">
        <f>N111*VLOOKUP('Données projet'!$B$9,Paramètres!$A$1:$I$89,3,0)*VLOOKUP('Données projet'!$B$9,Paramètres!$A$1:$I$89,5,0)</f>
        <v>314.50847999999979</v>
      </c>
      <c r="P111" s="14">
        <f t="shared" si="87"/>
        <v>74.209587561617383</v>
      </c>
      <c r="Q111" s="22">
        <f t="shared" si="107"/>
        <v>677.01730100315001</v>
      </c>
      <c r="R111" s="62">
        <f t="shared" si="55"/>
        <v>970.35063433648338</v>
      </c>
      <c r="S111" s="62">
        <f ca="1">AVERAGE(OFFSET($R$3,0,0,'Données projet'!$E$9+1,1))-AVERAGE(OFFSET($H$3,0,0,'Données projet'!$E$9+1,1))</f>
        <v>508.77990078889337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5.2</v>
      </c>
      <c r="AI111" s="14">
        <f>IF('Données projet'!$A$62&gt;35,AI110+AH111-AQ110,IF(A111&lt;'Données projet'!$A$62,$AF$205^A111,IF(A111='Données projet'!$A$62,'Données projet'!$B$62,AI110+AH111-AQ110)))</f>
        <v>347.5999999999998</v>
      </c>
      <c r="AJ111" s="14">
        <f>AI111*VLOOKUP('Données projet'!$B$10,Paramètres!$A$1:$I$89,3,0)*VLOOKUP('Données projet'!$B$10,Paramètres!$A$1:$I$89,5,0)</f>
        <v>352.46639999999985</v>
      </c>
      <c r="AK111" s="14">
        <f t="shared" si="89"/>
        <v>82.070160870997498</v>
      </c>
      <c r="AL111" s="22">
        <f t="shared" si="58"/>
        <v>756.81784351698707</v>
      </c>
      <c r="AM111" s="62">
        <f t="shared" si="59"/>
        <v>1050.1511768503203</v>
      </c>
      <c r="AN111" s="62">
        <f ca="1">AVERAGE(OFFSET($AM$3,0,0,'Données projet'!$E$10+1,1))-AVERAGE(OFFSET($H$3,0,0,'Données projet'!$E$10+1,1))</f>
        <v>564.84596170333884</v>
      </c>
      <c r="AO111" s="62">
        <f t="shared" si="90"/>
        <v>306.61893266146666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-1.8089849618263545E-13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370.79299728190904</v>
      </c>
      <c r="BJ111" s="62">
        <f t="shared" si="92"/>
        <v>404.95703400805775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projet'!$B$12,Paramètres!$A$1:$I$89,3,0)*VLOOKUP('Données projet'!$B$12,Paramètres!$A$1:$I$89,5,0)</f>
        <v>-1.8089849618263545E-13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370.79299728190904</v>
      </c>
      <c r="CE111" s="62">
        <f t="shared" si="94"/>
        <v>404.95703400805775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-1.7053025658242404E-13</v>
      </c>
      <c r="CU111" s="18">
        <f>CT111*VLOOKUP('Données projet'!$B$13,Paramètres!$A$1:$I$89,3,0)*VLOOKUP('Données projet'!$B$13,Paramètres!$A$1:$I$89,5,0)</f>
        <v>-1.4897523215040567E-13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339.58437495284466</v>
      </c>
      <c r="CZ111" s="62">
        <f t="shared" si="96"/>
        <v>371.26234252426531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-2.2737367544323206E-13</v>
      </c>
      <c r="DP111" s="18">
        <f>DO111*VLOOKUP('Données projet'!$B$14,Paramètres!$A$1:$I$89,3,0)*VLOOKUP('Données projet'!$B$14,Paramètres!$A$1:$I$89,5,0)</f>
        <v>-1.6671037883497774E-13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344.63665697794022</v>
      </c>
      <c r="DU111" s="62">
        <f t="shared" si="98"/>
        <v>376.72762011188041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3.3974358974359005</v>
      </c>
      <c r="EJ111" s="13">
        <f>IF('Données projet'!$A$192&gt;35,EJ110+EI111-ER110,IF(A111&lt;'Données projet'!$A$192,$EG$205^A111,IF(A111='Données projet'!$A$192,'Données projet'!$B$192,EJ110+EI111-ER110)))</f>
        <v>285.51282051282061</v>
      </c>
      <c r="EK111" s="18">
        <f>EJ111*VLOOKUP('Données projet'!$B$15,Paramètres!$A$1:$I$89,3,0)*VLOOKUP('Données projet'!$B$15,Paramètres!$A$1:$I$89,5,0)</f>
        <v>271.69400000000007</v>
      </c>
      <c r="EL111" s="14">
        <f t="shared" si="99"/>
        <v>65.208647871703889</v>
      </c>
      <c r="EM111" s="22">
        <f t="shared" si="73"/>
        <v>586.77211170988437</v>
      </c>
      <c r="EN111" s="62">
        <f t="shared" si="74"/>
        <v>880.10544504321774</v>
      </c>
      <c r="EO111" s="62">
        <f ca="1">AVERAGE(OFFSET($EN$3,0,0,'Données projet'!$E$15+1,1))-AVERAGE(OFFSET($H$3,0,0,'Données projet'!$E$15+1,1))</f>
        <v>406.24139966722936</v>
      </c>
      <c r="EP111" s="62">
        <f t="shared" si="100"/>
        <v>295.95724296920577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5.2</v>
      </c>
      <c r="FE111" s="13">
        <f>IF('Données projet'!$A$218&gt;35,FE110+FD111-FM110,IF(A111&lt;'Données projet'!$A$218,$FB$205^A111,IF(A111='Données projet'!$A$218,'Données projet'!$B$218,FE110+FD111-FM110)))</f>
        <v>347.5999999999998</v>
      </c>
      <c r="FF111" s="18">
        <f>FE111*VLOOKUP('Données projet'!$B$16,Paramètres!$A$1:$I$89,3,0)*VLOOKUP('Données projet'!$B$16,Paramètres!$A$1:$I$89,5,0)</f>
        <v>336.19871999999981</v>
      </c>
      <c r="FG111" s="14">
        <f t="shared" si="101"/>
        <v>78.71406473653974</v>
      </c>
      <c r="FH111" s="22">
        <f t="shared" si="76"/>
        <v>722.63976674947298</v>
      </c>
      <c r="FI111" s="62">
        <f t="shared" si="77"/>
        <v>1015.9731000828062</v>
      </c>
      <c r="FJ111" s="62">
        <f ca="1">AVERAGE(OFFSET($FI$3,0,0,'Données projet'!$E$16+1,1))-AVERAGE(OFFSET($H$3,0,0,'Données projet'!$E$16+1,1))</f>
        <v>540.83352418045502</v>
      </c>
      <c r="FK111" s="62">
        <f t="shared" si="102"/>
        <v>294.45557293177131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1.1368683772161603E-13</v>
      </c>
      <c r="GA111" s="18">
        <f>FZ111*VLOOKUP('Données projet'!$B$17,Paramètres!$A$1:$I$89,3,0)*VLOOKUP('Données projet'!$B$17,Paramètres!$A$1:$I$89,5,0)</f>
        <v>8.8675733422860506E-14</v>
      </c>
      <c r="GB111" s="14">
        <f t="shared" si="103"/>
        <v>1.3509285393066301E-12</v>
      </c>
      <c r="GC111" s="22">
        <f t="shared" si="79"/>
        <v>2.5073107750038623E-12</v>
      </c>
      <c r="GD111" s="62">
        <f t="shared" si="80"/>
        <v>293.33333333333582</v>
      </c>
      <c r="GE111" s="62">
        <f ca="1">AVERAGE(OFFSET($GD$3,0,0,'Données projet'!$E$17+1,1))-AVERAGE(OFFSET($H$3,0,0,'Données projet'!$E$17+1,1))</f>
        <v>292.57482726862594</v>
      </c>
      <c r="GF111" s="62">
        <f t="shared" si="104"/>
        <v>283.48738729114024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3.5256410256410278</v>
      </c>
      <c r="GU111" s="13">
        <f>IF('Données projet'!$A$270&gt;35,GU110+GT111-HC110,IF(A111&lt;'Données projet'!$A$270,$GR$205^A111,IF(A111='Données projet'!$A$270,'Données projet'!$B$270,GU110+GT111-HC110)))</f>
        <v>351.28205128205161</v>
      </c>
      <c r="GV111" s="18">
        <f>GU111*VLOOKUP('Données projet'!$B$18,Paramètres!$A$1:$I$89,3,0)*VLOOKUP('Données projet'!$B$18,Paramètres!$A$1:$I$89,5,0)</f>
        <v>235.64000000000021</v>
      </c>
      <c r="GW111" s="14">
        <f t="shared" si="105"/>
        <v>57.500456645637016</v>
      </c>
      <c r="GX111" s="22">
        <f t="shared" si="82"/>
        <v>510.55296199115151</v>
      </c>
      <c r="GY111" s="62">
        <f t="shared" si="83"/>
        <v>803.88629532448476</v>
      </c>
      <c r="GZ111" s="62">
        <f ca="1">AVERAGE(OFFSET($GY$3,0,0,'Données projet'!$E$18+1,1))-AVERAGE(OFFSET($H$3,0,0,'Données projet'!$E$18+1,1))</f>
        <v>343.33067866534634</v>
      </c>
      <c r="HA111" s="62">
        <f t="shared" si="106"/>
        <v>261.91036689641402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352.79999999999978</v>
      </c>
      <c r="O112" s="14">
        <f>N112*VLOOKUP('Données projet'!$B$9,Paramètres!$A$1:$I$89,3,0)*VLOOKUP('Données projet'!$B$9,Paramètres!$A$1:$I$89,5,0)</f>
        <v>319.21343999999976</v>
      </c>
      <c r="P112" s="14">
        <f t="shared" si="87"/>
        <v>75.189671124171639</v>
      </c>
      <c r="Q112" s="22">
        <f t="shared" si="107"/>
        <v>686.91875187459846</v>
      </c>
      <c r="R112" s="62">
        <f t="shared" si="55"/>
        <v>980.25208520793171</v>
      </c>
      <c r="S112" s="62">
        <f ca="1">AVERAGE(OFFSET($R$3,0,0,'Données projet'!$E$9+1,1))-AVERAGE(OFFSET($H$3,0,0,'Données projet'!$E$9+1,1))</f>
        <v>508.77990078889337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5.2</v>
      </c>
      <c r="AI112" s="14">
        <f>IF('Données projet'!$A$62&gt;35,AI111+AH112-AQ111,IF(A112&lt;'Données projet'!$A$62,$AF$205^A112,IF(A112='Données projet'!$A$62,'Données projet'!$B$62,AI111+AH112-AQ111)))</f>
        <v>352.79999999999978</v>
      </c>
      <c r="AJ112" s="14">
        <f>AI112*VLOOKUP('Données projet'!$B$10,Paramètres!$A$1:$I$89,3,0)*VLOOKUP('Données projet'!$B$10,Paramètres!$A$1:$I$89,5,0)</f>
        <v>357.73919999999981</v>
      </c>
      <c r="AK112" s="14">
        <f t="shared" si="89"/>
        <v>83.154058764636403</v>
      </c>
      <c r="AL112" s="22">
        <f t="shared" si="58"/>
        <v>767.8890923484081</v>
      </c>
      <c r="AM112" s="62">
        <f t="shared" si="59"/>
        <v>1061.2224256817415</v>
      </c>
      <c r="AN112" s="62">
        <f ca="1">AVERAGE(OFFSET($AM$3,0,0,'Données projet'!$E$10+1,1))-AVERAGE(OFFSET($H$3,0,0,'Données projet'!$E$10+1,1))</f>
        <v>564.84596170333884</v>
      </c>
      <c r="AO112" s="62">
        <f t="shared" si="90"/>
        <v>306.61893266146666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-1.8089849618263545E-13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370.79299728190904</v>
      </c>
      <c r="BJ112" s="62">
        <f t="shared" si="92"/>
        <v>404.95703400805775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projet'!$B$12,Paramètres!$A$1:$I$89,3,0)*VLOOKUP('Données projet'!$B$12,Paramètres!$A$1:$I$89,5,0)</f>
        <v>-1.8089849618263545E-13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370.79299728190904</v>
      </c>
      <c r="CE112" s="62">
        <f t="shared" si="94"/>
        <v>404.95703400805775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-1.7053025658242404E-13</v>
      </c>
      <c r="CU112" s="18">
        <f>CT112*VLOOKUP('Données projet'!$B$13,Paramètres!$A$1:$I$89,3,0)*VLOOKUP('Données projet'!$B$13,Paramètres!$A$1:$I$89,5,0)</f>
        <v>-1.4897523215040567E-13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339.58437495284466</v>
      </c>
      <c r="CZ112" s="62">
        <f t="shared" si="96"/>
        <v>371.26234252426531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-2.2737367544323206E-13</v>
      </c>
      <c r="DP112" s="18">
        <f>DO112*VLOOKUP('Données projet'!$B$14,Paramètres!$A$1:$I$89,3,0)*VLOOKUP('Données projet'!$B$14,Paramètres!$A$1:$I$89,5,0)</f>
        <v>-1.6671037883497774E-13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344.63665697794022</v>
      </c>
      <c r="DU112" s="62">
        <f t="shared" si="98"/>
        <v>376.72762011188041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3.3974358974359005</v>
      </c>
      <c r="EJ112" s="13">
        <f>IF('Données projet'!$A$192&gt;35,EJ111+EI112-ER111,IF(A112&lt;'Données projet'!$A$192,$EG$205^A112,IF(A112='Données projet'!$A$192,'Données projet'!$B$192,EJ111+EI112-ER111)))</f>
        <v>288.91025641025652</v>
      </c>
      <c r="EK112" s="18">
        <f>EJ112*VLOOKUP('Données projet'!$B$15,Paramètres!$A$1:$I$89,3,0)*VLOOKUP('Données projet'!$B$15,Paramètres!$A$1:$I$89,5,0)</f>
        <v>274.92700000000013</v>
      </c>
      <c r="EL112" s="14">
        <f t="shared" si="99"/>
        <v>65.893799998961399</v>
      </c>
      <c r="EM112" s="22">
        <f t="shared" si="73"/>
        <v>593.59622666485791</v>
      </c>
      <c r="EN112" s="62">
        <f t="shared" si="74"/>
        <v>886.92955999819128</v>
      </c>
      <c r="EO112" s="62">
        <f ca="1">AVERAGE(OFFSET($EN$3,0,0,'Données projet'!$E$15+1,1))-AVERAGE(OFFSET($H$3,0,0,'Données projet'!$E$15+1,1))</f>
        <v>406.24139966722936</v>
      </c>
      <c r="EP112" s="62">
        <f t="shared" si="100"/>
        <v>295.95724296920577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5.2</v>
      </c>
      <c r="FE112" s="13">
        <f>IF('Données projet'!$A$218&gt;35,FE111+FD112-FM111,IF(A112&lt;'Données projet'!$A$218,$FB$205^A112,IF(A112='Données projet'!$A$218,'Données projet'!$B$218,FE111+FD112-FM111)))</f>
        <v>352.79999999999978</v>
      </c>
      <c r="FF112" s="18">
        <f>FE112*VLOOKUP('Données projet'!$B$16,Paramètres!$A$1:$I$89,3,0)*VLOOKUP('Données projet'!$B$16,Paramètres!$A$1:$I$89,5,0)</f>
        <v>341.22815999999983</v>
      </c>
      <c r="FG112" s="14">
        <f t="shared" si="101"/>
        <v>79.753638779800099</v>
      </c>
      <c r="FH112" s="22">
        <f t="shared" si="76"/>
        <v>733.20996620815151</v>
      </c>
      <c r="FI112" s="62">
        <f t="shared" si="77"/>
        <v>1026.5432995414849</v>
      </c>
      <c r="FJ112" s="62">
        <f ca="1">AVERAGE(OFFSET($FI$3,0,0,'Données projet'!$E$16+1,1))-AVERAGE(OFFSET($H$3,0,0,'Données projet'!$E$16+1,1))</f>
        <v>540.83352418045502</v>
      </c>
      <c r="FK112" s="62">
        <f t="shared" si="102"/>
        <v>294.45557293177131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1.1368683772161603E-13</v>
      </c>
      <c r="GA112" s="18">
        <f>FZ112*VLOOKUP('Données projet'!$B$17,Paramètres!$A$1:$I$89,3,0)*VLOOKUP('Données projet'!$B$17,Paramètres!$A$1:$I$89,5,0)</f>
        <v>8.8675733422860506E-14</v>
      </c>
      <c r="GB112" s="14">
        <f t="shared" si="103"/>
        <v>1.3509285393066301E-12</v>
      </c>
      <c r="GC112" s="22">
        <f t="shared" si="79"/>
        <v>2.5073107750038623E-12</v>
      </c>
      <c r="GD112" s="62">
        <f t="shared" si="80"/>
        <v>293.33333333333582</v>
      </c>
      <c r="GE112" s="62">
        <f ca="1">AVERAGE(OFFSET($GD$3,0,0,'Données projet'!$E$17+1,1))-AVERAGE(OFFSET($H$3,0,0,'Données projet'!$E$17+1,1))</f>
        <v>292.57482726862594</v>
      </c>
      <c r="GF112" s="62">
        <f t="shared" si="104"/>
        <v>283.48738729114024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3.5256410256410278</v>
      </c>
      <c r="GU112" s="13">
        <f>IF('Données projet'!$A$270&gt;35,GU111+GT112-HC111,IF(A112&lt;'Données projet'!$A$270,$GR$205^A112,IF(A112='Données projet'!$A$270,'Données projet'!$B$270,GU111+GT112-HC111)))</f>
        <v>354.80769230769266</v>
      </c>
      <c r="GV112" s="18">
        <f>GU112*VLOOKUP('Données projet'!$B$18,Paramètres!$A$1:$I$89,3,0)*VLOOKUP('Données projet'!$B$18,Paramètres!$A$1:$I$89,5,0)</f>
        <v>238.00500000000025</v>
      </c>
      <c r="GW112" s="14">
        <f t="shared" si="105"/>
        <v>58.010088210558386</v>
      </c>
      <c r="GX112" s="22">
        <f t="shared" si="82"/>
        <v>515.55961196672297</v>
      </c>
      <c r="GY112" s="62">
        <f t="shared" si="83"/>
        <v>808.89294530005623</v>
      </c>
      <c r="GZ112" s="62">
        <f ca="1">AVERAGE(OFFSET($GY$3,0,0,'Données projet'!$E$18+1,1))-AVERAGE(OFFSET($H$3,0,0,'Données projet'!$E$18+1,1))</f>
        <v>343.33067866534634</v>
      </c>
      <c r="HA112" s="62">
        <f t="shared" si="106"/>
        <v>261.91036689641402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358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357.99999999999977</v>
      </c>
      <c r="O113" s="14">
        <f>N113*VLOOKUP('Données projet'!$B$9,Paramètres!$A$1:$I$89,3,0)*VLOOKUP('Données projet'!$B$9,Paramètres!$A$1:$I$89,5,0)</f>
        <v>323.91839999999979</v>
      </c>
      <c r="P113" s="14">
        <f t="shared" si="87"/>
        <v>76.168074587293034</v>
      </c>
      <c r="Q113" s="22">
        <f t="shared" si="107"/>
        <v>696.81727657286831</v>
      </c>
      <c r="R113" s="62">
        <f t="shared" si="55"/>
        <v>990.15060990620168</v>
      </c>
      <c r="S113" s="62">
        <f ca="1">AVERAGE(OFFSET($R$3,0,0,'Données projet'!$E$9+1,1))-AVERAGE(OFFSET($H$3,0,0,'Données projet'!$E$9+1,1))</f>
        <v>508.77990078889337</v>
      </c>
      <c r="T113" s="62">
        <f t="shared" si="88"/>
        <v>278.21741231699929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51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358</v>
      </c>
      <c r="AG113" s="13">
        <f>VLOOKUP(A113,'Données projet'!$A$61:$I$81,9,0)</f>
        <v>5.2</v>
      </c>
      <c r="AH113" s="13">
        <f t="array" ref="AH113">INDEX(AG:AG,MIN(IF(ISNUMBER(AG113:AG309),ROW(AG113:AG309),"")))</f>
        <v>5.2</v>
      </c>
      <c r="AI113" s="14">
        <f>IF('Données projet'!$A$62&gt;35,AI112+AH113-AQ112,IF(A113&lt;'Données projet'!$A$62,$AF$205^A113,IF(A113='Données projet'!$A$62,'Données projet'!$B$62,AI112+AH113-AQ112)))</f>
        <v>357.99999999999977</v>
      </c>
      <c r="AJ113" s="14">
        <f>AI113*VLOOKUP('Données projet'!$B$10,Paramètres!$A$1:$I$89,3,0)*VLOOKUP('Données projet'!$B$10,Paramètres!$A$1:$I$89,5,0)</f>
        <v>363.01199999999977</v>
      </c>
      <c r="AK113" s="14">
        <f t="shared" si="89"/>
        <v>84.236098596059009</v>
      </c>
      <c r="AL113" s="22">
        <f t="shared" si="58"/>
        <v>778.95710505480235</v>
      </c>
      <c r="AM113" s="62">
        <f t="shared" si="59"/>
        <v>1072.2904383881357</v>
      </c>
      <c r="AN113" s="62">
        <f ca="1">AVERAGE(OFFSET($AM$3,0,0,'Données projet'!$E$10+1,1))-AVERAGE(OFFSET($H$3,0,0,'Données projet'!$E$10+1,1))</f>
        <v>564.84596170333884</v>
      </c>
      <c r="AO113" s="62">
        <f t="shared" si="90"/>
        <v>306.61893266146666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51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-1.8089849618263545E-13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370.79299728190904</v>
      </c>
      <c r="BJ113" s="62">
        <f t="shared" si="92"/>
        <v>404.95703400805775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projet'!$B$12,Paramètres!$A$1:$I$89,3,0)*VLOOKUP('Données projet'!$B$12,Paramètres!$A$1:$I$89,5,0)</f>
        <v>-1.8089849618263545E-13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370.79299728190904</v>
      </c>
      <c r="CE113" s="62">
        <f t="shared" si="94"/>
        <v>404.95703400805775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-1.7053025658242404E-13</v>
      </c>
      <c r="CU113" s="18">
        <f>CT113*VLOOKUP('Données projet'!$B$13,Paramètres!$A$1:$I$89,3,0)*VLOOKUP('Données projet'!$B$13,Paramètres!$A$1:$I$89,5,0)</f>
        <v>-1.4897523215040567E-13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339.58437495284466</v>
      </c>
      <c r="CZ113" s="62">
        <f t="shared" si="96"/>
        <v>371.26234252426531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-2.2737367544323206E-13</v>
      </c>
      <c r="DP113" s="18">
        <f>DO113*VLOOKUP('Données projet'!$B$14,Paramètres!$A$1:$I$89,3,0)*VLOOKUP('Données projet'!$B$14,Paramètres!$A$1:$I$89,5,0)</f>
        <v>-1.6671037883497774E-13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344.63665697794022</v>
      </c>
      <c r="DU113" s="62">
        <f t="shared" si="98"/>
        <v>376.72762011188041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292.30769230769232</v>
      </c>
      <c r="EH113" s="13">
        <f>VLOOKUP(A113,'Données projet'!$A$191:$I$211,9,0)</f>
        <v>3.3974358974359005</v>
      </c>
      <c r="EI113" s="13">
        <f t="array" ref="EI113">INDEX(EH:EH,MIN(IF(ISNUMBER(EH113:EH309),ROW(EH113:EH309),"")))</f>
        <v>3.3974358974359005</v>
      </c>
      <c r="EJ113" s="13">
        <f>IF('Données projet'!$A$192&gt;35,EJ112+EI113-ER112,IF(A113&lt;'Données projet'!$A$192,$EG$205^A113,IF(A113='Données projet'!$A$192,'Données projet'!$B$192,EJ112+EI113-ER112)))</f>
        <v>292.30769230769243</v>
      </c>
      <c r="EK113" s="18">
        <f>EJ113*VLOOKUP('Données projet'!$B$15,Paramètres!$A$1:$I$89,3,0)*VLOOKUP('Données projet'!$B$15,Paramètres!$A$1:$I$89,5,0)</f>
        <v>278.16000000000014</v>
      </c>
      <c r="EL113" s="14">
        <f t="shared" si="99"/>
        <v>66.578014905913179</v>
      </c>
      <c r="EM113" s="22">
        <f t="shared" si="73"/>
        <v>600.41870929446566</v>
      </c>
      <c r="EN113" s="62">
        <f t="shared" si="74"/>
        <v>893.75204262779903</v>
      </c>
      <c r="EO113" s="62">
        <f ca="1">AVERAGE(OFFSET($EN$3,0,0,'Données projet'!$E$15+1,1))-AVERAGE(OFFSET($H$3,0,0,'Données projet'!$E$15+1,1))</f>
        <v>406.24139966722936</v>
      </c>
      <c r="EP113" s="62">
        <f t="shared" si="100"/>
        <v>295.95724296920577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37.820512820512818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358</v>
      </c>
      <c r="FC113" s="13">
        <f>VLOOKUP(A113,'Données projet'!$A$217:$I$237,9,0)</f>
        <v>5.2</v>
      </c>
      <c r="FD113" s="13">
        <f t="array" ref="FD113">INDEX(FC:FC,MIN(IF(ISNUMBER(FC113:FC309),ROW(FC113:FC309),"")))</f>
        <v>5.2</v>
      </c>
      <c r="FE113" s="13">
        <f>IF('Données projet'!$A$218&gt;35,FE112+FD113-FM112,IF(A113&lt;'Données projet'!$A$218,$FB$205^A113,IF(A113='Données projet'!$A$218,'Données projet'!$B$218,FE112+FD113-FM112)))</f>
        <v>357.99999999999977</v>
      </c>
      <c r="FF113" s="18">
        <f>FE113*VLOOKUP('Données projet'!$B$16,Paramètres!$A$1:$I$89,3,0)*VLOOKUP('Données projet'!$B$16,Paramètres!$A$1:$I$89,5,0)</f>
        <v>346.2575999999998</v>
      </c>
      <c r="FG113" s="14">
        <f t="shared" si="101"/>
        <v>80.791430742606124</v>
      </c>
      <c r="FH113" s="22">
        <f t="shared" si="76"/>
        <v>743.77706187670526</v>
      </c>
      <c r="FI113" s="62">
        <f t="shared" si="77"/>
        <v>1037.1103952100386</v>
      </c>
      <c r="FJ113" s="62">
        <f ca="1">AVERAGE(OFFSET($FI$3,0,0,'Données projet'!$E$16+1,1))-AVERAGE(OFFSET($H$3,0,0,'Données projet'!$E$16+1,1))</f>
        <v>540.83352418045502</v>
      </c>
      <c r="FK113" s="62">
        <f t="shared" si="102"/>
        <v>294.45557293177131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51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1.1368683772161603E-13</v>
      </c>
      <c r="GA113" s="18">
        <f>FZ113*VLOOKUP('Données projet'!$B$17,Paramètres!$A$1:$I$89,3,0)*VLOOKUP('Données projet'!$B$17,Paramètres!$A$1:$I$89,5,0)</f>
        <v>8.8675733422860506E-14</v>
      </c>
      <c r="GB113" s="14">
        <f t="shared" si="103"/>
        <v>1.3509285393066301E-12</v>
      </c>
      <c r="GC113" s="22">
        <f t="shared" si="79"/>
        <v>2.5073107750038623E-12</v>
      </c>
      <c r="GD113" s="62">
        <f t="shared" si="80"/>
        <v>293.33333333333582</v>
      </c>
      <c r="GE113" s="62">
        <f ca="1">AVERAGE(OFFSET($GD$3,0,0,'Données projet'!$E$17+1,1))-AVERAGE(OFFSET($H$3,0,0,'Données projet'!$E$17+1,1))</f>
        <v>292.57482726862594</v>
      </c>
      <c r="GF113" s="62">
        <f t="shared" si="104"/>
        <v>283.48738729114024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358.33333333333331</v>
      </c>
      <c r="GS113" s="13">
        <f>VLOOKUP(A113,'Données projet'!$A$269:$I$289,9,0)</f>
        <v>3.5256410256410278</v>
      </c>
      <c r="GT113" s="13">
        <f t="array" ref="GT113">INDEX(GS:GS,MIN(IF(ISNUMBER(GS113:GS309),ROW(GS113:GS309),"")))</f>
        <v>3.5256410256410278</v>
      </c>
      <c r="GU113" s="13">
        <f>IF('Données projet'!$A$270&gt;35,GU112+GT113-HC112,IF(A113&lt;'Données projet'!$A$270,$GR$205^A113,IF(A113='Données projet'!$A$270,'Données projet'!$B$270,GU112+GT113-HC112)))</f>
        <v>358.33333333333371</v>
      </c>
      <c r="GV113" s="18">
        <f>GU113*VLOOKUP('Données projet'!$B$18,Paramètres!$A$1:$I$89,3,0)*VLOOKUP('Données projet'!$B$18,Paramètres!$A$1:$I$89,5,0)</f>
        <v>240.37000000000023</v>
      </c>
      <c r="GW113" s="14">
        <f t="shared" si="105"/>
        <v>58.51913064595891</v>
      </c>
      <c r="GX113" s="22">
        <f t="shared" si="82"/>
        <v>520.56523587504546</v>
      </c>
      <c r="GY113" s="62">
        <f t="shared" si="83"/>
        <v>813.89856920837883</v>
      </c>
      <c r="GZ113" s="62">
        <f ca="1">AVERAGE(OFFSET($GY$3,0,0,'Données projet'!$E$18+1,1))-AVERAGE(OFFSET($H$3,0,0,'Données projet'!$E$18+1,1))</f>
        <v>343.33067866534634</v>
      </c>
      <c r="HA113" s="62">
        <f t="shared" si="106"/>
        <v>261.91036689641402</v>
      </c>
      <c r="HB113" s="16">
        <f>IF(ISNA(VLOOKUP(A113,'Données projet'!$A$269:$I$289,3,0)),0,VLOOKUP(A113,'Données projet'!$A$269:$I$289,3,0))</f>
        <v>10</v>
      </c>
      <c r="HC113" s="16">
        <f>IF(ISNA(VLOOKUP(A113,'Données projet'!$A$269:$I$289,4,0)),0,VLOOKUP(A113,'Données projet'!$A$269:$I$289,4,0))</f>
        <v>358.33333333333331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311.49999999999977</v>
      </c>
      <c r="O114" s="14">
        <f>N114*VLOOKUP('Données projet'!$B$9,Paramètres!$A$1:$I$89,3,0)*VLOOKUP('Données projet'!$B$9,Paramètres!$A$1:$I$89,5,0)</f>
        <v>281.84519999999975</v>
      </c>
      <c r="P114" s="14">
        <f t="shared" si="87"/>
        <v>67.356803491560427</v>
      </c>
      <c r="Q114" s="22">
        <f t="shared" si="107"/>
        <v>608.19348941446731</v>
      </c>
      <c r="R114" s="62">
        <f t="shared" si="55"/>
        <v>901.52682274780068</v>
      </c>
      <c r="S114" s="62">
        <f ca="1">AVERAGE(OFFSET($R$3,0,0,'Données projet'!$E$9+1,1))-AVERAGE(OFFSET($H$3,0,0,'Données projet'!$E$9+1,1))</f>
        <v>508.77990078889337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</v>
      </c>
      <c r="AI114" s="14">
        <f>IF('Données projet'!$A$62&gt;35,AI113+AH114-AQ113,IF(A114&lt;'Données projet'!$A$62,$AF$205^A114,IF(A114='Données projet'!$A$62,'Données projet'!$B$62,AI113+AH114-AQ113)))</f>
        <v>311.49999999999977</v>
      </c>
      <c r="AJ114" s="14">
        <f>AI114*VLOOKUP('Données projet'!$B$10,Paramètres!$A$1:$I$89,3,0)*VLOOKUP('Données projet'!$B$10,Paramètres!$A$1:$I$89,5,0)</f>
        <v>315.86099999999976</v>
      </c>
      <c r="AK114" s="14">
        <f t="shared" si="89"/>
        <v>74.491502782151414</v>
      </c>
      <c r="AL114" s="22">
        <f t="shared" si="58"/>
        <v>679.86394234557997</v>
      </c>
      <c r="AM114" s="62">
        <f t="shared" si="59"/>
        <v>973.19727567891323</v>
      </c>
      <c r="AN114" s="62">
        <f ca="1">AVERAGE(OFFSET($AM$3,0,0,'Données projet'!$E$10+1,1))-AVERAGE(OFFSET($H$3,0,0,'Données projet'!$E$10+1,1))</f>
        <v>564.84596170333884</v>
      </c>
      <c r="AO114" s="62">
        <f t="shared" si="90"/>
        <v>306.61893266146666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-1.8089849618263545E-13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370.79299728190904</v>
      </c>
      <c r="BJ114" s="62">
        <f t="shared" si="92"/>
        <v>404.95703400805775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-1.8089849618263545E-13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370.79299728190904</v>
      </c>
      <c r="CE114" s="62">
        <f t="shared" si="94"/>
        <v>404.95703400805775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-1.7053025658242404E-13</v>
      </c>
      <c r="CU114" s="18">
        <f>CT114*VLOOKUP('Données projet'!$B$13,Paramètres!$A$1:$I$89,3,0)*VLOOKUP('Données projet'!$B$13,Paramètres!$A$1:$I$89,5,0)</f>
        <v>-1.4897523215040567E-13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339.58437495284466</v>
      </c>
      <c r="CZ114" s="62">
        <f t="shared" si="96"/>
        <v>371.26234252426531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-2.2737367544323206E-13</v>
      </c>
      <c r="DP114" s="18">
        <f>DO114*VLOOKUP('Données projet'!$B$14,Paramètres!$A$1:$I$89,3,0)*VLOOKUP('Données projet'!$B$14,Paramètres!$A$1:$I$89,5,0)</f>
        <v>-1.6671037883497774E-13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344.63665697794022</v>
      </c>
      <c r="DU114" s="62">
        <f t="shared" si="98"/>
        <v>376.72762011188041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3.141025641025641</v>
      </c>
      <c r="EJ114" s="13">
        <f>IF('Données projet'!$A$192&gt;35,EJ113+EI114-ER113,IF(A114&lt;'Données projet'!$A$192,$EG$205^A114,IF(A114='Données projet'!$A$192,'Données projet'!$B$192,EJ113+EI114-ER113)))</f>
        <v>257.62820512820525</v>
      </c>
      <c r="EK114" s="18">
        <f>EJ114*VLOOKUP('Données projet'!$B$15,Paramètres!$A$1:$I$89,3,0)*VLOOKUP('Données projet'!$B$15,Paramètres!$A$1:$I$89,5,0)</f>
        <v>245.15900000000013</v>
      </c>
      <c r="EL114" s="14">
        <f t="shared" si="99"/>
        <v>59.548136793550292</v>
      </c>
      <c r="EM114" s="22">
        <f t="shared" si="73"/>
        <v>530.69826324876692</v>
      </c>
      <c r="EN114" s="62">
        <f t="shared" si="74"/>
        <v>824.03159658210029</v>
      </c>
      <c r="EO114" s="62">
        <f ca="1">AVERAGE(OFFSET($EN$3,0,0,'Données projet'!$E$15+1,1))-AVERAGE(OFFSET($H$3,0,0,'Données projet'!$E$15+1,1))</f>
        <v>406.24139966722936</v>
      </c>
      <c r="EP114" s="62">
        <f t="shared" si="100"/>
        <v>295.95724296920577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4.5</v>
      </c>
      <c r="FE114" s="13">
        <f>IF('Données projet'!$A$218&gt;35,FE113+FD114-FM113,IF(A114&lt;'Données projet'!$A$218,$FB$205^A114,IF(A114='Données projet'!$A$218,'Données projet'!$B$218,FE113+FD114-FM113)))</f>
        <v>311.49999999999977</v>
      </c>
      <c r="FF114" s="18">
        <f>FE114*VLOOKUP('Données projet'!$B$16,Paramètres!$A$1:$I$89,3,0)*VLOOKUP('Données projet'!$B$16,Paramètres!$A$1:$I$89,5,0)</f>
        <v>301.28279999999978</v>
      </c>
      <c r="FG114" s="14">
        <f t="shared" si="101"/>
        <v>71.445320809508672</v>
      </c>
      <c r="FH114" s="22">
        <f t="shared" si="76"/>
        <v>649.16814374322723</v>
      </c>
      <c r="FI114" s="62">
        <f t="shared" si="77"/>
        <v>942.5014770765606</v>
      </c>
      <c r="FJ114" s="62">
        <f ca="1">AVERAGE(OFFSET($FI$3,0,0,'Données projet'!$E$16+1,1))-AVERAGE(OFFSET($H$3,0,0,'Données projet'!$E$16+1,1))</f>
        <v>540.83352418045502</v>
      </c>
      <c r="FK114" s="62">
        <f t="shared" si="102"/>
        <v>294.45557293177131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1.1368683772161603E-13</v>
      </c>
      <c r="GA114" s="18">
        <f>FZ114*VLOOKUP('Données projet'!$B$17,Paramètres!$A$1:$I$89,3,0)*VLOOKUP('Données projet'!$B$17,Paramètres!$A$1:$I$89,5,0)</f>
        <v>8.8675733422860506E-14</v>
      </c>
      <c r="GB114" s="14">
        <f t="shared" si="103"/>
        <v>1.3509285393066301E-12</v>
      </c>
      <c r="GC114" s="22">
        <f t="shared" si="79"/>
        <v>2.5073107750038623E-12</v>
      </c>
      <c r="GD114" s="62">
        <f t="shared" si="80"/>
        <v>293.33333333333582</v>
      </c>
      <c r="GE114" s="62">
        <f ca="1">AVERAGE(OFFSET($GD$3,0,0,'Données projet'!$E$17+1,1))-AVERAGE(OFFSET($H$3,0,0,'Données projet'!$E$17+1,1))</f>
        <v>292.57482726862594</v>
      </c>
      <c r="GF114" s="62">
        <f t="shared" si="104"/>
        <v>283.48738729114024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3.979039320256561E-13</v>
      </c>
      <c r="GV114" s="18">
        <f>GU114*VLOOKUP('Données projet'!$B$18,Paramètres!$A$1:$I$89,3,0)*VLOOKUP('Données projet'!$B$18,Paramètres!$A$1:$I$89,5,0)</f>
        <v>2.669139576028101E-13</v>
      </c>
      <c r="GW114" s="14">
        <f t="shared" si="105"/>
        <v>3.5767923834585247E-12</v>
      </c>
      <c r="GX114" s="22">
        <f t="shared" si="82"/>
        <v>6.6944552106818241E-12</v>
      </c>
      <c r="GY114" s="62">
        <f t="shared" si="83"/>
        <v>293.33333333334002</v>
      </c>
      <c r="GZ114" s="62">
        <f ca="1">AVERAGE(OFFSET($GY$3,0,0,'Données projet'!$E$18+1,1))-AVERAGE(OFFSET($H$3,0,0,'Données projet'!$E$18+1,1))</f>
        <v>343.33067866534634</v>
      </c>
      <c r="HA114" s="62">
        <f t="shared" si="106"/>
        <v>261.91036689641402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315.99999999999977</v>
      </c>
      <c r="O115" s="14">
        <f>N115*VLOOKUP('Données projet'!$B$9,Paramètres!$A$1:$I$89,3,0)*VLOOKUP('Données projet'!$B$9,Paramètres!$A$1:$I$89,5,0)</f>
        <v>285.9167999999998</v>
      </c>
      <c r="P115" s="14">
        <f t="shared" si="87"/>
        <v>68.215872977287475</v>
      </c>
      <c r="Q115" s="22">
        <f t="shared" si="107"/>
        <v>616.78107210210862</v>
      </c>
      <c r="R115" s="62">
        <f t="shared" si="55"/>
        <v>910.11440543544199</v>
      </c>
      <c r="S115" s="62">
        <f ca="1">AVERAGE(OFFSET($R$3,0,0,'Données projet'!$E$9+1,1))-AVERAGE(OFFSET($H$3,0,0,'Données projet'!$E$9+1,1))</f>
        <v>508.77990078889337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</v>
      </c>
      <c r="AI115" s="14">
        <f>IF('Données projet'!$A$62&gt;35,AI114+AH115-AQ114,IF(A115&lt;'Données projet'!$A$62,$AF$205^A115,IF(A115='Données projet'!$A$62,'Données projet'!$B$62,AI114+AH115-AQ114)))</f>
        <v>315.99999999999977</v>
      </c>
      <c r="AJ115" s="14">
        <f>AI115*VLOOKUP('Données projet'!$B$10,Paramètres!$A$1:$I$89,3,0)*VLOOKUP('Données projet'!$B$10,Paramètres!$A$1:$I$89,5,0)</f>
        <v>320.42399999999981</v>
      </c>
      <c r="AK115" s="14">
        <f t="shared" si="89"/>
        <v>75.441568308852254</v>
      </c>
      <c r="AL115" s="22">
        <f t="shared" si="58"/>
        <v>689.46586480458393</v>
      </c>
      <c r="AM115" s="62">
        <f t="shared" si="59"/>
        <v>982.7991981379173</v>
      </c>
      <c r="AN115" s="62">
        <f ca="1">AVERAGE(OFFSET($AM$3,0,0,'Données projet'!$E$10+1,1))-AVERAGE(OFFSET($H$3,0,0,'Données projet'!$E$10+1,1))</f>
        <v>564.84596170333884</v>
      </c>
      <c r="AO115" s="62">
        <f t="shared" si="90"/>
        <v>306.61893266146666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-1.8089849618263545E-13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370.79299728190904</v>
      </c>
      <c r="BJ115" s="62">
        <f t="shared" si="92"/>
        <v>404.95703400805775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-1.8089849618263545E-13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370.79299728190904</v>
      </c>
      <c r="CE115" s="62">
        <f t="shared" si="94"/>
        <v>404.95703400805775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-1.7053025658242404E-13</v>
      </c>
      <c r="CU115" s="18">
        <f>CT115*VLOOKUP('Données projet'!$B$13,Paramètres!$A$1:$I$89,3,0)*VLOOKUP('Données projet'!$B$13,Paramètres!$A$1:$I$89,5,0)</f>
        <v>-1.4897523215040567E-13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339.58437495284466</v>
      </c>
      <c r="CZ115" s="62">
        <f t="shared" si="96"/>
        <v>371.26234252426531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-2.2737367544323206E-13</v>
      </c>
      <c r="DP115" s="18">
        <f>DO115*VLOOKUP('Données projet'!$B$14,Paramètres!$A$1:$I$89,3,0)*VLOOKUP('Données projet'!$B$14,Paramètres!$A$1:$I$89,5,0)</f>
        <v>-1.6671037883497774E-13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344.63665697794022</v>
      </c>
      <c r="DU115" s="62">
        <f t="shared" si="98"/>
        <v>376.72762011188041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3.141025641025641</v>
      </c>
      <c r="EJ115" s="13">
        <f>IF('Données projet'!$A$192&gt;35,EJ114+EI115-ER114,IF(A115&lt;'Données projet'!$A$192,$EG$205^A115,IF(A115='Données projet'!$A$192,'Données projet'!$B$192,EJ114+EI115-ER114)))</f>
        <v>260.76923076923089</v>
      </c>
      <c r="EK115" s="18">
        <f>EJ115*VLOOKUP('Données projet'!$B$15,Paramètres!$A$1:$I$89,3,0)*VLOOKUP('Données projet'!$B$15,Paramètres!$A$1:$I$89,5,0)</f>
        <v>248.14800000000011</v>
      </c>
      <c r="EL115" s="14">
        <f t="shared" si="99"/>
        <v>60.189191470108021</v>
      </c>
      <c r="EM115" s="22">
        <f t="shared" si="73"/>
        <v>537.02060847710493</v>
      </c>
      <c r="EN115" s="62">
        <f t="shared" si="74"/>
        <v>830.3539418104383</v>
      </c>
      <c r="EO115" s="62">
        <f ca="1">AVERAGE(OFFSET($EN$3,0,0,'Données projet'!$E$15+1,1))-AVERAGE(OFFSET($H$3,0,0,'Données projet'!$E$15+1,1))</f>
        <v>406.24139966722936</v>
      </c>
      <c r="EP115" s="62">
        <f t="shared" si="100"/>
        <v>295.95724296920577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4.5</v>
      </c>
      <c r="FE115" s="13">
        <f>IF('Données projet'!$A$218&gt;35,FE114+FD115-FM114,IF(A115&lt;'Données projet'!$A$218,$FB$205^A115,IF(A115='Données projet'!$A$218,'Données projet'!$B$218,FE114+FD115-FM114)))</f>
        <v>315.99999999999977</v>
      </c>
      <c r="FF115" s="18">
        <f>FE115*VLOOKUP('Données projet'!$B$16,Paramètres!$A$1:$I$89,3,0)*VLOOKUP('Données projet'!$B$16,Paramètres!$A$1:$I$89,5,0)</f>
        <v>305.63519999999977</v>
      </c>
      <c r="FG115" s="14">
        <f t="shared" si="101"/>
        <v>72.356535294517812</v>
      </c>
      <c r="FH115" s="22">
        <f t="shared" si="76"/>
        <v>658.33560563795152</v>
      </c>
      <c r="FI115" s="62">
        <f t="shared" si="77"/>
        <v>951.66893897128489</v>
      </c>
      <c r="FJ115" s="62">
        <f ca="1">AVERAGE(OFFSET($FI$3,0,0,'Données projet'!$E$16+1,1))-AVERAGE(OFFSET($H$3,0,0,'Données projet'!$E$16+1,1))</f>
        <v>540.83352418045502</v>
      </c>
      <c r="FK115" s="62">
        <f t="shared" si="102"/>
        <v>294.45557293177131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1.1368683772161603E-13</v>
      </c>
      <c r="GA115" s="18">
        <f>FZ115*VLOOKUP('Données projet'!$B$17,Paramètres!$A$1:$I$89,3,0)*VLOOKUP('Données projet'!$B$17,Paramètres!$A$1:$I$89,5,0)</f>
        <v>8.8675733422860506E-14</v>
      </c>
      <c r="GB115" s="14">
        <f t="shared" si="103"/>
        <v>1.3509285393066301E-12</v>
      </c>
      <c r="GC115" s="22">
        <f t="shared" si="79"/>
        <v>2.5073107750038623E-12</v>
      </c>
      <c r="GD115" s="62">
        <f t="shared" si="80"/>
        <v>293.33333333333582</v>
      </c>
      <c r="GE115" s="62">
        <f ca="1">AVERAGE(OFFSET($GD$3,0,0,'Données projet'!$E$17+1,1))-AVERAGE(OFFSET($H$3,0,0,'Données projet'!$E$17+1,1))</f>
        <v>292.57482726862594</v>
      </c>
      <c r="GF115" s="62">
        <f t="shared" si="104"/>
        <v>283.48738729114024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3.979039320256561E-13</v>
      </c>
      <c r="GV115" s="18">
        <f>GU115*VLOOKUP('Données projet'!$B$18,Paramètres!$A$1:$I$89,3,0)*VLOOKUP('Données projet'!$B$18,Paramètres!$A$1:$I$89,5,0)</f>
        <v>2.669139576028101E-13</v>
      </c>
      <c r="GW115" s="14">
        <f t="shared" si="105"/>
        <v>3.5767923834585247E-12</v>
      </c>
      <c r="GX115" s="22">
        <f t="shared" si="82"/>
        <v>6.6944552106818241E-12</v>
      </c>
      <c r="GY115" s="62">
        <f t="shared" si="83"/>
        <v>293.33333333334002</v>
      </c>
      <c r="GZ115" s="62">
        <f ca="1">AVERAGE(OFFSET($GY$3,0,0,'Données projet'!$E$18+1,1))-AVERAGE(OFFSET($H$3,0,0,'Données projet'!$E$18+1,1))</f>
        <v>343.33067866534634</v>
      </c>
      <c r="HA115" s="62">
        <f t="shared" si="106"/>
        <v>261.91036689641402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320.49999999999977</v>
      </c>
      <c r="O116" s="14">
        <f>N116*VLOOKUP('Données projet'!$B$9,Paramètres!$A$1:$I$89,3,0)*VLOOKUP('Données projet'!$B$9,Paramètres!$A$1:$I$89,5,0)</f>
        <v>289.98839999999979</v>
      </c>
      <c r="P116" s="14">
        <f t="shared" si="87"/>
        <v>69.073519602481525</v>
      </c>
      <c r="Q116" s="22">
        <f t="shared" si="107"/>
        <v>625.36617664098833</v>
      </c>
      <c r="R116" s="62">
        <f t="shared" si="55"/>
        <v>918.6995099743217</v>
      </c>
      <c r="S116" s="62">
        <f ca="1">AVERAGE(OFFSET($R$3,0,0,'Données projet'!$E$9+1,1))-AVERAGE(OFFSET($H$3,0,0,'Données projet'!$E$9+1,1))</f>
        <v>508.77990078889337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</v>
      </c>
      <c r="AI116" s="14">
        <f>IF('Données projet'!$A$62&gt;35,AI115+AH116-AQ115,IF(A116&lt;'Données projet'!$A$62,$AF$205^A116,IF(A116='Données projet'!$A$62,'Données projet'!$B$62,AI115+AH116-AQ115)))</f>
        <v>320.49999999999977</v>
      </c>
      <c r="AJ116" s="14">
        <f>AI116*VLOOKUP('Données projet'!$B$10,Paramètres!$A$1:$I$89,3,0)*VLOOKUP('Données projet'!$B$10,Paramètres!$A$1:$I$89,5,0)</f>
        <v>324.9869999999998</v>
      </c>
      <c r="AK116" s="14">
        <f t="shared" si="89"/>
        <v>76.390060259999387</v>
      </c>
      <c r="AL116" s="22">
        <f t="shared" si="58"/>
        <v>699.06504661949873</v>
      </c>
      <c r="AM116" s="62">
        <f t="shared" si="59"/>
        <v>992.3983799528321</v>
      </c>
      <c r="AN116" s="62">
        <f ca="1">AVERAGE(OFFSET($AM$3,0,0,'Données projet'!$E$10+1,1))-AVERAGE(OFFSET($H$3,0,0,'Données projet'!$E$10+1,1))</f>
        <v>564.84596170333884</v>
      </c>
      <c r="AO116" s="62">
        <f t="shared" si="90"/>
        <v>306.61893266146666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-1.8089849618263545E-13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370.79299728190904</v>
      </c>
      <c r="BJ116" s="62">
        <f t="shared" si="92"/>
        <v>404.95703400805775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-1.8089849618263545E-13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370.79299728190904</v>
      </c>
      <c r="CE116" s="62">
        <f t="shared" si="94"/>
        <v>404.95703400805775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-1.7053025658242404E-13</v>
      </c>
      <c r="CU116" s="18">
        <f>CT116*VLOOKUP('Données projet'!$B$13,Paramètres!$A$1:$I$89,3,0)*VLOOKUP('Données projet'!$B$13,Paramètres!$A$1:$I$89,5,0)</f>
        <v>-1.4897523215040567E-13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339.58437495284466</v>
      </c>
      <c r="CZ116" s="62">
        <f t="shared" si="96"/>
        <v>371.26234252426531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-2.2737367544323206E-13</v>
      </c>
      <c r="DP116" s="18">
        <f>DO116*VLOOKUP('Données projet'!$B$14,Paramètres!$A$1:$I$89,3,0)*VLOOKUP('Données projet'!$B$14,Paramètres!$A$1:$I$89,5,0)</f>
        <v>-1.6671037883497774E-13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344.63665697794022</v>
      </c>
      <c r="DU116" s="62">
        <f t="shared" si="98"/>
        <v>376.72762011188041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3.141025641025641</v>
      </c>
      <c r="EJ116" s="13">
        <f>IF('Données projet'!$A$192&gt;35,EJ115+EI116-ER115,IF(A116&lt;'Données projet'!$A$192,$EG$205^A116,IF(A116='Données projet'!$A$192,'Données projet'!$B$192,EJ115+EI116-ER115)))</f>
        <v>263.91025641025652</v>
      </c>
      <c r="EK116" s="18">
        <f>EJ116*VLOOKUP('Données projet'!$B$15,Paramètres!$A$1:$I$89,3,0)*VLOOKUP('Données projet'!$B$15,Paramètres!$A$1:$I$89,5,0)</f>
        <v>251.13700000000011</v>
      </c>
      <c r="EL116" s="14">
        <f t="shared" si="99"/>
        <v>60.82934795323235</v>
      </c>
      <c r="EM116" s="22">
        <f t="shared" si="73"/>
        <v>543.34138935187991</v>
      </c>
      <c r="EN116" s="62">
        <f t="shared" si="74"/>
        <v>836.67472268521328</v>
      </c>
      <c r="EO116" s="62">
        <f ca="1">AVERAGE(OFFSET($EN$3,0,0,'Données projet'!$E$15+1,1))-AVERAGE(OFFSET($H$3,0,0,'Données projet'!$E$15+1,1))</f>
        <v>406.24139966722936</v>
      </c>
      <c r="EP116" s="62">
        <f t="shared" si="100"/>
        <v>295.95724296920577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4.5</v>
      </c>
      <c r="FE116" s="13">
        <f>IF('Données projet'!$A$218&gt;35,FE115+FD116-FM115,IF(A116&lt;'Données projet'!$A$218,$FB$205^A116,IF(A116='Données projet'!$A$218,'Données projet'!$B$218,FE115+FD116-FM115)))</f>
        <v>320.49999999999977</v>
      </c>
      <c r="FF116" s="18">
        <f>FE116*VLOOKUP('Données projet'!$B$16,Paramètres!$A$1:$I$89,3,0)*VLOOKUP('Données projet'!$B$16,Paramètres!$A$1:$I$89,5,0)</f>
        <v>309.98759999999982</v>
      </c>
      <c r="FG116" s="14">
        <f t="shared" si="101"/>
        <v>73.266240552218378</v>
      </c>
      <c r="FH116" s="22">
        <f t="shared" si="76"/>
        <v>667.50043896177999</v>
      </c>
      <c r="FI116" s="62">
        <f t="shared" si="77"/>
        <v>960.83377229511325</v>
      </c>
      <c r="FJ116" s="62">
        <f ca="1">AVERAGE(OFFSET($FI$3,0,0,'Données projet'!$E$16+1,1))-AVERAGE(OFFSET($H$3,0,0,'Données projet'!$E$16+1,1))</f>
        <v>540.83352418045502</v>
      </c>
      <c r="FK116" s="62">
        <f t="shared" si="102"/>
        <v>294.45557293177131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1.1368683772161603E-13</v>
      </c>
      <c r="GA116" s="18">
        <f>FZ116*VLOOKUP('Données projet'!$B$17,Paramètres!$A$1:$I$89,3,0)*VLOOKUP('Données projet'!$B$17,Paramètres!$A$1:$I$89,5,0)</f>
        <v>8.8675733422860506E-14</v>
      </c>
      <c r="GB116" s="14">
        <f t="shared" si="103"/>
        <v>1.3509285393066301E-12</v>
      </c>
      <c r="GC116" s="22">
        <f t="shared" si="79"/>
        <v>2.5073107750038623E-12</v>
      </c>
      <c r="GD116" s="62">
        <f t="shared" si="80"/>
        <v>293.33333333333582</v>
      </c>
      <c r="GE116" s="62">
        <f ca="1">AVERAGE(OFFSET($GD$3,0,0,'Données projet'!$E$17+1,1))-AVERAGE(OFFSET($H$3,0,0,'Données projet'!$E$17+1,1))</f>
        <v>292.57482726862594</v>
      </c>
      <c r="GF116" s="62">
        <f t="shared" si="104"/>
        <v>283.48738729114024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3.979039320256561E-13</v>
      </c>
      <c r="GV116" s="18">
        <f>GU116*VLOOKUP('Données projet'!$B$18,Paramètres!$A$1:$I$89,3,0)*VLOOKUP('Données projet'!$B$18,Paramètres!$A$1:$I$89,5,0)</f>
        <v>2.669139576028101E-13</v>
      </c>
      <c r="GW116" s="14">
        <f t="shared" si="105"/>
        <v>3.5767923834585247E-12</v>
      </c>
      <c r="GX116" s="22">
        <f t="shared" si="82"/>
        <v>6.6944552106818241E-12</v>
      </c>
      <c r="GY116" s="62">
        <f t="shared" si="83"/>
        <v>293.33333333334002</v>
      </c>
      <c r="GZ116" s="62">
        <f ca="1">AVERAGE(OFFSET($GY$3,0,0,'Données projet'!$E$18+1,1))-AVERAGE(OFFSET($H$3,0,0,'Données projet'!$E$18+1,1))</f>
        <v>343.33067866534634</v>
      </c>
      <c r="HA116" s="62">
        <f t="shared" si="106"/>
        <v>261.91036689641402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324.99999999999977</v>
      </c>
      <c r="O117" s="14">
        <f>N117*VLOOKUP('Données projet'!$B$9,Paramètres!$A$1:$I$89,3,0)*VLOOKUP('Données projet'!$B$9,Paramètres!$A$1:$I$89,5,0)</f>
        <v>294.05999999999977</v>
      </c>
      <c r="P117" s="14">
        <f t="shared" si="87"/>
        <v>69.929765653573313</v>
      </c>
      <c r="Q117" s="22">
        <f t="shared" si="107"/>
        <v>633.94884184663977</v>
      </c>
      <c r="R117" s="62">
        <f t="shared" si="55"/>
        <v>927.28217517997314</v>
      </c>
      <c r="S117" s="62">
        <f ca="1">AVERAGE(OFFSET($R$3,0,0,'Données projet'!$E$9+1,1))-AVERAGE(OFFSET($H$3,0,0,'Données projet'!$E$9+1,1))</f>
        <v>508.77990078889337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</v>
      </c>
      <c r="AI117" s="14">
        <f>IF('Données projet'!$A$62&gt;35,AI116+AH117-AQ116,IF(A117&lt;'Données projet'!$A$62,$AF$205^A117,IF(A117='Données projet'!$A$62,'Données projet'!$B$62,AI116+AH117-AQ116)))</f>
        <v>324.99999999999977</v>
      </c>
      <c r="AJ117" s="14">
        <f>AI117*VLOOKUP('Données projet'!$B$10,Paramètres!$A$1:$I$89,3,0)*VLOOKUP('Données projet'!$B$10,Paramètres!$A$1:$I$89,5,0)</f>
        <v>329.54999999999978</v>
      </c>
      <c r="AK117" s="14">
        <f t="shared" si="89"/>
        <v>77.337003282690574</v>
      </c>
      <c r="AL117" s="22">
        <f t="shared" si="58"/>
        <v>708.66153071735232</v>
      </c>
      <c r="AM117" s="62">
        <f t="shared" si="59"/>
        <v>1001.9948640506857</v>
      </c>
      <c r="AN117" s="62">
        <f ca="1">AVERAGE(OFFSET($AM$3,0,0,'Données projet'!$E$10+1,1))-AVERAGE(OFFSET($H$3,0,0,'Données projet'!$E$10+1,1))</f>
        <v>564.84596170333884</v>
      </c>
      <c r="AO117" s="62">
        <f t="shared" si="90"/>
        <v>306.61893266146666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-1.8089849618263545E-13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370.79299728190904</v>
      </c>
      <c r="BJ117" s="62">
        <f t="shared" si="92"/>
        <v>404.95703400805775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-1.8089849618263545E-13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370.79299728190904</v>
      </c>
      <c r="CE117" s="62">
        <f t="shared" si="94"/>
        <v>404.95703400805775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-1.7053025658242404E-13</v>
      </c>
      <c r="CU117" s="18">
        <f>CT117*VLOOKUP('Données projet'!$B$13,Paramètres!$A$1:$I$89,3,0)*VLOOKUP('Données projet'!$B$13,Paramètres!$A$1:$I$89,5,0)</f>
        <v>-1.4897523215040567E-13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339.58437495284466</v>
      </c>
      <c r="CZ117" s="62">
        <f t="shared" si="96"/>
        <v>371.26234252426531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-2.2737367544323206E-13</v>
      </c>
      <c r="DP117" s="18">
        <f>DO117*VLOOKUP('Données projet'!$B$14,Paramètres!$A$1:$I$89,3,0)*VLOOKUP('Données projet'!$B$14,Paramètres!$A$1:$I$89,5,0)</f>
        <v>-1.6671037883497774E-13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344.63665697794022</v>
      </c>
      <c r="DU117" s="62">
        <f t="shared" si="98"/>
        <v>376.72762011188041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3.141025641025641</v>
      </c>
      <c r="EJ117" s="13">
        <f>IF('Données projet'!$A$192&gt;35,EJ116+EI117-ER116,IF(A117&lt;'Données projet'!$A$192,$EG$205^A117,IF(A117='Données projet'!$A$192,'Données projet'!$B$192,EJ116+EI117-ER116)))</f>
        <v>267.05128205128216</v>
      </c>
      <c r="EK117" s="18">
        <f>EJ117*VLOOKUP('Données projet'!$B$15,Paramètres!$A$1:$I$89,3,0)*VLOOKUP('Données projet'!$B$15,Paramètres!$A$1:$I$89,5,0)</f>
        <v>254.12600000000012</v>
      </c>
      <c r="EL117" s="14">
        <f t="shared" si="99"/>
        <v>61.46861816974539</v>
      </c>
      <c r="EM117" s="22">
        <f t="shared" si="73"/>
        <v>549.66062664564004</v>
      </c>
      <c r="EN117" s="62">
        <f t="shared" si="74"/>
        <v>842.99395997897341</v>
      </c>
      <c r="EO117" s="62">
        <f ca="1">AVERAGE(OFFSET($EN$3,0,0,'Données projet'!$E$15+1,1))-AVERAGE(OFFSET($H$3,0,0,'Données projet'!$E$15+1,1))</f>
        <v>406.24139966722936</v>
      </c>
      <c r="EP117" s="62">
        <f t="shared" si="100"/>
        <v>295.95724296920577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4.5</v>
      </c>
      <c r="FE117" s="13">
        <f>IF('Données projet'!$A$218&gt;35,FE116+FD117-FM116,IF(A117&lt;'Données projet'!$A$218,$FB$205^A117,IF(A117='Données projet'!$A$218,'Données projet'!$B$218,FE116+FD117-FM116)))</f>
        <v>324.99999999999977</v>
      </c>
      <c r="FF117" s="18">
        <f>FE117*VLOOKUP('Données projet'!$B$16,Paramètres!$A$1:$I$89,3,0)*VLOOKUP('Données projet'!$B$16,Paramètres!$A$1:$I$89,5,0)</f>
        <v>314.3399999999998</v>
      </c>
      <c r="FG117" s="14">
        <f t="shared" si="101"/>
        <v>74.174460221814144</v>
      </c>
      <c r="FH117" s="22">
        <f t="shared" si="76"/>
        <v>676.66268488632579</v>
      </c>
      <c r="FI117" s="62">
        <f t="shared" si="77"/>
        <v>969.99601821965916</v>
      </c>
      <c r="FJ117" s="62">
        <f ca="1">AVERAGE(OFFSET($FI$3,0,0,'Données projet'!$E$16+1,1))-AVERAGE(OFFSET($H$3,0,0,'Données projet'!$E$16+1,1))</f>
        <v>540.83352418045502</v>
      </c>
      <c r="FK117" s="62">
        <f t="shared" si="102"/>
        <v>294.45557293177131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1.1368683772161603E-13</v>
      </c>
      <c r="GA117" s="18">
        <f>FZ117*VLOOKUP('Données projet'!$B$17,Paramètres!$A$1:$I$89,3,0)*VLOOKUP('Données projet'!$B$17,Paramètres!$A$1:$I$89,5,0)</f>
        <v>8.8675733422860506E-14</v>
      </c>
      <c r="GB117" s="14">
        <f t="shared" si="103"/>
        <v>1.3509285393066301E-12</v>
      </c>
      <c r="GC117" s="22">
        <f t="shared" si="79"/>
        <v>2.5073107750038623E-12</v>
      </c>
      <c r="GD117" s="62">
        <f t="shared" si="80"/>
        <v>293.33333333333582</v>
      </c>
      <c r="GE117" s="62">
        <f ca="1">AVERAGE(OFFSET($GD$3,0,0,'Données projet'!$E$17+1,1))-AVERAGE(OFFSET($H$3,0,0,'Données projet'!$E$17+1,1))</f>
        <v>292.57482726862594</v>
      </c>
      <c r="GF117" s="62">
        <f t="shared" si="104"/>
        <v>283.48738729114024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3.979039320256561E-13</v>
      </c>
      <c r="GV117" s="18">
        <f>GU117*VLOOKUP('Données projet'!$B$18,Paramètres!$A$1:$I$89,3,0)*VLOOKUP('Données projet'!$B$18,Paramètres!$A$1:$I$89,5,0)</f>
        <v>2.669139576028101E-13</v>
      </c>
      <c r="GW117" s="14">
        <f t="shared" si="105"/>
        <v>3.5767923834585247E-12</v>
      </c>
      <c r="GX117" s="22">
        <f t="shared" si="82"/>
        <v>6.6944552106818241E-12</v>
      </c>
      <c r="GY117" s="62">
        <f t="shared" si="83"/>
        <v>293.33333333334002</v>
      </c>
      <c r="GZ117" s="62">
        <f ca="1">AVERAGE(OFFSET($GY$3,0,0,'Données projet'!$E$18+1,1))-AVERAGE(OFFSET($H$3,0,0,'Données projet'!$E$18+1,1))</f>
        <v>343.33067866534634</v>
      </c>
      <c r="HA117" s="62">
        <f t="shared" si="106"/>
        <v>261.91036689641402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329.49999999999977</v>
      </c>
      <c r="O118" s="14">
        <f>N118*VLOOKUP('Données projet'!$B$9,Paramètres!$A$1:$I$89,3,0)*VLOOKUP('Données projet'!$B$9,Paramètres!$A$1:$I$89,5,0)</f>
        <v>298.13159999999976</v>
      </c>
      <c r="P118" s="14">
        <f t="shared" si="87"/>
        <v>70.784632764375971</v>
      </c>
      <c r="Q118" s="22">
        <f t="shared" si="107"/>
        <v>642.52910539795437</v>
      </c>
      <c r="R118" s="62">
        <f t="shared" si="55"/>
        <v>935.86243873128774</v>
      </c>
      <c r="S118" s="62">
        <f ca="1">AVERAGE(OFFSET($R$3,0,0,'Données projet'!$E$9+1,1))-AVERAGE(OFFSET($H$3,0,0,'Données projet'!$E$9+1,1))</f>
        <v>508.77990078889337</v>
      </c>
      <c r="T118" s="62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4.5</v>
      </c>
      <c r="AI118" s="14">
        <f>IF('Données projet'!$A$62&gt;35,AI117+AH118-AQ117,IF(A118&lt;'Données projet'!$A$62,$AF$205^A118,IF(A118='Données projet'!$A$62,'Données projet'!$B$62,AI117+AH118-AQ117)))</f>
        <v>329.49999999999977</v>
      </c>
      <c r="AJ118" s="14">
        <f>AI118*VLOOKUP('Données projet'!$B$10,Paramètres!$A$1:$I$89,3,0)*VLOOKUP('Données projet'!$B$10,Paramètres!$A$1:$I$89,5,0)</f>
        <v>334.11299999999983</v>
      </c>
      <c r="AK118" s="14">
        <f t="shared" si="89"/>
        <v>78.282421302277939</v>
      </c>
      <c r="AL118" s="22">
        <f t="shared" si="58"/>
        <v>718.25535876813376</v>
      </c>
      <c r="AM118" s="62">
        <f t="shared" si="59"/>
        <v>1011.5886921014671</v>
      </c>
      <c r="AN118" s="62">
        <f ca="1">AVERAGE(OFFSET($AM$3,0,0,'Données projet'!$E$10+1,1))-AVERAGE(OFFSET($H$3,0,0,'Données projet'!$E$10+1,1))</f>
        <v>564.84596170333884</v>
      </c>
      <c r="AO118" s="62">
        <f t="shared" si="90"/>
        <v>306.61893266146666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-1.8089849618263545E-13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370.79299728190904</v>
      </c>
      <c r="BJ118" s="62">
        <f t="shared" si="92"/>
        <v>404.95703400805775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-1.8089849618263545E-13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370.79299728190904</v>
      </c>
      <c r="CE118" s="62">
        <f t="shared" si="94"/>
        <v>404.95703400805775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-1.7053025658242404E-13</v>
      </c>
      <c r="CU118" s="18">
        <f>CT118*VLOOKUP('Données projet'!$B$13,Paramètres!$A$1:$I$89,3,0)*VLOOKUP('Données projet'!$B$13,Paramètres!$A$1:$I$89,5,0)</f>
        <v>-1.4897523215040567E-13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339.58437495284466</v>
      </c>
      <c r="CZ118" s="62">
        <f t="shared" si="96"/>
        <v>371.26234252426531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-2.2737367544323206E-13</v>
      </c>
      <c r="DP118" s="18">
        <f>DO118*VLOOKUP('Données projet'!$B$14,Paramètres!$A$1:$I$89,3,0)*VLOOKUP('Données projet'!$B$14,Paramètres!$A$1:$I$89,5,0)</f>
        <v>-1.6671037883497774E-13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344.63665697794022</v>
      </c>
      <c r="DU118" s="62">
        <f t="shared" si="98"/>
        <v>376.72762011188041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3.141025641025641</v>
      </c>
      <c r="EJ118" s="13">
        <f>IF('Données projet'!$A$192&gt;35,EJ117+EI118-ER117,IF(A118&lt;'Données projet'!$A$192,$EG$205^A118,IF(A118='Données projet'!$A$192,'Données projet'!$B$192,EJ117+EI118-ER117)))</f>
        <v>270.19230769230779</v>
      </c>
      <c r="EK118" s="18">
        <f>EJ118*VLOOKUP('Données projet'!$B$15,Paramètres!$A$1:$I$89,3,0)*VLOOKUP('Données projet'!$B$15,Paramètres!$A$1:$I$89,5,0)</f>
        <v>257.11500000000007</v>
      </c>
      <c r="EL118" s="14">
        <f t="shared" si="99"/>
        <v>62.107013749759211</v>
      </c>
      <c r="EM118" s="22">
        <f t="shared" si="73"/>
        <v>555.97834061416404</v>
      </c>
      <c r="EN118" s="62">
        <f t="shared" si="74"/>
        <v>849.31167394749741</v>
      </c>
      <c r="EO118" s="62">
        <f ca="1">AVERAGE(OFFSET($EN$3,0,0,'Données projet'!$E$15+1,1))-AVERAGE(OFFSET($H$3,0,0,'Données projet'!$E$15+1,1))</f>
        <v>406.24139966722936</v>
      </c>
      <c r="EP118" s="62">
        <f t="shared" si="100"/>
        <v>295.95724296920577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4.5</v>
      </c>
      <c r="FE118" s="13">
        <f>IF('Données projet'!$A$218&gt;35,FE117+FD118-FM117,IF(A118&lt;'Données projet'!$A$218,$FB$205^A118,IF(A118='Données projet'!$A$218,'Données projet'!$B$218,FE117+FD118-FM117)))</f>
        <v>329.49999999999977</v>
      </c>
      <c r="FF118" s="18">
        <f>FE118*VLOOKUP('Données projet'!$B$16,Paramètres!$A$1:$I$89,3,0)*VLOOKUP('Données projet'!$B$16,Paramètres!$A$1:$I$89,5,0)</f>
        <v>318.69239999999979</v>
      </c>
      <c r="FG118" s="14">
        <f t="shared" si="101"/>
        <v>75.081217250277518</v>
      </c>
      <c r="FH118" s="22">
        <f t="shared" si="76"/>
        <v>685.82238337756633</v>
      </c>
      <c r="FI118" s="62">
        <f t="shared" si="77"/>
        <v>979.1557167108997</v>
      </c>
      <c r="FJ118" s="62">
        <f ca="1">AVERAGE(OFFSET($FI$3,0,0,'Données projet'!$E$16+1,1))-AVERAGE(OFFSET($H$3,0,0,'Données projet'!$E$16+1,1))</f>
        <v>540.83352418045502</v>
      </c>
      <c r="FK118" s="62">
        <f t="shared" si="102"/>
        <v>294.45557293177131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1.1368683772161603E-13</v>
      </c>
      <c r="GA118" s="18">
        <f>FZ118*VLOOKUP('Données projet'!$B$17,Paramètres!$A$1:$I$89,3,0)*VLOOKUP('Données projet'!$B$17,Paramètres!$A$1:$I$89,5,0)</f>
        <v>8.8675733422860506E-14</v>
      </c>
      <c r="GB118" s="14">
        <f t="shared" si="103"/>
        <v>1.3509285393066301E-12</v>
      </c>
      <c r="GC118" s="22">
        <f t="shared" si="79"/>
        <v>2.5073107750038623E-12</v>
      </c>
      <c r="GD118" s="62">
        <f t="shared" si="80"/>
        <v>293.33333333333582</v>
      </c>
      <c r="GE118" s="62">
        <f ca="1">AVERAGE(OFFSET($GD$3,0,0,'Données projet'!$E$17+1,1))-AVERAGE(OFFSET($H$3,0,0,'Données projet'!$E$17+1,1))</f>
        <v>292.57482726862594</v>
      </c>
      <c r="GF118" s="62">
        <f t="shared" si="104"/>
        <v>283.48738729114024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3.979039320256561E-13</v>
      </c>
      <c r="GV118" s="18">
        <f>GU118*VLOOKUP('Données projet'!$B$18,Paramètres!$A$1:$I$89,3,0)*VLOOKUP('Données projet'!$B$18,Paramètres!$A$1:$I$89,5,0)</f>
        <v>2.669139576028101E-13</v>
      </c>
      <c r="GW118" s="14">
        <f t="shared" si="105"/>
        <v>3.5767923834585247E-12</v>
      </c>
      <c r="GX118" s="22">
        <f t="shared" si="82"/>
        <v>6.6944552106818241E-12</v>
      </c>
      <c r="GY118" s="62">
        <f t="shared" si="83"/>
        <v>293.33333333334002</v>
      </c>
      <c r="GZ118" s="62">
        <f ca="1">AVERAGE(OFFSET($GY$3,0,0,'Données projet'!$E$18+1,1))-AVERAGE(OFFSET($H$3,0,0,'Données projet'!$E$18+1,1))</f>
        <v>343.33067866534634</v>
      </c>
      <c r="HA118" s="62">
        <f t="shared" si="106"/>
        <v>261.91036689641402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333.99999999999977</v>
      </c>
      <c r="O119" s="14">
        <f>N119*VLOOKUP('Données projet'!$B$9,Paramètres!$A$1:$I$89,3,0)*VLOOKUP('Données projet'!$B$9,Paramètres!$A$1:$I$89,5,0)</f>
        <v>302.20319999999981</v>
      </c>
      <c r="P119" s="14">
        <f t="shared" si="87"/>
        <v>71.638141943842228</v>
      </c>
      <c r="Q119" s="22">
        <f t="shared" si="107"/>
        <v>651.10700388552482</v>
      </c>
      <c r="R119" s="62">
        <f t="shared" si="55"/>
        <v>944.44033721885808</v>
      </c>
      <c r="S119" s="62">
        <f ca="1">AVERAGE(OFFSET($R$3,0,0,'Données projet'!$E$9+1,1))-AVERAGE(OFFSET($H$3,0,0,'Données projet'!$E$9+1,1))</f>
        <v>508.77990078889337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4.5</v>
      </c>
      <c r="AI119" s="14">
        <f>IF('Données projet'!$A$62&gt;35,AI118+AH119-AQ118,IF(A119&lt;'Données projet'!$A$62,$AF$205^A119,IF(A119='Données projet'!$A$62,'Données projet'!$B$62,AI118+AH119-AQ118)))</f>
        <v>333.99999999999977</v>
      </c>
      <c r="AJ119" s="14">
        <f>AI119*VLOOKUP('Données projet'!$B$10,Paramètres!$A$1:$I$89,3,0)*VLOOKUP('Données projet'!$B$10,Paramètres!$A$1:$I$89,5,0)</f>
        <v>338.67599999999976</v>
      </c>
      <c r="AK119" s="14">
        <f t="shared" si="89"/>
        <v>79.226337553065648</v>
      </c>
      <c r="AL119" s="22">
        <f t="shared" si="58"/>
        <v>727.84657123825571</v>
      </c>
      <c r="AM119" s="62">
        <f t="shared" si="59"/>
        <v>1021.1799045715891</v>
      </c>
      <c r="AN119" s="62">
        <f ca="1">AVERAGE(OFFSET($AM$3,0,0,'Données projet'!$E$10+1,1))-AVERAGE(OFFSET($H$3,0,0,'Données projet'!$E$10+1,1))</f>
        <v>564.84596170333884</v>
      </c>
      <c r="AO119" s="62">
        <f t="shared" si="90"/>
        <v>306.61893266146666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-1.8089849618263545E-13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370.79299728190904</v>
      </c>
      <c r="BJ119" s="62">
        <f t="shared" si="92"/>
        <v>404.95703400805775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-1.8089849618263545E-13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370.79299728190904</v>
      </c>
      <c r="CE119" s="62">
        <f t="shared" si="94"/>
        <v>404.95703400805775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-1.7053025658242404E-13</v>
      </c>
      <c r="CU119" s="18">
        <f>CT119*VLOOKUP('Données projet'!$B$13,Paramètres!$A$1:$I$89,3,0)*VLOOKUP('Données projet'!$B$13,Paramètres!$A$1:$I$89,5,0)</f>
        <v>-1.4897523215040567E-13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339.58437495284466</v>
      </c>
      <c r="CZ119" s="62">
        <f t="shared" si="96"/>
        <v>371.26234252426531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-2.2737367544323206E-13</v>
      </c>
      <c r="DP119" s="18">
        <f>DO119*VLOOKUP('Données projet'!$B$14,Paramètres!$A$1:$I$89,3,0)*VLOOKUP('Données projet'!$B$14,Paramètres!$A$1:$I$89,5,0)</f>
        <v>-1.6671037883497774E-13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344.63665697794022</v>
      </c>
      <c r="DU119" s="62">
        <f t="shared" si="98"/>
        <v>376.72762011188041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3.141025641025641</v>
      </c>
      <c r="EJ119" s="13">
        <f>IF('Données projet'!$A$192&gt;35,EJ118+EI119-ER118,IF(A119&lt;'Données projet'!$A$192,$EG$205^A119,IF(A119='Données projet'!$A$192,'Données projet'!$B$192,EJ118+EI119-ER118)))</f>
        <v>273.33333333333343</v>
      </c>
      <c r="EK119" s="18">
        <f>EJ119*VLOOKUP('Données projet'!$B$15,Paramètres!$A$1:$I$89,3,0)*VLOOKUP('Données projet'!$B$15,Paramètres!$A$1:$I$89,5,0)</f>
        <v>260.1040000000001</v>
      </c>
      <c r="EL119" s="14">
        <f t="shared" si="99"/>
        <v>62.744546037419411</v>
      </c>
      <c r="EM119" s="22">
        <f t="shared" si="73"/>
        <v>562.29455101517226</v>
      </c>
      <c r="EN119" s="62">
        <f t="shared" si="74"/>
        <v>855.62788434850563</v>
      </c>
      <c r="EO119" s="62">
        <f ca="1">AVERAGE(OFFSET($EN$3,0,0,'Données projet'!$E$15+1,1))-AVERAGE(OFFSET($H$3,0,0,'Données projet'!$E$15+1,1))</f>
        <v>406.24139966722936</v>
      </c>
      <c r="EP119" s="62">
        <f t="shared" si="100"/>
        <v>295.95724296920577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4.5</v>
      </c>
      <c r="FE119" s="13">
        <f>IF('Données projet'!$A$218&gt;35,FE118+FD119-FM118,IF(A119&lt;'Données projet'!$A$218,$FB$205^A119,IF(A119='Données projet'!$A$218,'Données projet'!$B$218,FE118+FD119-FM118)))</f>
        <v>333.99999999999977</v>
      </c>
      <c r="FF119" s="18">
        <f>FE119*VLOOKUP('Données projet'!$B$16,Paramètres!$A$1:$I$89,3,0)*VLOOKUP('Données projet'!$B$16,Paramètres!$A$1:$I$89,5,0)</f>
        <v>323.04479999999978</v>
      </c>
      <c r="FG119" s="14">
        <f t="shared" si="101"/>
        <v>75.986533921791832</v>
      </c>
      <c r="FH119" s="22">
        <f t="shared" si="76"/>
        <v>694.97957324712036</v>
      </c>
      <c r="FI119" s="62">
        <f t="shared" si="77"/>
        <v>988.31290658045373</v>
      </c>
      <c r="FJ119" s="62">
        <f ca="1">AVERAGE(OFFSET($FI$3,0,0,'Données projet'!$E$16+1,1))-AVERAGE(OFFSET($H$3,0,0,'Données projet'!$E$16+1,1))</f>
        <v>540.83352418045502</v>
      </c>
      <c r="FK119" s="62">
        <f t="shared" si="102"/>
        <v>294.45557293177131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1.1368683772161603E-13</v>
      </c>
      <c r="GA119" s="18">
        <f>FZ119*VLOOKUP('Données projet'!$B$17,Paramètres!$A$1:$I$89,3,0)*VLOOKUP('Données projet'!$B$17,Paramètres!$A$1:$I$89,5,0)</f>
        <v>8.8675733422860506E-14</v>
      </c>
      <c r="GB119" s="14">
        <f t="shared" si="103"/>
        <v>1.3509285393066301E-12</v>
      </c>
      <c r="GC119" s="22">
        <f t="shared" si="79"/>
        <v>2.5073107750038623E-12</v>
      </c>
      <c r="GD119" s="62">
        <f t="shared" si="80"/>
        <v>293.33333333333582</v>
      </c>
      <c r="GE119" s="62">
        <f ca="1">AVERAGE(OFFSET($GD$3,0,0,'Données projet'!$E$17+1,1))-AVERAGE(OFFSET($H$3,0,0,'Données projet'!$E$17+1,1))</f>
        <v>292.57482726862594</v>
      </c>
      <c r="GF119" s="62">
        <f t="shared" si="104"/>
        <v>283.48738729114024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3.979039320256561E-13</v>
      </c>
      <c r="GV119" s="18">
        <f>GU119*VLOOKUP('Données projet'!$B$18,Paramètres!$A$1:$I$89,3,0)*VLOOKUP('Données projet'!$B$18,Paramètres!$A$1:$I$89,5,0)</f>
        <v>2.669139576028101E-13</v>
      </c>
      <c r="GW119" s="14">
        <f t="shared" si="105"/>
        <v>3.5767923834585247E-12</v>
      </c>
      <c r="GX119" s="22">
        <f t="shared" si="82"/>
        <v>6.6944552106818241E-12</v>
      </c>
      <c r="GY119" s="62">
        <f t="shared" si="83"/>
        <v>293.33333333334002</v>
      </c>
      <c r="GZ119" s="62">
        <f ca="1">AVERAGE(OFFSET($GY$3,0,0,'Données projet'!$E$18+1,1))-AVERAGE(OFFSET($H$3,0,0,'Données projet'!$E$18+1,1))</f>
        <v>343.33067866534634</v>
      </c>
      <c r="HA119" s="62">
        <f t="shared" si="106"/>
        <v>261.91036689641402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338.49999999999977</v>
      </c>
      <c r="O120" s="14">
        <f>N120*VLOOKUP('Données projet'!$B$9,Paramètres!$A$1:$I$89,3,0)*VLOOKUP('Données projet'!$B$9,Paramètres!$A$1:$I$89,5,0)</f>
        <v>306.27479999999974</v>
      </c>
      <c r="P120" s="14">
        <f t="shared" si="87"/>
        <v>72.490313602282981</v>
      </c>
      <c r="Q120" s="22">
        <f t="shared" si="107"/>
        <v>659.68257285730908</v>
      </c>
      <c r="R120" s="62">
        <f t="shared" si="55"/>
        <v>953.01590619064245</v>
      </c>
      <c r="S120" s="62">
        <f ca="1">AVERAGE(OFFSET($R$3,0,0,'Données projet'!$E$9+1,1))-AVERAGE(OFFSET($H$3,0,0,'Données projet'!$E$9+1,1))</f>
        <v>508.77990078889337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4.5</v>
      </c>
      <c r="AI120" s="14">
        <f>IF('Données projet'!$A$62&gt;35,AI119+AH120-AQ119,IF(A120&lt;'Données projet'!$A$62,$AF$205^A120,IF(A120='Données projet'!$A$62,'Données projet'!$B$62,AI119+AH120-AQ119)))</f>
        <v>338.49999999999977</v>
      </c>
      <c r="AJ120" s="14">
        <f>AI120*VLOOKUP('Données projet'!$B$10,Paramètres!$A$1:$I$89,3,0)*VLOOKUP('Données projet'!$B$10,Paramètres!$A$1:$I$89,5,0)</f>
        <v>343.23899999999981</v>
      </c>
      <c r="AK120" s="14">
        <f t="shared" si="89"/>
        <v>80.168774607305807</v>
      </c>
      <c r="AL120" s="22">
        <f t="shared" si="58"/>
        <v>737.43520744105729</v>
      </c>
      <c r="AM120" s="62">
        <f t="shared" si="59"/>
        <v>1030.7685407743907</v>
      </c>
      <c r="AN120" s="62">
        <f ca="1">AVERAGE(OFFSET($AM$3,0,0,'Données projet'!$E$10+1,1))-AVERAGE(OFFSET($H$3,0,0,'Données projet'!$E$10+1,1))</f>
        <v>564.84596170333884</v>
      </c>
      <c r="AO120" s="62">
        <f t="shared" si="90"/>
        <v>306.61893266146666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-1.8089849618263545E-13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370.79299728190904</v>
      </c>
      <c r="BJ120" s="62">
        <f t="shared" si="92"/>
        <v>404.95703400805775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-1.8089849618263545E-13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370.79299728190904</v>
      </c>
      <c r="CE120" s="62">
        <f t="shared" si="94"/>
        <v>404.95703400805775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-1.7053025658242404E-13</v>
      </c>
      <c r="CU120" s="18">
        <f>CT120*VLOOKUP('Données projet'!$B$13,Paramètres!$A$1:$I$89,3,0)*VLOOKUP('Données projet'!$B$13,Paramètres!$A$1:$I$89,5,0)</f>
        <v>-1.4897523215040567E-13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339.58437495284466</v>
      </c>
      <c r="CZ120" s="62">
        <f t="shared" si="96"/>
        <v>371.26234252426531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-2.2737367544323206E-13</v>
      </c>
      <c r="DP120" s="18">
        <f>DO120*VLOOKUP('Données projet'!$B$14,Paramètres!$A$1:$I$89,3,0)*VLOOKUP('Données projet'!$B$14,Paramètres!$A$1:$I$89,5,0)</f>
        <v>-1.6671037883497774E-13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344.63665697794022</v>
      </c>
      <c r="DU120" s="62">
        <f t="shared" si="98"/>
        <v>376.72762011188041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3.141025641025641</v>
      </c>
      <c r="EJ120" s="13">
        <f>IF('Données projet'!$A$192&gt;35,EJ119+EI120-ER119,IF(A120&lt;'Données projet'!$A$192,$EG$205^A120,IF(A120='Données projet'!$A$192,'Données projet'!$B$192,EJ119+EI120-ER119)))</f>
        <v>276.47435897435906</v>
      </c>
      <c r="EK120" s="18">
        <f>EJ120*VLOOKUP('Données projet'!$B$15,Paramètres!$A$1:$I$89,3,0)*VLOOKUP('Données projet'!$B$15,Paramètres!$A$1:$I$89,5,0)</f>
        <v>263.09300000000007</v>
      </c>
      <c r="EL120" s="14">
        <f t="shared" si="99"/>
        <v>63.381226101139966</v>
      </c>
      <c r="EM120" s="22">
        <f t="shared" si="73"/>
        <v>568.60927712615228</v>
      </c>
      <c r="EN120" s="62">
        <f t="shared" si="74"/>
        <v>861.94261045948565</v>
      </c>
      <c r="EO120" s="62">
        <f ca="1">AVERAGE(OFFSET($EN$3,0,0,'Données projet'!$E$15+1,1))-AVERAGE(OFFSET($H$3,0,0,'Données projet'!$E$15+1,1))</f>
        <v>406.24139966722936</v>
      </c>
      <c r="EP120" s="62">
        <f t="shared" si="100"/>
        <v>295.95724296920577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4.5</v>
      </c>
      <c r="FE120" s="13">
        <f>IF('Données projet'!$A$218&gt;35,FE119+FD120-FM119,IF(A120&lt;'Données projet'!$A$218,$FB$205^A120,IF(A120='Données projet'!$A$218,'Données projet'!$B$218,FE119+FD120-FM119)))</f>
        <v>338.49999999999977</v>
      </c>
      <c r="FF120" s="18">
        <f>FE120*VLOOKUP('Données projet'!$B$16,Paramètres!$A$1:$I$89,3,0)*VLOOKUP('Données projet'!$B$16,Paramètres!$A$1:$I$89,5,0)</f>
        <v>327.39719999999977</v>
      </c>
      <c r="FG120" s="14">
        <f t="shared" si="101"/>
        <v>76.890431885561796</v>
      </c>
      <c r="FH120" s="22">
        <f t="shared" si="76"/>
        <v>704.13429220068622</v>
      </c>
      <c r="FI120" s="62">
        <f t="shared" si="77"/>
        <v>997.46762553401959</v>
      </c>
      <c r="FJ120" s="62">
        <f ca="1">AVERAGE(OFFSET($FI$3,0,0,'Données projet'!$E$16+1,1))-AVERAGE(OFFSET($H$3,0,0,'Données projet'!$E$16+1,1))</f>
        <v>540.83352418045502</v>
      </c>
      <c r="FK120" s="62">
        <f t="shared" si="102"/>
        <v>294.45557293177131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1.1368683772161603E-13</v>
      </c>
      <c r="GA120" s="18">
        <f>FZ120*VLOOKUP('Données projet'!$B$17,Paramètres!$A$1:$I$89,3,0)*VLOOKUP('Données projet'!$B$17,Paramètres!$A$1:$I$89,5,0)</f>
        <v>8.8675733422860506E-14</v>
      </c>
      <c r="GB120" s="14">
        <f t="shared" si="103"/>
        <v>1.3509285393066301E-12</v>
      </c>
      <c r="GC120" s="22">
        <f t="shared" si="79"/>
        <v>2.5073107750038623E-12</v>
      </c>
      <c r="GD120" s="62">
        <f t="shared" si="80"/>
        <v>293.33333333333582</v>
      </c>
      <c r="GE120" s="62">
        <f ca="1">AVERAGE(OFFSET($GD$3,0,0,'Données projet'!$E$17+1,1))-AVERAGE(OFFSET($H$3,0,0,'Données projet'!$E$17+1,1))</f>
        <v>292.57482726862594</v>
      </c>
      <c r="GF120" s="62">
        <f t="shared" si="104"/>
        <v>283.48738729114024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3.979039320256561E-13</v>
      </c>
      <c r="GV120" s="18">
        <f>GU120*VLOOKUP('Données projet'!$B$18,Paramètres!$A$1:$I$89,3,0)*VLOOKUP('Données projet'!$B$18,Paramètres!$A$1:$I$89,5,0)</f>
        <v>2.669139576028101E-13</v>
      </c>
      <c r="GW120" s="14">
        <f t="shared" si="105"/>
        <v>3.5767923834585247E-12</v>
      </c>
      <c r="GX120" s="22">
        <f t="shared" si="82"/>
        <v>6.6944552106818241E-12</v>
      </c>
      <c r="GY120" s="62">
        <f t="shared" si="83"/>
        <v>293.33333333334002</v>
      </c>
      <c r="GZ120" s="62">
        <f ca="1">AVERAGE(OFFSET($GY$3,0,0,'Données projet'!$E$18+1,1))-AVERAGE(OFFSET($H$3,0,0,'Données projet'!$E$18+1,1))</f>
        <v>343.33067866534634</v>
      </c>
      <c r="HA120" s="62">
        <f t="shared" si="106"/>
        <v>261.91036689641402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342.99999999999977</v>
      </c>
      <c r="O121" s="14">
        <f>N121*VLOOKUP('Données projet'!$B$9,Paramètres!$A$1:$I$89,3,0)*VLOOKUP('Données projet'!$B$9,Paramètres!$A$1:$I$89,5,0)</f>
        <v>310.34639999999979</v>
      </c>
      <c r="P121" s="14">
        <f t="shared" si="87"/>
        <v>73.341167576152998</v>
      </c>
      <c r="Q121" s="22">
        <f t="shared" si="107"/>
        <v>668.25584686179945</v>
      </c>
      <c r="R121" s="62">
        <f t="shared" si="55"/>
        <v>961.58918019513271</v>
      </c>
      <c r="S121" s="62">
        <f ca="1">AVERAGE(OFFSET($R$3,0,0,'Données projet'!$E$9+1,1))-AVERAGE(OFFSET($H$3,0,0,'Données projet'!$E$9+1,1))</f>
        <v>508.77990078889337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4.5</v>
      </c>
      <c r="AI121" s="14">
        <f>IF('Données projet'!$A$62&gt;35,AI120+AH121-AQ120,IF(A121&lt;'Données projet'!$A$62,$AF$205^A121,IF(A121='Données projet'!$A$62,'Données projet'!$B$62,AI120+AH121-AQ120)))</f>
        <v>342.99999999999977</v>
      </c>
      <c r="AJ121" s="14">
        <f>AI121*VLOOKUP('Données projet'!$B$10,Paramètres!$A$1:$I$89,3,0)*VLOOKUP('Données projet'!$B$10,Paramètres!$A$1:$I$89,5,0)</f>
        <v>347.80199999999979</v>
      </c>
      <c r="AK121" s="14">
        <f t="shared" si="89"/>
        <v>81.109754402608502</v>
      </c>
      <c r="AL121" s="22">
        <f t="shared" si="58"/>
        <v>747.02130558454257</v>
      </c>
      <c r="AM121" s="62">
        <f t="shared" si="59"/>
        <v>1040.3546389178759</v>
      </c>
      <c r="AN121" s="62">
        <f ca="1">AVERAGE(OFFSET($AM$3,0,0,'Données projet'!$E$10+1,1))-AVERAGE(OFFSET($H$3,0,0,'Données projet'!$E$10+1,1))</f>
        <v>564.84596170333884</v>
      </c>
      <c r="AO121" s="62">
        <f t="shared" si="90"/>
        <v>306.61893266146666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-1.8089849618263545E-13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370.79299728190904</v>
      </c>
      <c r="BJ121" s="62">
        <f t="shared" si="92"/>
        <v>404.95703400805775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-1.8089849618263545E-13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370.79299728190904</v>
      </c>
      <c r="CE121" s="62">
        <f t="shared" si="94"/>
        <v>404.95703400805775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-1.7053025658242404E-13</v>
      </c>
      <c r="CU121" s="18">
        <f>CT121*VLOOKUP('Données projet'!$B$13,Paramètres!$A$1:$I$89,3,0)*VLOOKUP('Données projet'!$B$13,Paramètres!$A$1:$I$89,5,0)</f>
        <v>-1.4897523215040567E-13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339.58437495284466</v>
      </c>
      <c r="CZ121" s="62">
        <f t="shared" si="96"/>
        <v>371.26234252426531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-2.2737367544323206E-13</v>
      </c>
      <c r="DP121" s="18">
        <f>DO121*VLOOKUP('Données projet'!$B$14,Paramètres!$A$1:$I$89,3,0)*VLOOKUP('Données projet'!$B$14,Paramètres!$A$1:$I$89,5,0)</f>
        <v>-1.6671037883497774E-13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344.63665697794022</v>
      </c>
      <c r="DU121" s="62">
        <f t="shared" si="98"/>
        <v>376.72762011188041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3.141025641025641</v>
      </c>
      <c r="EJ121" s="13">
        <f>IF('Données projet'!$A$192&gt;35,EJ120+EI121-ER120,IF(A121&lt;'Données projet'!$A$192,$EG$205^A121,IF(A121='Données projet'!$A$192,'Données projet'!$B$192,EJ120+EI121-ER120)))</f>
        <v>279.6153846153847</v>
      </c>
      <c r="EK121" s="18">
        <f>EJ121*VLOOKUP('Données projet'!$B$15,Paramètres!$A$1:$I$89,3,0)*VLOOKUP('Données projet'!$B$15,Paramètres!$A$1:$I$89,5,0)</f>
        <v>266.08200000000005</v>
      </c>
      <c r="EL121" s="14">
        <f t="shared" si="99"/>
        <v>64.017064743360152</v>
      </c>
      <c r="EM121" s="22">
        <f t="shared" si="73"/>
        <v>574.92253776135237</v>
      </c>
      <c r="EN121" s="62">
        <f t="shared" si="74"/>
        <v>868.25587109468574</v>
      </c>
      <c r="EO121" s="62">
        <f ca="1">AVERAGE(OFFSET($EN$3,0,0,'Données projet'!$E$15+1,1))-AVERAGE(OFFSET($H$3,0,0,'Données projet'!$E$15+1,1))</f>
        <v>406.24139966722936</v>
      </c>
      <c r="EP121" s="62">
        <f t="shared" si="100"/>
        <v>295.95724296920577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4.5</v>
      </c>
      <c r="FE121" s="13">
        <f>IF('Données projet'!$A$218&gt;35,FE120+FD121-FM120,IF(A121&lt;'Données projet'!$A$218,$FB$205^A121,IF(A121='Données projet'!$A$218,'Données projet'!$B$218,FE120+FD121-FM120)))</f>
        <v>342.99999999999977</v>
      </c>
      <c r="FF121" s="18">
        <f>FE121*VLOOKUP('Données projet'!$B$16,Paramètres!$A$1:$I$89,3,0)*VLOOKUP('Données projet'!$B$16,Paramètres!$A$1:$I$89,5,0)</f>
        <v>331.74959999999976</v>
      </c>
      <c r="FG121" s="14">
        <f t="shared" si="101"/>
        <v>77.792932182102746</v>
      </c>
      <c r="FH121" s="22">
        <f t="shared" si="76"/>
        <v>713.28657688382839</v>
      </c>
      <c r="FI121" s="62">
        <f t="shared" si="77"/>
        <v>1006.6199102171618</v>
      </c>
      <c r="FJ121" s="62">
        <f ca="1">AVERAGE(OFFSET($FI$3,0,0,'Données projet'!$E$16+1,1))-AVERAGE(OFFSET($H$3,0,0,'Données projet'!$E$16+1,1))</f>
        <v>540.83352418045502</v>
      </c>
      <c r="FK121" s="62">
        <f t="shared" si="102"/>
        <v>294.45557293177131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1.1368683772161603E-13</v>
      </c>
      <c r="GA121" s="18">
        <f>FZ121*VLOOKUP('Données projet'!$B$17,Paramètres!$A$1:$I$89,3,0)*VLOOKUP('Données projet'!$B$17,Paramètres!$A$1:$I$89,5,0)</f>
        <v>8.8675733422860506E-14</v>
      </c>
      <c r="GB121" s="14">
        <f t="shared" si="103"/>
        <v>1.3509285393066301E-12</v>
      </c>
      <c r="GC121" s="22">
        <f t="shared" si="79"/>
        <v>2.5073107750038623E-12</v>
      </c>
      <c r="GD121" s="62">
        <f t="shared" si="80"/>
        <v>293.33333333333582</v>
      </c>
      <c r="GE121" s="62">
        <f ca="1">AVERAGE(OFFSET($GD$3,0,0,'Données projet'!$E$17+1,1))-AVERAGE(OFFSET($H$3,0,0,'Données projet'!$E$17+1,1))</f>
        <v>292.57482726862594</v>
      </c>
      <c r="GF121" s="62">
        <f t="shared" si="104"/>
        <v>283.48738729114024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3.979039320256561E-13</v>
      </c>
      <c r="GV121" s="18">
        <f>GU121*VLOOKUP('Données projet'!$B$18,Paramètres!$A$1:$I$89,3,0)*VLOOKUP('Données projet'!$B$18,Paramètres!$A$1:$I$89,5,0)</f>
        <v>2.669139576028101E-13</v>
      </c>
      <c r="GW121" s="14">
        <f t="shared" si="105"/>
        <v>3.5767923834585247E-12</v>
      </c>
      <c r="GX121" s="22">
        <f t="shared" si="82"/>
        <v>6.6944552106818241E-12</v>
      </c>
      <c r="GY121" s="62">
        <f t="shared" si="83"/>
        <v>293.33333333334002</v>
      </c>
      <c r="GZ121" s="62">
        <f ca="1">AVERAGE(OFFSET($GY$3,0,0,'Données projet'!$E$18+1,1))-AVERAGE(OFFSET($H$3,0,0,'Données projet'!$E$18+1,1))</f>
        <v>343.33067866534634</v>
      </c>
      <c r="HA121" s="62">
        <f t="shared" si="106"/>
        <v>261.91036689641402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347.49999999999977</v>
      </c>
      <c r="O122" s="14">
        <f>N122*VLOOKUP('Données projet'!$B$9,Paramètres!$A$1:$I$89,3,0)*VLOOKUP('Données projet'!$B$9,Paramètres!$A$1:$I$89,5,0)</f>
        <v>314.41799999999978</v>
      </c>
      <c r="P122" s="14">
        <f t="shared" si="87"/>
        <v>74.190723151497338</v>
      </c>
      <c r="Q122" s="22">
        <f t="shared" si="107"/>
        <v>676.82685948885739</v>
      </c>
      <c r="R122" s="62">
        <f t="shared" si="55"/>
        <v>970.16019282219077</v>
      </c>
      <c r="S122" s="62">
        <f ca="1">AVERAGE(OFFSET($R$3,0,0,'Données projet'!$E$9+1,1))-AVERAGE(OFFSET($H$3,0,0,'Données projet'!$E$9+1,1))</f>
        <v>508.77990078889337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4.5</v>
      </c>
      <c r="AI122" s="14">
        <f>IF('Données projet'!$A$62&gt;35,AI121+AH122-AQ121,IF(A122&lt;'Données projet'!$A$62,$AF$205^A122,IF(A122='Données projet'!$A$62,'Données projet'!$B$62,AI121+AH122-AQ121)))</f>
        <v>347.49999999999977</v>
      </c>
      <c r="AJ122" s="14">
        <f>AI122*VLOOKUP('Données projet'!$B$10,Paramètres!$A$1:$I$89,3,0)*VLOOKUP('Données projet'!$B$10,Paramètres!$A$1:$I$89,5,0)</f>
        <v>352.36499999999978</v>
      </c>
      <c r="AK122" s="14">
        <f t="shared" si="89"/>
        <v>82.049298267873581</v>
      </c>
      <c r="AL122" s="22">
        <f t="shared" si="58"/>
        <v>756.60490281654609</v>
      </c>
      <c r="AM122" s="62">
        <f t="shared" si="59"/>
        <v>1049.9382361498795</v>
      </c>
      <c r="AN122" s="62">
        <f ca="1">AVERAGE(OFFSET($AM$3,0,0,'Données projet'!$E$10+1,1))-AVERAGE(OFFSET($H$3,0,0,'Données projet'!$E$10+1,1))</f>
        <v>564.84596170333884</v>
      </c>
      <c r="AO122" s="62">
        <f t="shared" si="90"/>
        <v>306.61893266146666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-1.8089849618263545E-13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370.79299728190904</v>
      </c>
      <c r="BJ122" s="62">
        <f t="shared" si="92"/>
        <v>404.95703400805775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-1.8089849618263545E-13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370.79299728190904</v>
      </c>
      <c r="CE122" s="62">
        <f t="shared" si="94"/>
        <v>404.95703400805775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-1.7053025658242404E-13</v>
      </c>
      <c r="CU122" s="18">
        <f>CT122*VLOOKUP('Données projet'!$B$13,Paramètres!$A$1:$I$89,3,0)*VLOOKUP('Données projet'!$B$13,Paramètres!$A$1:$I$89,5,0)</f>
        <v>-1.4897523215040567E-13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339.58437495284466</v>
      </c>
      <c r="CZ122" s="62">
        <f t="shared" si="96"/>
        <v>371.26234252426531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-2.2737367544323206E-13</v>
      </c>
      <c r="DP122" s="18">
        <f>DO122*VLOOKUP('Données projet'!$B$14,Paramètres!$A$1:$I$89,3,0)*VLOOKUP('Données projet'!$B$14,Paramètres!$A$1:$I$89,5,0)</f>
        <v>-1.6671037883497774E-13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344.63665697794022</v>
      </c>
      <c r="DU122" s="62">
        <f t="shared" si="98"/>
        <v>376.72762011188041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3.141025641025641</v>
      </c>
      <c r="EJ122" s="13">
        <f>IF('Données projet'!$A$192&gt;35,EJ121+EI122-ER121,IF(A122&lt;'Données projet'!$A$192,$EG$205^A122,IF(A122='Données projet'!$A$192,'Données projet'!$B$192,EJ121+EI122-ER121)))</f>
        <v>282.75641025641033</v>
      </c>
      <c r="EK122" s="18">
        <f>EJ122*VLOOKUP('Données projet'!$B$15,Paramètres!$A$1:$I$89,3,0)*VLOOKUP('Données projet'!$B$15,Paramètres!$A$1:$I$89,5,0)</f>
        <v>269.07100000000008</v>
      </c>
      <c r="EL122" s="14">
        <f t="shared" si="99"/>
        <v>64.652072509850228</v>
      </c>
      <c r="EM122" s="22">
        <f t="shared" si="73"/>
        <v>581.2343512879894</v>
      </c>
      <c r="EN122" s="62">
        <f t="shared" si="74"/>
        <v>874.56768462132277</v>
      </c>
      <c r="EO122" s="62">
        <f ca="1">AVERAGE(OFFSET($EN$3,0,0,'Données projet'!$E$15+1,1))-AVERAGE(OFFSET($H$3,0,0,'Données projet'!$E$15+1,1))</f>
        <v>406.24139966722936</v>
      </c>
      <c r="EP122" s="62">
        <f t="shared" si="100"/>
        <v>295.95724296920577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4.5</v>
      </c>
      <c r="FE122" s="13">
        <f>IF('Données projet'!$A$218&gt;35,FE121+FD122-FM121,IF(A122&lt;'Données projet'!$A$218,$FB$205^A122,IF(A122='Données projet'!$A$218,'Données projet'!$B$218,FE121+FD122-FM121)))</f>
        <v>347.49999999999977</v>
      </c>
      <c r="FF122" s="18">
        <f>FE122*VLOOKUP('Données projet'!$B$16,Paramètres!$A$1:$I$89,3,0)*VLOOKUP('Données projet'!$B$16,Paramètres!$A$1:$I$89,5,0)</f>
        <v>336.10199999999975</v>
      </c>
      <c r="FG122" s="14">
        <f t="shared" si="101"/>
        <v>78.694055268111242</v>
      </c>
      <c r="FH122" s="22">
        <f t="shared" si="76"/>
        <v>722.4364629252932</v>
      </c>
      <c r="FI122" s="62">
        <f t="shared" si="77"/>
        <v>1015.7697962586265</v>
      </c>
      <c r="FJ122" s="62">
        <f ca="1">AVERAGE(OFFSET($FI$3,0,0,'Données projet'!$E$16+1,1))-AVERAGE(OFFSET($H$3,0,0,'Données projet'!$E$16+1,1))</f>
        <v>540.83352418045502</v>
      </c>
      <c r="FK122" s="62">
        <f t="shared" si="102"/>
        <v>294.45557293177131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1.1368683772161603E-13</v>
      </c>
      <c r="GA122" s="18">
        <f>FZ122*VLOOKUP('Données projet'!$B$17,Paramètres!$A$1:$I$89,3,0)*VLOOKUP('Données projet'!$B$17,Paramètres!$A$1:$I$89,5,0)</f>
        <v>8.8675733422860506E-14</v>
      </c>
      <c r="GB122" s="14">
        <f t="shared" si="103"/>
        <v>1.3509285393066301E-12</v>
      </c>
      <c r="GC122" s="22">
        <f t="shared" si="79"/>
        <v>2.5073107750038623E-12</v>
      </c>
      <c r="GD122" s="62">
        <f t="shared" si="80"/>
        <v>293.33333333333582</v>
      </c>
      <c r="GE122" s="62">
        <f ca="1">AVERAGE(OFFSET($GD$3,0,0,'Données projet'!$E$17+1,1))-AVERAGE(OFFSET($H$3,0,0,'Données projet'!$E$17+1,1))</f>
        <v>292.57482726862594</v>
      </c>
      <c r="GF122" s="62">
        <f t="shared" si="104"/>
        <v>283.48738729114024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3.979039320256561E-13</v>
      </c>
      <c r="GV122" s="18">
        <f>GU122*VLOOKUP('Données projet'!$B$18,Paramètres!$A$1:$I$89,3,0)*VLOOKUP('Données projet'!$B$18,Paramètres!$A$1:$I$89,5,0)</f>
        <v>2.669139576028101E-13</v>
      </c>
      <c r="GW122" s="14">
        <f t="shared" si="105"/>
        <v>3.5767923834585247E-12</v>
      </c>
      <c r="GX122" s="22">
        <f t="shared" si="82"/>
        <v>6.6944552106818241E-12</v>
      </c>
      <c r="GY122" s="62">
        <f t="shared" si="83"/>
        <v>293.33333333334002</v>
      </c>
      <c r="GZ122" s="62">
        <f ca="1">AVERAGE(OFFSET($GY$3,0,0,'Données projet'!$E$18+1,1))-AVERAGE(OFFSET($H$3,0,0,'Données projet'!$E$18+1,1))</f>
        <v>343.33067866534634</v>
      </c>
      <c r="HA122" s="62">
        <f t="shared" si="106"/>
        <v>261.91036689641402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351.99999999999977</v>
      </c>
      <c r="O123" s="14">
        <f>N123*VLOOKUP('Données projet'!$B$9,Paramètres!$A$1:$I$89,3,0)*VLOOKUP('Données projet'!$B$9,Paramètres!$A$1:$I$89,5,0)</f>
        <v>318.48959999999977</v>
      </c>
      <c r="P123" s="14">
        <f t="shared" si="87"/>
        <v>75.038999086150227</v>
      </c>
      <c r="Q123" s="22">
        <f t="shared" si="107"/>
        <v>685.39564340837785</v>
      </c>
      <c r="R123" s="62">
        <f t="shared" si="55"/>
        <v>978.72897674171122</v>
      </c>
      <c r="S123" s="62">
        <f ca="1">AVERAGE(OFFSET($R$3,0,0,'Données projet'!$E$9+1,1))-AVERAGE(OFFSET($H$3,0,0,'Données projet'!$E$9+1,1))</f>
        <v>508.77990078889337</v>
      </c>
      <c r="T123" s="62">
        <f t="shared" si="88"/>
        <v>278.21741231699929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352</v>
      </c>
      <c r="AG123" s="13">
        <f>VLOOKUP(A123,'Données projet'!$A$61:$I$81,9,0)</f>
        <v>4.5</v>
      </c>
      <c r="AH123" s="13">
        <f t="array" ref="AH123">INDEX(AG:AG,MIN(IF(ISNUMBER(AG123:AG319),ROW(AG123:AG319),"")))</f>
        <v>4.5</v>
      </c>
      <c r="AI123" s="14">
        <f>IF('Données projet'!$A$62&gt;35,AI122+AH123-AQ122,IF(A123&lt;'Données projet'!$A$62,$AF$205^A123,IF(A123='Données projet'!$A$62,'Données projet'!$B$62,AI122+AH123-AQ122)))</f>
        <v>351.99999999999977</v>
      </c>
      <c r="AJ123" s="14">
        <f>AI123*VLOOKUP('Données projet'!$B$10,Paramètres!$A$1:$I$89,3,0)*VLOOKUP('Données projet'!$B$10,Paramètres!$A$1:$I$89,5,0)</f>
        <v>356.92799999999983</v>
      </c>
      <c r="AK123" s="14">
        <f t="shared" si="89"/>
        <v>82.987426947838912</v>
      </c>
      <c r="AL123" s="22">
        <f t="shared" si="58"/>
        <v>766.18603526748575</v>
      </c>
      <c r="AM123" s="62">
        <f t="shared" si="59"/>
        <v>1059.519368600819</v>
      </c>
      <c r="AN123" s="62">
        <f ca="1">AVERAGE(OFFSET($AM$3,0,0,'Données projet'!$E$10+1,1))-AVERAGE(OFFSET($H$3,0,0,'Données projet'!$E$10+1,1))</f>
        <v>564.84596170333884</v>
      </c>
      <c r="AO123" s="62">
        <f t="shared" si="90"/>
        <v>306.61893266146666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47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-1.8089849618263545E-13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370.79299728190904</v>
      </c>
      <c r="BJ123" s="62">
        <f t="shared" si="92"/>
        <v>404.95703400805775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-1.8089849618263545E-13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370.79299728190904</v>
      </c>
      <c r="CE123" s="62">
        <f t="shared" si="94"/>
        <v>404.95703400805775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-1.7053025658242404E-13</v>
      </c>
      <c r="CU123" s="18">
        <f>CT123*VLOOKUP('Données projet'!$B$13,Paramètres!$A$1:$I$89,3,0)*VLOOKUP('Données projet'!$B$13,Paramètres!$A$1:$I$89,5,0)</f>
        <v>-1.4897523215040567E-13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339.58437495284466</v>
      </c>
      <c r="CZ123" s="62">
        <f t="shared" si="96"/>
        <v>371.26234252426531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-2.2737367544323206E-13</v>
      </c>
      <c r="DP123" s="18">
        <f>DO123*VLOOKUP('Données projet'!$B$14,Paramètres!$A$1:$I$89,3,0)*VLOOKUP('Données projet'!$B$14,Paramètres!$A$1:$I$89,5,0)</f>
        <v>-1.6671037883497774E-13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344.63665697794022</v>
      </c>
      <c r="DU123" s="62">
        <f t="shared" si="98"/>
        <v>376.72762011188041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285.89743589743591</v>
      </c>
      <c r="EH123" s="13">
        <f>VLOOKUP(A123,'Données projet'!$A$191:$I$211,9,0)</f>
        <v>3.141025641025641</v>
      </c>
      <c r="EI123" s="13">
        <f t="array" ref="EI123">INDEX(EH:EH,MIN(IF(ISNUMBER(EH123:EH319),ROW(EH123:EH319),"")))</f>
        <v>3.141025641025641</v>
      </c>
      <c r="EJ123" s="13">
        <f>IF('Données projet'!$A$192&gt;35,EJ122+EI123-ER122,IF(A123&lt;'Données projet'!$A$192,$EG$205^A123,IF(A123='Données projet'!$A$192,'Données projet'!$B$192,EJ122+EI123-ER122)))</f>
        <v>285.89743589743597</v>
      </c>
      <c r="EK123" s="18">
        <f>EJ123*VLOOKUP('Données projet'!$B$15,Paramètres!$A$1:$I$89,3,0)*VLOOKUP('Données projet'!$B$15,Paramètres!$A$1:$I$89,5,0)</f>
        <v>272.06000000000006</v>
      </c>
      <c r="EL123" s="14">
        <f t="shared" si="99"/>
        <v>65.286259698592175</v>
      </c>
      <c r="EM123" s="22">
        <f t="shared" si="73"/>
        <v>587.54473564171474</v>
      </c>
      <c r="EN123" s="62">
        <f t="shared" si="74"/>
        <v>880.87806897504811</v>
      </c>
      <c r="EO123" s="62">
        <f ca="1">AVERAGE(OFFSET($EN$3,0,0,'Données projet'!$E$15+1,1))-AVERAGE(OFFSET($H$3,0,0,'Données projet'!$E$15+1,1))</f>
        <v>406.24139966722936</v>
      </c>
      <c r="EP123" s="62">
        <f t="shared" si="100"/>
        <v>295.95724296920577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285.89743589743591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352</v>
      </c>
      <c r="FC123" s="13">
        <f>VLOOKUP(A123,'Données projet'!$A$217:$I$237,9,0)</f>
        <v>4.5</v>
      </c>
      <c r="FD123" s="13">
        <f t="array" ref="FD123">INDEX(FC:FC,MIN(IF(ISNUMBER(FC123:FC319),ROW(FC123:FC319),"")))</f>
        <v>4.5</v>
      </c>
      <c r="FE123" s="13">
        <f>IF('Données projet'!$A$218&gt;35,FE122+FD123-FM122,IF(A123&lt;'Données projet'!$A$218,$FB$205^A123,IF(A123='Données projet'!$A$218,'Données projet'!$B$218,FE122+FD123-FM122)))</f>
        <v>351.99999999999977</v>
      </c>
      <c r="FF123" s="18">
        <f>FE123*VLOOKUP('Données projet'!$B$16,Paramètres!$A$1:$I$89,3,0)*VLOOKUP('Données projet'!$B$16,Paramètres!$A$1:$I$89,5,0)</f>
        <v>340.45439999999979</v>
      </c>
      <c r="FG123" s="14">
        <f t="shared" si="101"/>
        <v>79.593821040010596</v>
      </c>
      <c r="FH123" s="22">
        <f t="shared" si="76"/>
        <v>731.58398497801807</v>
      </c>
      <c r="FI123" s="62">
        <f t="shared" si="77"/>
        <v>1024.9173183113514</v>
      </c>
      <c r="FJ123" s="62">
        <f ca="1">AVERAGE(OFFSET($FI$3,0,0,'Données projet'!$E$16+1,1))-AVERAGE(OFFSET($H$3,0,0,'Données projet'!$E$16+1,1))</f>
        <v>540.83352418045502</v>
      </c>
      <c r="FK123" s="62">
        <f t="shared" si="102"/>
        <v>294.45557293177131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47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1.1368683772161603E-13</v>
      </c>
      <c r="GA123" s="18">
        <f>FZ123*VLOOKUP('Données projet'!$B$17,Paramètres!$A$1:$I$89,3,0)*VLOOKUP('Données projet'!$B$17,Paramètres!$A$1:$I$89,5,0)</f>
        <v>8.8675733422860506E-14</v>
      </c>
      <c r="GB123" s="14">
        <f t="shared" si="103"/>
        <v>1.3509285393066301E-12</v>
      </c>
      <c r="GC123" s="22">
        <f t="shared" si="79"/>
        <v>2.5073107750038623E-12</v>
      </c>
      <c r="GD123" s="62">
        <f t="shared" si="80"/>
        <v>293.33333333333582</v>
      </c>
      <c r="GE123" s="62">
        <f ca="1">AVERAGE(OFFSET($GD$3,0,0,'Données projet'!$E$17+1,1))-AVERAGE(OFFSET($H$3,0,0,'Données projet'!$E$17+1,1))</f>
        <v>292.57482726862594</v>
      </c>
      <c r="GF123" s="62">
        <f t="shared" si="104"/>
        <v>283.48738729114024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3.979039320256561E-13</v>
      </c>
      <c r="GV123" s="18">
        <f>GU123*VLOOKUP('Données projet'!$B$18,Paramètres!$A$1:$I$89,3,0)*VLOOKUP('Données projet'!$B$18,Paramètres!$A$1:$I$89,5,0)</f>
        <v>2.669139576028101E-13</v>
      </c>
      <c r="GW123" s="14">
        <f t="shared" si="105"/>
        <v>3.5767923834585247E-12</v>
      </c>
      <c r="GX123" s="22">
        <f t="shared" si="82"/>
        <v>6.6944552106818241E-12</v>
      </c>
      <c r="GY123" s="62">
        <f t="shared" si="83"/>
        <v>293.33333333334002</v>
      </c>
      <c r="GZ123" s="62">
        <f ca="1">AVERAGE(OFFSET($GY$3,0,0,'Données projet'!$E$18+1,1))-AVERAGE(OFFSET($H$3,0,0,'Données projet'!$E$18+1,1))</f>
        <v>343.33067866534634</v>
      </c>
      <c r="HA123" s="62">
        <f t="shared" si="106"/>
        <v>261.91036689641402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309.19999999999976</v>
      </c>
      <c r="O124" s="14">
        <f>N124*VLOOKUP('Données projet'!$B$9,Paramètres!$A$1:$I$89,3,0)*VLOOKUP('Données projet'!$B$9,Paramètres!$A$1:$I$89,5,0)</f>
        <v>279.76415999999978</v>
      </c>
      <c r="P124" s="14">
        <f t="shared" si="87"/>
        <v>66.917166665547342</v>
      </c>
      <c r="Q124" s="22">
        <f t="shared" si="107"/>
        <v>603.80331060916126</v>
      </c>
      <c r="R124" s="62">
        <f t="shared" si="55"/>
        <v>897.13664394249463</v>
      </c>
      <c r="S124" s="62">
        <f ca="1">AVERAGE(OFFSET($R$3,0,0,'Données projet'!$E$9+1,1))-AVERAGE(OFFSET($H$3,0,0,'Données projet'!$E$9+1,1))</f>
        <v>508.77990078889337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309.19999999999976</v>
      </c>
      <c r="AJ124" s="14">
        <f>AI124*VLOOKUP('Données projet'!$B$10,Paramètres!$A$1:$I$89,3,0)*VLOOKUP('Données projet'!$B$10,Paramètres!$A$1:$I$89,5,0)</f>
        <v>313.52879999999976</v>
      </c>
      <c r="AK124" s="14">
        <f t="shared" si="89"/>
        <v>74.005297883010172</v>
      </c>
      <c r="AL124" s="22">
        <f t="shared" si="58"/>
        <v>674.95522047957559</v>
      </c>
      <c r="AM124" s="62">
        <f t="shared" si="59"/>
        <v>968.28855381290896</v>
      </c>
      <c r="AN124" s="62">
        <f ca="1">AVERAGE(OFFSET($AM$3,0,0,'Données projet'!$E$10+1,1))-AVERAGE(OFFSET($H$3,0,0,'Données projet'!$E$10+1,1))</f>
        <v>564.84596170333884</v>
      </c>
      <c r="AO124" s="62">
        <f t="shared" si="90"/>
        <v>306.61893266146666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-1.8089849618263545E-13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370.79299728190904</v>
      </c>
      <c r="BJ124" s="62">
        <f t="shared" si="92"/>
        <v>404.95703400805775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-1.8089849618263545E-13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370.79299728190904</v>
      </c>
      <c r="CE124" s="62">
        <f t="shared" si="94"/>
        <v>404.95703400805775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-1.7053025658242404E-13</v>
      </c>
      <c r="CU124" s="18">
        <f>CT124*VLOOKUP('Données projet'!$B$13,Paramètres!$A$1:$I$89,3,0)*VLOOKUP('Données projet'!$B$13,Paramètres!$A$1:$I$89,5,0)</f>
        <v>-1.4897523215040567E-13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339.58437495284466</v>
      </c>
      <c r="CZ124" s="62">
        <f t="shared" si="96"/>
        <v>371.26234252426531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-2.2737367544323206E-13</v>
      </c>
      <c r="DP124" s="18">
        <f>DO124*VLOOKUP('Données projet'!$B$14,Paramètres!$A$1:$I$89,3,0)*VLOOKUP('Données projet'!$B$14,Paramètres!$A$1:$I$89,5,0)</f>
        <v>-1.6671037883497774E-13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344.63665697794022</v>
      </c>
      <c r="DU124" s="62">
        <f t="shared" si="98"/>
        <v>376.72762011188041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5.4092197387944907E-14</v>
      </c>
      <c r="EL124" s="14">
        <f t="shared" si="99"/>
        <v>8.7287050538073676E-13</v>
      </c>
      <c r="EM124" s="22">
        <f t="shared" si="73"/>
        <v>1.6144600406554537E-12</v>
      </c>
      <c r="EN124" s="62">
        <f t="shared" si="74"/>
        <v>293.33333333333491</v>
      </c>
      <c r="EO124" s="62">
        <f ca="1">AVERAGE(OFFSET($EN$3,0,0,'Données projet'!$E$15+1,1))-AVERAGE(OFFSET($H$3,0,0,'Données projet'!$E$15+1,1))</f>
        <v>406.24139966722936</v>
      </c>
      <c r="EP124" s="62">
        <f t="shared" si="100"/>
        <v>295.95724296920577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4.2</v>
      </c>
      <c r="FE124" s="13">
        <f>IF('Données projet'!$A$218&gt;35,FE123+FD124-FM123,IF(A124&lt;'Données projet'!$A$218,$FB$205^A124,IF(A124='Données projet'!$A$218,'Données projet'!$B$218,FE123+FD124-FM123)))</f>
        <v>309.19999999999976</v>
      </c>
      <c r="FF124" s="18">
        <f>FE124*VLOOKUP('Données projet'!$B$16,Paramètres!$A$1:$I$89,3,0)*VLOOKUP('Données projet'!$B$16,Paramètres!$A$1:$I$89,5,0)</f>
        <v>299.05823999999973</v>
      </c>
      <c r="FG124" s="14">
        <f t="shared" si="101"/>
        <v>70.978998293504489</v>
      </c>
      <c r="FH124" s="22">
        <f t="shared" si="76"/>
        <v>644.48152336118653</v>
      </c>
      <c r="FI124" s="62">
        <f t="shared" si="77"/>
        <v>937.8148566945199</v>
      </c>
      <c r="FJ124" s="62">
        <f ca="1">AVERAGE(OFFSET($FI$3,0,0,'Données projet'!$E$16+1,1))-AVERAGE(OFFSET($H$3,0,0,'Données projet'!$E$16+1,1))</f>
        <v>540.83352418045502</v>
      </c>
      <c r="FK124" s="62">
        <f t="shared" si="102"/>
        <v>294.45557293177131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1.1368683772161603E-13</v>
      </c>
      <c r="GA124" s="18">
        <f>FZ124*VLOOKUP('Données projet'!$B$17,Paramètres!$A$1:$I$89,3,0)*VLOOKUP('Données projet'!$B$17,Paramètres!$A$1:$I$89,5,0)</f>
        <v>8.8675733422860506E-14</v>
      </c>
      <c r="GB124" s="14">
        <f t="shared" si="103"/>
        <v>1.3509285393066301E-12</v>
      </c>
      <c r="GC124" s="22">
        <f t="shared" si="79"/>
        <v>2.5073107750038623E-12</v>
      </c>
      <c r="GD124" s="62">
        <f t="shared" si="80"/>
        <v>293.33333333333582</v>
      </c>
      <c r="GE124" s="62">
        <f ca="1">AVERAGE(OFFSET($GD$3,0,0,'Données projet'!$E$17+1,1))-AVERAGE(OFFSET($H$3,0,0,'Données projet'!$E$17+1,1))</f>
        <v>292.57482726862594</v>
      </c>
      <c r="GF124" s="62">
        <f t="shared" si="104"/>
        <v>283.48738729114024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3.979039320256561E-13</v>
      </c>
      <c r="GV124" s="18">
        <f>GU124*VLOOKUP('Données projet'!$B$18,Paramètres!$A$1:$I$89,3,0)*VLOOKUP('Données projet'!$B$18,Paramètres!$A$1:$I$89,5,0)</f>
        <v>2.669139576028101E-13</v>
      </c>
      <c r="GW124" s="14">
        <f t="shared" si="105"/>
        <v>3.5767923834585247E-12</v>
      </c>
      <c r="GX124" s="22">
        <f t="shared" si="82"/>
        <v>6.6944552106818241E-12</v>
      </c>
      <c r="GY124" s="62">
        <f t="shared" si="83"/>
        <v>293.33333333334002</v>
      </c>
      <c r="GZ124" s="62">
        <f ca="1">AVERAGE(OFFSET($GY$3,0,0,'Données projet'!$E$18+1,1))-AVERAGE(OFFSET($H$3,0,0,'Données projet'!$E$18+1,1))</f>
        <v>343.33067866534634</v>
      </c>
      <c r="HA124" s="62">
        <f t="shared" si="106"/>
        <v>261.91036689641402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313.39999999999975</v>
      </c>
      <c r="O125" s="14">
        <f>N125*VLOOKUP('Données projet'!$B$9,Paramètres!$A$1:$I$89,3,0)*VLOOKUP('Données projet'!$B$9,Paramètres!$A$1:$I$89,5,0)</f>
        <v>283.56431999999978</v>
      </c>
      <c r="P125" s="14">
        <f t="shared" si="87"/>
        <v>67.71969673023186</v>
      </c>
      <c r="Q125" s="22">
        <f t="shared" si="107"/>
        <v>611.81966247182015</v>
      </c>
      <c r="R125" s="62">
        <f t="shared" si="55"/>
        <v>905.15299580515352</v>
      </c>
      <c r="S125" s="62">
        <f ca="1">AVERAGE(OFFSET($R$3,0,0,'Données projet'!$E$9+1,1))-AVERAGE(OFFSET($H$3,0,0,'Données projet'!$E$9+1,1))</f>
        <v>508.77990078889337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313.39999999999975</v>
      </c>
      <c r="AJ125" s="14">
        <f>AI125*VLOOKUP('Données projet'!$B$10,Paramètres!$A$1:$I$89,3,0)*VLOOKUP('Données projet'!$B$10,Paramètres!$A$1:$I$89,5,0)</f>
        <v>317.78759999999977</v>
      </c>
      <c r="AK125" s="14">
        <f t="shared" si="89"/>
        <v>74.892835109352845</v>
      </c>
      <c r="AL125" s="22">
        <f t="shared" si="58"/>
        <v>683.91842448212253</v>
      </c>
      <c r="AM125" s="62">
        <f t="shared" si="59"/>
        <v>977.2517578154559</v>
      </c>
      <c r="AN125" s="62">
        <f ca="1">AVERAGE(OFFSET($AM$3,0,0,'Données projet'!$E$10+1,1))-AVERAGE(OFFSET($H$3,0,0,'Données projet'!$E$10+1,1))</f>
        <v>564.84596170333884</v>
      </c>
      <c r="AO125" s="62">
        <f t="shared" si="90"/>
        <v>306.61893266146666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-1.8089849618263545E-13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370.79299728190904</v>
      </c>
      <c r="BJ125" s="62">
        <f t="shared" si="92"/>
        <v>404.95703400805775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-1.8089849618263545E-13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370.79299728190904</v>
      </c>
      <c r="CE125" s="62">
        <f t="shared" si="94"/>
        <v>404.95703400805775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-1.7053025658242404E-13</v>
      </c>
      <c r="CU125" s="18">
        <f>CT125*VLOOKUP('Données projet'!$B$13,Paramètres!$A$1:$I$89,3,0)*VLOOKUP('Données projet'!$B$13,Paramètres!$A$1:$I$89,5,0)</f>
        <v>-1.4897523215040567E-13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339.58437495284466</v>
      </c>
      <c r="CZ125" s="62">
        <f t="shared" si="96"/>
        <v>371.26234252426531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-2.2737367544323206E-13</v>
      </c>
      <c r="DP125" s="18">
        <f>DO125*VLOOKUP('Données projet'!$B$14,Paramètres!$A$1:$I$89,3,0)*VLOOKUP('Données projet'!$B$14,Paramètres!$A$1:$I$89,5,0)</f>
        <v>-1.6671037883497774E-13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344.63665697794022</v>
      </c>
      <c r="DU125" s="62">
        <f t="shared" si="98"/>
        <v>376.72762011188041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5.4092197387944907E-14</v>
      </c>
      <c r="EL125" s="14">
        <f t="shared" si="99"/>
        <v>8.7287050538073676E-13</v>
      </c>
      <c r="EM125" s="22">
        <f t="shared" si="73"/>
        <v>1.6144600406554537E-12</v>
      </c>
      <c r="EN125" s="62">
        <f t="shared" si="74"/>
        <v>293.33333333333491</v>
      </c>
      <c r="EO125" s="62">
        <f ca="1">AVERAGE(OFFSET($EN$3,0,0,'Données projet'!$E$15+1,1))-AVERAGE(OFFSET($H$3,0,0,'Données projet'!$E$15+1,1))</f>
        <v>406.24139966722936</v>
      </c>
      <c r="EP125" s="62">
        <f t="shared" si="100"/>
        <v>295.95724296920577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4.2</v>
      </c>
      <c r="FE125" s="13">
        <f>IF('Données projet'!$A$218&gt;35,FE124+FD125-FM124,IF(A125&lt;'Données projet'!$A$218,$FB$205^A125,IF(A125='Données projet'!$A$218,'Données projet'!$B$218,FE124+FD125-FM124)))</f>
        <v>313.39999999999975</v>
      </c>
      <c r="FF125" s="18">
        <f>FE125*VLOOKUP('Données projet'!$B$16,Paramètres!$A$1:$I$89,3,0)*VLOOKUP('Données projet'!$B$16,Paramètres!$A$1:$I$89,5,0)</f>
        <v>303.12047999999976</v>
      </c>
      <c r="FG125" s="14">
        <f t="shared" si="101"/>
        <v>71.830241448738988</v>
      </c>
      <c r="FH125" s="22">
        <f t="shared" si="76"/>
        <v>653.03917318988658</v>
      </c>
      <c r="FI125" s="62">
        <f t="shared" si="77"/>
        <v>946.37250652321995</v>
      </c>
      <c r="FJ125" s="62">
        <f ca="1">AVERAGE(OFFSET($FI$3,0,0,'Données projet'!$E$16+1,1))-AVERAGE(OFFSET($H$3,0,0,'Données projet'!$E$16+1,1))</f>
        <v>540.83352418045502</v>
      </c>
      <c r="FK125" s="62">
        <f t="shared" si="102"/>
        <v>294.45557293177131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1.1368683772161603E-13</v>
      </c>
      <c r="GA125" s="18">
        <f>FZ125*VLOOKUP('Données projet'!$B$17,Paramètres!$A$1:$I$89,3,0)*VLOOKUP('Données projet'!$B$17,Paramètres!$A$1:$I$89,5,0)</f>
        <v>8.8675733422860506E-14</v>
      </c>
      <c r="GB125" s="14">
        <f t="shared" si="103"/>
        <v>1.3509285393066301E-12</v>
      </c>
      <c r="GC125" s="22">
        <f t="shared" si="79"/>
        <v>2.5073107750038623E-12</v>
      </c>
      <c r="GD125" s="62">
        <f t="shared" si="80"/>
        <v>293.33333333333582</v>
      </c>
      <c r="GE125" s="62">
        <f ca="1">AVERAGE(OFFSET($GD$3,0,0,'Données projet'!$E$17+1,1))-AVERAGE(OFFSET($H$3,0,0,'Données projet'!$E$17+1,1))</f>
        <v>292.57482726862594</v>
      </c>
      <c r="GF125" s="62">
        <f t="shared" si="104"/>
        <v>283.48738729114024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3.979039320256561E-13</v>
      </c>
      <c r="GV125" s="18">
        <f>GU125*VLOOKUP('Données projet'!$B$18,Paramètres!$A$1:$I$89,3,0)*VLOOKUP('Données projet'!$B$18,Paramètres!$A$1:$I$89,5,0)</f>
        <v>2.669139576028101E-13</v>
      </c>
      <c r="GW125" s="14">
        <f t="shared" si="105"/>
        <v>3.5767923834585247E-12</v>
      </c>
      <c r="GX125" s="22">
        <f t="shared" si="82"/>
        <v>6.6944552106818241E-12</v>
      </c>
      <c r="GY125" s="62">
        <f t="shared" si="83"/>
        <v>293.33333333334002</v>
      </c>
      <c r="GZ125" s="62">
        <f ca="1">AVERAGE(OFFSET($GY$3,0,0,'Données projet'!$E$18+1,1))-AVERAGE(OFFSET($H$3,0,0,'Données projet'!$E$18+1,1))</f>
        <v>343.33067866534634</v>
      </c>
      <c r="HA125" s="62">
        <f t="shared" si="106"/>
        <v>261.91036689641402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317.59999999999974</v>
      </c>
      <c r="O126" s="14">
        <f>N126*VLOOKUP('Données projet'!$B$9,Paramètres!$A$1:$I$89,3,0)*VLOOKUP('Données projet'!$B$9,Paramètres!$A$1:$I$89,5,0)</f>
        <v>287.36447999999973</v>
      </c>
      <c r="P126" s="14">
        <f t="shared" si="87"/>
        <v>68.520975845793387</v>
      </c>
      <c r="Q126" s="22">
        <f t="shared" si="107"/>
        <v>619.83383559808965</v>
      </c>
      <c r="R126" s="62">
        <f t="shared" si="55"/>
        <v>913.16716893142302</v>
      </c>
      <c r="S126" s="62">
        <f ca="1">AVERAGE(OFFSET($R$3,0,0,'Données projet'!$E$9+1,1))-AVERAGE(OFFSET($H$3,0,0,'Données projet'!$E$9+1,1))</f>
        <v>508.77990078889337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317.59999999999974</v>
      </c>
      <c r="AJ126" s="14">
        <f>AI126*VLOOKUP('Données projet'!$B$10,Paramètres!$A$1:$I$89,3,0)*VLOOKUP('Données projet'!$B$10,Paramètres!$A$1:$I$89,5,0)</f>
        <v>322.04639999999972</v>
      </c>
      <c r="AK126" s="14">
        <f t="shared" si="89"/>
        <v>75.77898888108885</v>
      </c>
      <c r="AL126" s="22">
        <f t="shared" si="58"/>
        <v>692.87921896789578</v>
      </c>
      <c r="AM126" s="62">
        <f t="shared" si="59"/>
        <v>986.21255230122915</v>
      </c>
      <c r="AN126" s="62">
        <f ca="1">AVERAGE(OFFSET($AM$3,0,0,'Données projet'!$E$10+1,1))-AVERAGE(OFFSET($H$3,0,0,'Données projet'!$E$10+1,1))</f>
        <v>564.84596170333884</v>
      </c>
      <c r="AO126" s="62">
        <f t="shared" si="90"/>
        <v>306.61893266146666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-1.8089849618263545E-13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370.79299728190904</v>
      </c>
      <c r="BJ126" s="62">
        <f t="shared" si="92"/>
        <v>404.95703400805775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-1.8089849618263545E-13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370.79299728190904</v>
      </c>
      <c r="CE126" s="62">
        <f t="shared" si="94"/>
        <v>404.95703400805775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-1.7053025658242404E-13</v>
      </c>
      <c r="CU126" s="18">
        <f>CT126*VLOOKUP('Données projet'!$B$13,Paramètres!$A$1:$I$89,3,0)*VLOOKUP('Données projet'!$B$13,Paramètres!$A$1:$I$89,5,0)</f>
        <v>-1.4897523215040567E-13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339.58437495284466</v>
      </c>
      <c r="CZ126" s="62">
        <f t="shared" si="96"/>
        <v>371.26234252426531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-2.2737367544323206E-13</v>
      </c>
      <c r="DP126" s="18">
        <f>DO126*VLOOKUP('Données projet'!$B$14,Paramètres!$A$1:$I$89,3,0)*VLOOKUP('Données projet'!$B$14,Paramètres!$A$1:$I$89,5,0)</f>
        <v>-1.6671037883497774E-13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344.63665697794022</v>
      </c>
      <c r="DU126" s="62">
        <f t="shared" si="98"/>
        <v>376.72762011188041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5.4092197387944907E-14</v>
      </c>
      <c r="EL126" s="14">
        <f t="shared" si="99"/>
        <v>8.7287050538073676E-13</v>
      </c>
      <c r="EM126" s="22">
        <f t="shared" si="73"/>
        <v>1.6144600406554537E-12</v>
      </c>
      <c r="EN126" s="62">
        <f t="shared" si="74"/>
        <v>293.33333333333491</v>
      </c>
      <c r="EO126" s="62">
        <f ca="1">AVERAGE(OFFSET($EN$3,0,0,'Données projet'!$E$15+1,1))-AVERAGE(OFFSET($H$3,0,0,'Données projet'!$E$15+1,1))</f>
        <v>406.24139966722936</v>
      </c>
      <c r="EP126" s="62">
        <f t="shared" si="100"/>
        <v>295.95724296920577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4.2</v>
      </c>
      <c r="FE126" s="13">
        <f>IF('Données projet'!$A$218&gt;35,FE125+FD126-FM125,IF(A126&lt;'Données projet'!$A$218,$FB$205^A126,IF(A126='Données projet'!$A$218,'Données projet'!$B$218,FE125+FD126-FM125)))</f>
        <v>317.59999999999974</v>
      </c>
      <c r="FF126" s="18">
        <f>FE126*VLOOKUP('Données projet'!$B$16,Paramètres!$A$1:$I$89,3,0)*VLOOKUP('Données projet'!$B$16,Paramètres!$A$1:$I$89,5,0)</f>
        <v>307.18271999999973</v>
      </c>
      <c r="FG126" s="14">
        <f t="shared" si="101"/>
        <v>72.680157722993556</v>
      </c>
      <c r="FH126" s="22">
        <f t="shared" si="76"/>
        <v>661.59451203421338</v>
      </c>
      <c r="FI126" s="62">
        <f t="shared" si="77"/>
        <v>954.92784536754675</v>
      </c>
      <c r="FJ126" s="62">
        <f ca="1">AVERAGE(OFFSET($FI$3,0,0,'Données projet'!$E$16+1,1))-AVERAGE(OFFSET($H$3,0,0,'Données projet'!$E$16+1,1))</f>
        <v>540.83352418045502</v>
      </c>
      <c r="FK126" s="62">
        <f t="shared" si="102"/>
        <v>294.45557293177131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1.1368683772161603E-13</v>
      </c>
      <c r="GA126" s="18">
        <f>FZ126*VLOOKUP('Données projet'!$B$17,Paramètres!$A$1:$I$89,3,0)*VLOOKUP('Données projet'!$B$17,Paramètres!$A$1:$I$89,5,0)</f>
        <v>8.8675733422860506E-14</v>
      </c>
      <c r="GB126" s="14">
        <f t="shared" si="103"/>
        <v>1.3509285393066301E-12</v>
      </c>
      <c r="GC126" s="22">
        <f t="shared" si="79"/>
        <v>2.5073107750038623E-12</v>
      </c>
      <c r="GD126" s="62">
        <f t="shared" si="80"/>
        <v>293.33333333333582</v>
      </c>
      <c r="GE126" s="62">
        <f ca="1">AVERAGE(OFFSET($GD$3,0,0,'Données projet'!$E$17+1,1))-AVERAGE(OFFSET($H$3,0,0,'Données projet'!$E$17+1,1))</f>
        <v>292.57482726862594</v>
      </c>
      <c r="GF126" s="62">
        <f t="shared" si="104"/>
        <v>283.48738729114024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3.979039320256561E-13</v>
      </c>
      <c r="GV126" s="18">
        <f>GU126*VLOOKUP('Données projet'!$B$18,Paramètres!$A$1:$I$89,3,0)*VLOOKUP('Données projet'!$B$18,Paramètres!$A$1:$I$89,5,0)</f>
        <v>2.669139576028101E-13</v>
      </c>
      <c r="GW126" s="14">
        <f t="shared" si="105"/>
        <v>3.5767923834585247E-12</v>
      </c>
      <c r="GX126" s="22">
        <f t="shared" si="82"/>
        <v>6.6944552106818241E-12</v>
      </c>
      <c r="GY126" s="62">
        <f t="shared" si="83"/>
        <v>293.33333333334002</v>
      </c>
      <c r="GZ126" s="62">
        <f ca="1">AVERAGE(OFFSET($GY$3,0,0,'Données projet'!$E$18+1,1))-AVERAGE(OFFSET($H$3,0,0,'Données projet'!$E$18+1,1))</f>
        <v>343.33067866534634</v>
      </c>
      <c r="HA126" s="62">
        <f t="shared" si="106"/>
        <v>261.91036689641402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321.79999999999973</v>
      </c>
      <c r="O127" s="14">
        <f>N127*VLOOKUP('Données projet'!$B$9,Paramètres!$A$1:$I$89,3,0)*VLOOKUP('Données projet'!$B$9,Paramètres!$A$1:$I$89,5,0)</f>
        <v>291.16463999999974</v>
      </c>
      <c r="P127" s="14">
        <f t="shared" si="87"/>
        <v>69.321022467464573</v>
      </c>
      <c r="Q127" s="22">
        <f t="shared" si="107"/>
        <v>627.84586213083367</v>
      </c>
      <c r="R127" s="62">
        <f t="shared" si="55"/>
        <v>921.17919546416692</v>
      </c>
      <c r="S127" s="62">
        <f ca="1">AVERAGE(OFFSET($R$3,0,0,'Données projet'!$E$9+1,1))-AVERAGE(OFFSET($H$3,0,0,'Données projet'!$E$9+1,1))</f>
        <v>508.77990078889337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321.79999999999973</v>
      </c>
      <c r="AJ127" s="14">
        <f>AI127*VLOOKUP('Données projet'!$B$10,Paramètres!$A$1:$I$89,3,0)*VLOOKUP('Données projet'!$B$10,Paramètres!$A$1:$I$89,5,0)</f>
        <v>326.30519999999973</v>
      </c>
      <c r="AK127" s="14">
        <f t="shared" si="89"/>
        <v>76.663779608302278</v>
      </c>
      <c r="AL127" s="22">
        <f t="shared" si="58"/>
        <v>701.83763948445915</v>
      </c>
      <c r="AM127" s="62">
        <f t="shared" si="59"/>
        <v>995.17097281779252</v>
      </c>
      <c r="AN127" s="62">
        <f ca="1">AVERAGE(OFFSET($AM$3,0,0,'Données projet'!$E$10+1,1))-AVERAGE(OFFSET($H$3,0,0,'Données projet'!$E$10+1,1))</f>
        <v>564.84596170333884</v>
      </c>
      <c r="AO127" s="62">
        <f t="shared" si="90"/>
        <v>306.61893266146666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-1.8089849618263545E-13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370.79299728190904</v>
      </c>
      <c r="BJ127" s="62">
        <f t="shared" si="92"/>
        <v>404.95703400805775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-1.8089849618263545E-13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370.79299728190904</v>
      </c>
      <c r="CE127" s="62">
        <f t="shared" si="94"/>
        <v>404.95703400805775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-1.7053025658242404E-13</v>
      </c>
      <c r="CU127" s="18">
        <f>CT127*VLOOKUP('Données projet'!$B$13,Paramètres!$A$1:$I$89,3,0)*VLOOKUP('Données projet'!$B$13,Paramètres!$A$1:$I$89,5,0)</f>
        <v>-1.4897523215040567E-13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339.58437495284466</v>
      </c>
      <c r="CZ127" s="62">
        <f t="shared" si="96"/>
        <v>371.26234252426531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-2.2737367544323206E-13</v>
      </c>
      <c r="DP127" s="18">
        <f>DO127*VLOOKUP('Données projet'!$B$14,Paramètres!$A$1:$I$89,3,0)*VLOOKUP('Données projet'!$B$14,Paramètres!$A$1:$I$89,5,0)</f>
        <v>-1.6671037883497774E-13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344.63665697794022</v>
      </c>
      <c r="DU127" s="62">
        <f t="shared" si="98"/>
        <v>376.72762011188041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5.4092197387944907E-14</v>
      </c>
      <c r="EL127" s="14">
        <f t="shared" si="99"/>
        <v>8.7287050538073676E-13</v>
      </c>
      <c r="EM127" s="22">
        <f t="shared" si="73"/>
        <v>1.6144600406554537E-12</v>
      </c>
      <c r="EN127" s="62">
        <f t="shared" si="74"/>
        <v>293.33333333333491</v>
      </c>
      <c r="EO127" s="62">
        <f ca="1">AVERAGE(OFFSET($EN$3,0,0,'Données projet'!$E$15+1,1))-AVERAGE(OFFSET($H$3,0,0,'Données projet'!$E$15+1,1))</f>
        <v>406.24139966722936</v>
      </c>
      <c r="EP127" s="62">
        <f t="shared" si="100"/>
        <v>295.95724296920577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4.2</v>
      </c>
      <c r="FE127" s="13">
        <f>IF('Données projet'!$A$218&gt;35,FE126+FD127-FM126,IF(A127&lt;'Données projet'!$A$218,$FB$205^A127,IF(A127='Données projet'!$A$218,'Données projet'!$B$218,FE126+FD127-FM126)))</f>
        <v>321.79999999999973</v>
      </c>
      <c r="FF127" s="18">
        <f>FE127*VLOOKUP('Données projet'!$B$16,Paramètres!$A$1:$I$89,3,0)*VLOOKUP('Données projet'!$B$16,Paramètres!$A$1:$I$89,5,0)</f>
        <v>311.24495999999971</v>
      </c>
      <c r="FG127" s="14">
        <f t="shared" si="101"/>
        <v>73.528766691722723</v>
      </c>
      <c r="FH127" s="22">
        <f t="shared" si="76"/>
        <v>670.14757398808331</v>
      </c>
      <c r="FI127" s="62">
        <f t="shared" si="77"/>
        <v>963.48090732141668</v>
      </c>
      <c r="FJ127" s="62">
        <f ca="1">AVERAGE(OFFSET($FI$3,0,0,'Données projet'!$E$16+1,1))-AVERAGE(OFFSET($H$3,0,0,'Données projet'!$E$16+1,1))</f>
        <v>540.83352418045502</v>
      </c>
      <c r="FK127" s="62">
        <f t="shared" si="102"/>
        <v>294.45557293177131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1.1368683772161603E-13</v>
      </c>
      <c r="GA127" s="18">
        <f>FZ127*VLOOKUP('Données projet'!$B$17,Paramètres!$A$1:$I$89,3,0)*VLOOKUP('Données projet'!$B$17,Paramètres!$A$1:$I$89,5,0)</f>
        <v>8.8675733422860506E-14</v>
      </c>
      <c r="GB127" s="14">
        <f t="shared" si="103"/>
        <v>1.3509285393066301E-12</v>
      </c>
      <c r="GC127" s="22">
        <f t="shared" si="79"/>
        <v>2.5073107750038623E-12</v>
      </c>
      <c r="GD127" s="62">
        <f t="shared" si="80"/>
        <v>293.33333333333582</v>
      </c>
      <c r="GE127" s="62">
        <f ca="1">AVERAGE(OFFSET($GD$3,0,0,'Données projet'!$E$17+1,1))-AVERAGE(OFFSET($H$3,0,0,'Données projet'!$E$17+1,1))</f>
        <v>292.57482726862594</v>
      </c>
      <c r="GF127" s="62">
        <f t="shared" si="104"/>
        <v>283.48738729114024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3.979039320256561E-13</v>
      </c>
      <c r="GV127" s="18">
        <f>GU127*VLOOKUP('Données projet'!$B$18,Paramètres!$A$1:$I$89,3,0)*VLOOKUP('Données projet'!$B$18,Paramètres!$A$1:$I$89,5,0)</f>
        <v>2.669139576028101E-13</v>
      </c>
      <c r="GW127" s="14">
        <f t="shared" si="105"/>
        <v>3.5767923834585247E-12</v>
      </c>
      <c r="GX127" s="22">
        <f t="shared" si="82"/>
        <v>6.6944552106818241E-12</v>
      </c>
      <c r="GY127" s="62">
        <f t="shared" si="83"/>
        <v>293.33333333334002</v>
      </c>
      <c r="GZ127" s="62">
        <f ca="1">AVERAGE(OFFSET($GY$3,0,0,'Données projet'!$E$18+1,1))-AVERAGE(OFFSET($H$3,0,0,'Données projet'!$E$18+1,1))</f>
        <v>343.33067866534634</v>
      </c>
      <c r="HA127" s="62">
        <f t="shared" si="106"/>
        <v>261.91036689641402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325.99999999999972</v>
      </c>
      <c r="O128" s="14">
        <f>N128*VLOOKUP('Données projet'!$B$9,Paramètres!$A$1:$I$89,3,0)*VLOOKUP('Données projet'!$B$9,Paramètres!$A$1:$I$89,5,0)</f>
        <v>294.96479999999974</v>
      </c>
      <c r="P128" s="14">
        <f t="shared" si="87"/>
        <v>70.119854541045001</v>
      </c>
      <c r="Q128" s="22">
        <f t="shared" si="107"/>
        <v>635.85577332565299</v>
      </c>
      <c r="R128" s="62">
        <f t="shared" si="55"/>
        <v>929.18910665898625</v>
      </c>
      <c r="S128" s="62">
        <f ca="1">AVERAGE(OFFSET($R$3,0,0,'Données projet'!$E$9+1,1))-AVERAGE(OFFSET($H$3,0,0,'Données projet'!$E$9+1,1))</f>
        <v>508.77990078889337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325.99999999999972</v>
      </c>
      <c r="AJ128" s="14">
        <f>AI128*VLOOKUP('Données projet'!$B$10,Paramètres!$A$1:$I$89,3,0)*VLOOKUP('Données projet'!$B$10,Paramètres!$A$1:$I$89,5,0)</f>
        <v>330.56399999999974</v>
      </c>
      <c r="AK128" s="14">
        <f t="shared" si="89"/>
        <v>77.547227137682782</v>
      </c>
      <c r="AL128" s="22">
        <f t="shared" si="58"/>
        <v>710.79372059813034</v>
      </c>
      <c r="AM128" s="62">
        <f t="shared" si="59"/>
        <v>1004.1270539314637</v>
      </c>
      <c r="AN128" s="62">
        <f ca="1">AVERAGE(OFFSET($AM$3,0,0,'Données projet'!$E$10+1,1))-AVERAGE(OFFSET($H$3,0,0,'Données projet'!$E$10+1,1))</f>
        <v>564.84596170333884</v>
      </c>
      <c r="AO128" s="62">
        <f t="shared" si="90"/>
        <v>306.61893266146666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-1.8089849618263545E-13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370.79299728190904</v>
      </c>
      <c r="BJ128" s="62">
        <f t="shared" si="92"/>
        <v>404.95703400805775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-1.8089849618263545E-13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370.79299728190904</v>
      </c>
      <c r="CE128" s="62">
        <f t="shared" si="94"/>
        <v>404.95703400805775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-1.7053025658242404E-13</v>
      </c>
      <c r="CU128" s="18">
        <f>CT128*VLOOKUP('Données projet'!$B$13,Paramètres!$A$1:$I$89,3,0)*VLOOKUP('Données projet'!$B$13,Paramètres!$A$1:$I$89,5,0)</f>
        <v>-1.4897523215040567E-13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339.58437495284466</v>
      </c>
      <c r="CZ128" s="62">
        <f t="shared" si="96"/>
        <v>371.26234252426531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-2.2737367544323206E-13</v>
      </c>
      <c r="DP128" s="18">
        <f>DO128*VLOOKUP('Données projet'!$B$14,Paramètres!$A$1:$I$89,3,0)*VLOOKUP('Données projet'!$B$14,Paramètres!$A$1:$I$89,5,0)</f>
        <v>-1.6671037883497774E-13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344.63665697794022</v>
      </c>
      <c r="DU128" s="62">
        <f t="shared" si="98"/>
        <v>376.72762011188041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5.4092197387944907E-14</v>
      </c>
      <c r="EL128" s="14">
        <f t="shared" si="99"/>
        <v>8.7287050538073676E-13</v>
      </c>
      <c r="EM128" s="22">
        <f t="shared" si="73"/>
        <v>1.6144600406554537E-12</v>
      </c>
      <c r="EN128" s="62">
        <f t="shared" si="74"/>
        <v>293.33333333333491</v>
      </c>
      <c r="EO128" s="62">
        <f ca="1">AVERAGE(OFFSET($EN$3,0,0,'Données projet'!$E$15+1,1))-AVERAGE(OFFSET($H$3,0,0,'Données projet'!$E$15+1,1))</f>
        <v>406.24139966722936</v>
      </c>
      <c r="EP128" s="62">
        <f t="shared" si="100"/>
        <v>295.95724296920577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4.2</v>
      </c>
      <c r="FE128" s="13">
        <f>IF('Données projet'!$A$218&gt;35,FE127+FD128-FM127,IF(A128&lt;'Données projet'!$A$218,$FB$205^A128,IF(A128='Données projet'!$A$218,'Données projet'!$B$218,FE127+FD128-FM127)))</f>
        <v>325.99999999999972</v>
      </c>
      <c r="FF128" s="18">
        <f>FE128*VLOOKUP('Données projet'!$B$16,Paramètres!$A$1:$I$89,3,0)*VLOOKUP('Données projet'!$B$16,Paramètres!$A$1:$I$89,5,0)</f>
        <v>315.30719999999974</v>
      </c>
      <c r="FG128" s="14">
        <f t="shared" si="101"/>
        <v>74.376087390024992</v>
      </c>
      <c r="FH128" s="22">
        <f t="shared" si="76"/>
        <v>678.6983922042931</v>
      </c>
      <c r="FI128" s="62">
        <f t="shared" si="77"/>
        <v>972.03172553762647</v>
      </c>
      <c r="FJ128" s="62">
        <f ca="1">AVERAGE(OFFSET($FI$3,0,0,'Données projet'!$E$16+1,1))-AVERAGE(OFFSET($H$3,0,0,'Données projet'!$E$16+1,1))</f>
        <v>540.83352418045502</v>
      </c>
      <c r="FK128" s="62">
        <f t="shared" si="102"/>
        <v>294.45557293177131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1.1368683772161603E-13</v>
      </c>
      <c r="GA128" s="18">
        <f>FZ128*VLOOKUP('Données projet'!$B$17,Paramètres!$A$1:$I$89,3,0)*VLOOKUP('Données projet'!$B$17,Paramètres!$A$1:$I$89,5,0)</f>
        <v>8.8675733422860506E-14</v>
      </c>
      <c r="GB128" s="14">
        <f t="shared" si="103"/>
        <v>1.3509285393066301E-12</v>
      </c>
      <c r="GC128" s="22">
        <f t="shared" si="79"/>
        <v>2.5073107750038623E-12</v>
      </c>
      <c r="GD128" s="62">
        <f t="shared" si="80"/>
        <v>293.33333333333582</v>
      </c>
      <c r="GE128" s="62">
        <f ca="1">AVERAGE(OFFSET($GD$3,0,0,'Données projet'!$E$17+1,1))-AVERAGE(OFFSET($H$3,0,0,'Données projet'!$E$17+1,1))</f>
        <v>292.57482726862594</v>
      </c>
      <c r="GF128" s="62">
        <f t="shared" si="104"/>
        <v>283.48738729114024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3.979039320256561E-13</v>
      </c>
      <c r="GV128" s="18">
        <f>GU128*VLOOKUP('Données projet'!$B$18,Paramètres!$A$1:$I$89,3,0)*VLOOKUP('Données projet'!$B$18,Paramètres!$A$1:$I$89,5,0)</f>
        <v>2.669139576028101E-13</v>
      </c>
      <c r="GW128" s="14">
        <f t="shared" si="105"/>
        <v>3.5767923834585247E-12</v>
      </c>
      <c r="GX128" s="22">
        <f t="shared" si="82"/>
        <v>6.6944552106818241E-12</v>
      </c>
      <c r="GY128" s="62">
        <f t="shared" si="83"/>
        <v>293.33333333334002</v>
      </c>
      <c r="GZ128" s="62">
        <f ca="1">AVERAGE(OFFSET($GY$3,0,0,'Données projet'!$E$18+1,1))-AVERAGE(OFFSET($H$3,0,0,'Données projet'!$E$18+1,1))</f>
        <v>343.33067866534634</v>
      </c>
      <c r="HA128" s="62">
        <f t="shared" si="106"/>
        <v>261.91036689641402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330.1999999999997</v>
      </c>
      <c r="O129" s="14">
        <f>N129*VLOOKUP('Données projet'!$B$9,Paramètres!$A$1:$I$89,3,0)*VLOOKUP('Données projet'!$B$9,Paramètres!$A$1:$I$89,5,0)</f>
        <v>298.76495999999975</v>
      </c>
      <c r="P129" s="14">
        <f t="shared" si="87"/>
        <v>70.91748952334126</v>
      </c>
      <c r="Q129" s="22">
        <f t="shared" si="107"/>
        <v>643.86359958648563</v>
      </c>
      <c r="R129" s="62">
        <f t="shared" si="55"/>
        <v>937.19693291981889</v>
      </c>
      <c r="S129" s="62">
        <f ca="1">AVERAGE(OFFSET($R$3,0,0,'Données projet'!$E$9+1,1))-AVERAGE(OFFSET($H$3,0,0,'Données projet'!$E$9+1,1))</f>
        <v>508.77990078889337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4.2</v>
      </c>
      <c r="AI129" s="14">
        <f>IF('Données projet'!$A$62&gt;35,AI128+AH129-AQ128,IF(A129&lt;'Données projet'!$A$62,$AF$205^A129,IF(A129='Données projet'!$A$62,'Données projet'!$B$62,AI128+AH129-AQ128)))</f>
        <v>330.1999999999997</v>
      </c>
      <c r="AJ129" s="14">
        <f>AI129*VLOOKUP('Données projet'!$B$10,Paramètres!$A$1:$I$89,3,0)*VLOOKUP('Données projet'!$B$10,Paramètres!$A$1:$I$89,5,0)</f>
        <v>334.82279999999975</v>
      </c>
      <c r="AK129" s="14">
        <f t="shared" si="89"/>
        <v>78.429350775131056</v>
      </c>
      <c r="AL129" s="22">
        <f t="shared" si="58"/>
        <v>719.74749593335275</v>
      </c>
      <c r="AM129" s="62">
        <f t="shared" si="59"/>
        <v>1013.0808292666861</v>
      </c>
      <c r="AN129" s="62">
        <f ca="1">AVERAGE(OFFSET($AM$3,0,0,'Données projet'!$E$10+1,1))-AVERAGE(OFFSET($H$3,0,0,'Données projet'!$E$10+1,1))</f>
        <v>564.84596170333884</v>
      </c>
      <c r="AO129" s="62">
        <f t="shared" si="90"/>
        <v>306.61893266146666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-1.8089849618263545E-13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370.79299728190904</v>
      </c>
      <c r="BJ129" s="62">
        <f t="shared" si="92"/>
        <v>404.95703400805775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-1.8089849618263545E-13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370.79299728190904</v>
      </c>
      <c r="CE129" s="62">
        <f t="shared" si="94"/>
        <v>404.95703400805775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-1.7053025658242404E-13</v>
      </c>
      <c r="CU129" s="18">
        <f>CT129*VLOOKUP('Données projet'!$B$13,Paramètres!$A$1:$I$89,3,0)*VLOOKUP('Données projet'!$B$13,Paramètres!$A$1:$I$89,5,0)</f>
        <v>-1.4897523215040567E-13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339.58437495284466</v>
      </c>
      <c r="CZ129" s="62">
        <f t="shared" si="96"/>
        <v>371.26234252426531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-2.2737367544323206E-13</v>
      </c>
      <c r="DP129" s="18">
        <f>DO129*VLOOKUP('Données projet'!$B$14,Paramètres!$A$1:$I$89,3,0)*VLOOKUP('Données projet'!$B$14,Paramètres!$A$1:$I$89,5,0)</f>
        <v>-1.6671037883497774E-13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344.63665697794022</v>
      </c>
      <c r="DU129" s="62">
        <f t="shared" si="98"/>
        <v>376.72762011188041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5.4092197387944907E-14</v>
      </c>
      <c r="EL129" s="14">
        <f t="shared" si="99"/>
        <v>8.7287050538073676E-13</v>
      </c>
      <c r="EM129" s="22">
        <f t="shared" si="73"/>
        <v>1.6144600406554537E-12</v>
      </c>
      <c r="EN129" s="62">
        <f t="shared" si="74"/>
        <v>293.33333333333491</v>
      </c>
      <c r="EO129" s="62">
        <f ca="1">AVERAGE(OFFSET($EN$3,0,0,'Données projet'!$E$15+1,1))-AVERAGE(OFFSET($H$3,0,0,'Données projet'!$E$15+1,1))</f>
        <v>406.24139966722936</v>
      </c>
      <c r="EP129" s="62">
        <f t="shared" si="100"/>
        <v>295.95724296920577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4.2</v>
      </c>
      <c r="FE129" s="13">
        <f>IF('Données projet'!$A$218&gt;35,FE128+FD129-FM128,IF(A129&lt;'Données projet'!$A$218,$FB$205^A129,IF(A129='Données projet'!$A$218,'Données projet'!$B$218,FE128+FD129-FM128)))</f>
        <v>330.1999999999997</v>
      </c>
      <c r="FF129" s="18">
        <f>FE129*VLOOKUP('Données projet'!$B$16,Paramètres!$A$1:$I$89,3,0)*VLOOKUP('Données projet'!$B$16,Paramètres!$A$1:$I$89,5,0)</f>
        <v>319.36943999999971</v>
      </c>
      <c r="FG129" s="14">
        <f t="shared" si="101"/>
        <v>75.222138334324669</v>
      </c>
      <c r="FH129" s="22">
        <f t="shared" si="76"/>
        <v>687.2469989322816</v>
      </c>
      <c r="FI129" s="62">
        <f t="shared" si="77"/>
        <v>980.58033226561497</v>
      </c>
      <c r="FJ129" s="62">
        <f ca="1">AVERAGE(OFFSET($FI$3,0,0,'Données projet'!$E$16+1,1))-AVERAGE(OFFSET($H$3,0,0,'Données projet'!$E$16+1,1))</f>
        <v>540.83352418045502</v>
      </c>
      <c r="FK129" s="62">
        <f t="shared" si="102"/>
        <v>294.45557293177131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1.1368683772161603E-13</v>
      </c>
      <c r="GA129" s="18">
        <f>FZ129*VLOOKUP('Données projet'!$B$17,Paramètres!$A$1:$I$89,3,0)*VLOOKUP('Données projet'!$B$17,Paramètres!$A$1:$I$89,5,0)</f>
        <v>8.8675733422860506E-14</v>
      </c>
      <c r="GB129" s="14">
        <f t="shared" si="103"/>
        <v>1.3509285393066301E-12</v>
      </c>
      <c r="GC129" s="22">
        <f t="shared" si="79"/>
        <v>2.5073107750038623E-12</v>
      </c>
      <c r="GD129" s="62">
        <f t="shared" si="80"/>
        <v>293.33333333333582</v>
      </c>
      <c r="GE129" s="62">
        <f ca="1">AVERAGE(OFFSET($GD$3,0,0,'Données projet'!$E$17+1,1))-AVERAGE(OFFSET($H$3,0,0,'Données projet'!$E$17+1,1))</f>
        <v>292.57482726862594</v>
      </c>
      <c r="GF129" s="62">
        <f t="shared" si="104"/>
        <v>283.48738729114024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3.979039320256561E-13</v>
      </c>
      <c r="GV129" s="18">
        <f>GU129*VLOOKUP('Données projet'!$B$18,Paramètres!$A$1:$I$89,3,0)*VLOOKUP('Données projet'!$B$18,Paramètres!$A$1:$I$89,5,0)</f>
        <v>2.669139576028101E-13</v>
      </c>
      <c r="GW129" s="14">
        <f t="shared" si="105"/>
        <v>3.5767923834585247E-12</v>
      </c>
      <c r="GX129" s="22">
        <f t="shared" si="82"/>
        <v>6.6944552106818241E-12</v>
      </c>
      <c r="GY129" s="62">
        <f t="shared" si="83"/>
        <v>293.33333333334002</v>
      </c>
      <c r="GZ129" s="62">
        <f ca="1">AVERAGE(OFFSET($GY$3,0,0,'Données projet'!$E$18+1,1))-AVERAGE(OFFSET($H$3,0,0,'Données projet'!$E$18+1,1))</f>
        <v>343.33067866534634</v>
      </c>
      <c r="HA129" s="62">
        <f t="shared" si="106"/>
        <v>261.91036689641402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334.39999999999969</v>
      </c>
      <c r="O130" s="14">
        <f>N130*VLOOKUP('Données projet'!$B$9,Paramètres!$A$1:$I$89,3,0)*VLOOKUP('Données projet'!$B$9,Paramètres!$A$1:$I$89,5,0)</f>
        <v>302.56511999999969</v>
      </c>
      <c r="P130" s="14">
        <f t="shared" si="87"/>
        <v>71.713944401538271</v>
      </c>
      <c r="Q130" s="22">
        <f t="shared" si="107"/>
        <v>651.86937049934534</v>
      </c>
      <c r="R130" s="62">
        <f t="shared" si="55"/>
        <v>945.20270383267871</v>
      </c>
      <c r="S130" s="62">
        <f ca="1">AVERAGE(OFFSET($R$3,0,0,'Données projet'!$E$9+1,1))-AVERAGE(OFFSET($H$3,0,0,'Données projet'!$E$9+1,1))</f>
        <v>508.77990078889337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4.2</v>
      </c>
      <c r="AI130" s="14">
        <f>IF('Données projet'!$A$62&gt;35,AI129+AH130-AQ129,IF(A130&lt;'Données projet'!$A$62,$AF$205^A130,IF(A130='Données projet'!$A$62,'Données projet'!$B$62,AI129+AH130-AQ129)))</f>
        <v>334.39999999999969</v>
      </c>
      <c r="AJ130" s="14">
        <f>AI130*VLOOKUP('Données projet'!$B$10,Paramètres!$A$1:$I$89,3,0)*VLOOKUP('Données projet'!$B$10,Paramètres!$A$1:$I$89,5,0)</f>
        <v>339.0815999999997</v>
      </c>
      <c r="AK130" s="14">
        <f t="shared" si="89"/>
        <v>79.310169307181852</v>
      </c>
      <c r="AL130" s="22">
        <f t="shared" si="58"/>
        <v>728.69899821000797</v>
      </c>
      <c r="AM130" s="62">
        <f t="shared" si="59"/>
        <v>1022.0323315433413</v>
      </c>
      <c r="AN130" s="62">
        <f ca="1">AVERAGE(OFFSET($AM$3,0,0,'Données projet'!$E$10+1,1))-AVERAGE(OFFSET($H$3,0,0,'Données projet'!$E$10+1,1))</f>
        <v>564.84596170333884</v>
      </c>
      <c r="AO130" s="62">
        <f t="shared" si="90"/>
        <v>306.61893266146666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-1.8089849618263545E-13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370.79299728190904</v>
      </c>
      <c r="BJ130" s="62">
        <f t="shared" si="92"/>
        <v>404.95703400805775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-1.8089849618263545E-13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370.79299728190904</v>
      </c>
      <c r="CE130" s="62">
        <f t="shared" si="94"/>
        <v>404.95703400805775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-1.7053025658242404E-13</v>
      </c>
      <c r="CU130" s="18">
        <f>CT130*VLOOKUP('Données projet'!$B$13,Paramètres!$A$1:$I$89,3,0)*VLOOKUP('Données projet'!$B$13,Paramètres!$A$1:$I$89,5,0)</f>
        <v>-1.4897523215040567E-13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339.58437495284466</v>
      </c>
      <c r="CZ130" s="62">
        <f t="shared" si="96"/>
        <v>371.26234252426531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-2.2737367544323206E-13</v>
      </c>
      <c r="DP130" s="18">
        <f>DO130*VLOOKUP('Données projet'!$B$14,Paramètres!$A$1:$I$89,3,0)*VLOOKUP('Données projet'!$B$14,Paramètres!$A$1:$I$89,5,0)</f>
        <v>-1.6671037883497774E-13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344.63665697794022</v>
      </c>
      <c r="DU130" s="62">
        <f t="shared" si="98"/>
        <v>376.72762011188041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5.4092197387944907E-14</v>
      </c>
      <c r="EL130" s="14">
        <f t="shared" si="99"/>
        <v>8.7287050538073676E-13</v>
      </c>
      <c r="EM130" s="22">
        <f t="shared" si="73"/>
        <v>1.6144600406554537E-12</v>
      </c>
      <c r="EN130" s="62">
        <f t="shared" si="74"/>
        <v>293.33333333333491</v>
      </c>
      <c r="EO130" s="62">
        <f ca="1">AVERAGE(OFFSET($EN$3,0,0,'Données projet'!$E$15+1,1))-AVERAGE(OFFSET($H$3,0,0,'Données projet'!$E$15+1,1))</f>
        <v>406.24139966722936</v>
      </c>
      <c r="EP130" s="62">
        <f t="shared" si="100"/>
        <v>295.95724296920577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4.2</v>
      </c>
      <c r="FE130" s="13">
        <f>IF('Données projet'!$A$218&gt;35,FE129+FD130-FM129,IF(A130&lt;'Données projet'!$A$218,$FB$205^A130,IF(A130='Données projet'!$A$218,'Données projet'!$B$218,FE129+FD130-FM129)))</f>
        <v>334.39999999999969</v>
      </c>
      <c r="FF130" s="18">
        <f>FE130*VLOOKUP('Données projet'!$B$16,Paramètres!$A$1:$I$89,3,0)*VLOOKUP('Données projet'!$B$16,Paramètres!$A$1:$I$89,5,0)</f>
        <v>323.43167999999969</v>
      </c>
      <c r="FG130" s="14">
        <f t="shared" si="101"/>
        <v>76.066937542918552</v>
      </c>
      <c r="FH130" s="22">
        <f t="shared" si="76"/>
        <v>695.79342555391588</v>
      </c>
      <c r="FI130" s="62">
        <f t="shared" si="77"/>
        <v>989.12675888724925</v>
      </c>
      <c r="FJ130" s="62">
        <f ca="1">AVERAGE(OFFSET($FI$3,0,0,'Données projet'!$E$16+1,1))-AVERAGE(OFFSET($H$3,0,0,'Données projet'!$E$16+1,1))</f>
        <v>540.83352418045502</v>
      </c>
      <c r="FK130" s="62">
        <f t="shared" si="102"/>
        <v>294.45557293177131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1.1368683772161603E-13</v>
      </c>
      <c r="GA130" s="18">
        <f>FZ130*VLOOKUP('Données projet'!$B$17,Paramètres!$A$1:$I$89,3,0)*VLOOKUP('Données projet'!$B$17,Paramètres!$A$1:$I$89,5,0)</f>
        <v>8.8675733422860506E-14</v>
      </c>
      <c r="GB130" s="14">
        <f t="shared" si="103"/>
        <v>1.3509285393066301E-12</v>
      </c>
      <c r="GC130" s="22">
        <f t="shared" si="79"/>
        <v>2.5073107750038623E-12</v>
      </c>
      <c r="GD130" s="62">
        <f t="shared" si="80"/>
        <v>293.33333333333582</v>
      </c>
      <c r="GE130" s="62">
        <f ca="1">AVERAGE(OFFSET($GD$3,0,0,'Données projet'!$E$17+1,1))-AVERAGE(OFFSET($H$3,0,0,'Données projet'!$E$17+1,1))</f>
        <v>292.57482726862594</v>
      </c>
      <c r="GF130" s="62">
        <f t="shared" si="104"/>
        <v>283.48738729114024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3.979039320256561E-13</v>
      </c>
      <c r="GV130" s="18">
        <f>GU130*VLOOKUP('Données projet'!$B$18,Paramètres!$A$1:$I$89,3,0)*VLOOKUP('Données projet'!$B$18,Paramètres!$A$1:$I$89,5,0)</f>
        <v>2.669139576028101E-13</v>
      </c>
      <c r="GW130" s="14">
        <f t="shared" si="105"/>
        <v>3.5767923834585247E-12</v>
      </c>
      <c r="GX130" s="22">
        <f t="shared" si="82"/>
        <v>6.6944552106818241E-12</v>
      </c>
      <c r="GY130" s="62">
        <f t="shared" si="83"/>
        <v>293.33333333334002</v>
      </c>
      <c r="GZ130" s="62">
        <f ca="1">AVERAGE(OFFSET($GY$3,0,0,'Données projet'!$E$18+1,1))-AVERAGE(OFFSET($H$3,0,0,'Données projet'!$E$18+1,1))</f>
        <v>343.33067866534634</v>
      </c>
      <c r="HA130" s="62">
        <f t="shared" si="106"/>
        <v>261.91036689641402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338.59999999999968</v>
      </c>
      <c r="O131" s="14">
        <f>N131*VLOOKUP('Données projet'!$B$9,Paramètres!$A$1:$I$89,3,0)*VLOOKUP('Données projet'!$B$9,Paramètres!$A$1:$I$89,5,0)</f>
        <v>306.3652799999997</v>
      </c>
      <c r="P131" s="14">
        <f t="shared" si="87"/>
        <v>72.509235711569417</v>
      </c>
      <c r="Q131" s="22">
        <f t="shared" ref="Q131:Q153" si="108">(O131+P131)*0.475*44/12</f>
        <v>659.87311486431622</v>
      </c>
      <c r="R131" s="62">
        <f t="shared" ref="R131:R194" si="109">Q131+(I131+J131)*44/12</f>
        <v>953.20644819764948</v>
      </c>
      <c r="S131" s="62">
        <f ca="1">AVERAGE(OFFSET($R$3,0,0,'Données projet'!$E$9+1,1))-AVERAGE(OFFSET($H$3,0,0,'Données projet'!$E$9+1,1))</f>
        <v>508.77990078889337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4.2</v>
      </c>
      <c r="AI131" s="14">
        <f>IF('Données projet'!$A$62&gt;35,AI130+AH131-AQ130,IF(A131&lt;'Données projet'!$A$62,$AF$205^A131,IF(A131='Données projet'!$A$62,'Données projet'!$B$62,AI130+AH131-AQ130)))</f>
        <v>338.59999999999968</v>
      </c>
      <c r="AJ131" s="14">
        <f>AI131*VLOOKUP('Données projet'!$B$10,Paramètres!$A$1:$I$89,3,0)*VLOOKUP('Données projet'!$B$10,Paramètres!$A$1:$I$89,5,0)</f>
        <v>343.3403999999997</v>
      </c>
      <c r="AK131" s="14">
        <f t="shared" si="89"/>
        <v>80.189701021320118</v>
      </c>
      <c r="AL131" s="22">
        <f t="shared" si="58"/>
        <v>737.64825927879872</v>
      </c>
      <c r="AM131" s="62">
        <f t="shared" si="59"/>
        <v>1030.9815926121321</v>
      </c>
      <c r="AN131" s="62">
        <f ca="1">AVERAGE(OFFSET($AM$3,0,0,'Données projet'!$E$10+1,1))-AVERAGE(OFFSET($H$3,0,0,'Données projet'!$E$10+1,1))</f>
        <v>564.84596170333884</v>
      </c>
      <c r="AO131" s="62">
        <f t="shared" si="90"/>
        <v>306.61893266146666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-1.8089849618263545E-13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370.79299728190904</v>
      </c>
      <c r="BJ131" s="62">
        <f t="shared" si="92"/>
        <v>404.95703400805775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-1.8089849618263545E-13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370.79299728190904</v>
      </c>
      <c r="CE131" s="62">
        <f t="shared" si="94"/>
        <v>404.95703400805775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-1.7053025658242404E-13</v>
      </c>
      <c r="CU131" s="18">
        <f>CT131*VLOOKUP('Données projet'!$B$13,Paramètres!$A$1:$I$89,3,0)*VLOOKUP('Données projet'!$B$13,Paramètres!$A$1:$I$89,5,0)</f>
        <v>-1.4897523215040567E-13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339.58437495284466</v>
      </c>
      <c r="CZ131" s="62">
        <f t="shared" si="96"/>
        <v>371.26234252426531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-2.2737367544323206E-13</v>
      </c>
      <c r="DP131" s="18">
        <f>DO131*VLOOKUP('Données projet'!$B$14,Paramètres!$A$1:$I$89,3,0)*VLOOKUP('Données projet'!$B$14,Paramètres!$A$1:$I$89,5,0)</f>
        <v>-1.6671037883497774E-13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344.63665697794022</v>
      </c>
      <c r="DU131" s="62">
        <f t="shared" si="98"/>
        <v>376.72762011188041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5.4092197387944907E-14</v>
      </c>
      <c r="EL131" s="14">
        <f t="shared" si="99"/>
        <v>8.7287050538073676E-13</v>
      </c>
      <c r="EM131" s="22">
        <f t="shared" si="73"/>
        <v>1.6144600406554537E-12</v>
      </c>
      <c r="EN131" s="62">
        <f t="shared" si="74"/>
        <v>293.33333333333491</v>
      </c>
      <c r="EO131" s="62">
        <f ca="1">AVERAGE(OFFSET($EN$3,0,0,'Données projet'!$E$15+1,1))-AVERAGE(OFFSET($H$3,0,0,'Données projet'!$E$15+1,1))</f>
        <v>406.24139966722936</v>
      </c>
      <c r="EP131" s="62">
        <f t="shared" si="100"/>
        <v>295.95724296920577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4.2</v>
      </c>
      <c r="FE131" s="13">
        <f>IF('Données projet'!$A$218&gt;35,FE130+FD131-FM130,IF(A131&lt;'Données projet'!$A$218,$FB$205^A131,IF(A131='Données projet'!$A$218,'Données projet'!$B$218,FE130+FD131-FM130)))</f>
        <v>338.59999999999968</v>
      </c>
      <c r="FF131" s="18">
        <f>FE131*VLOOKUP('Données projet'!$B$16,Paramètres!$A$1:$I$89,3,0)*VLOOKUP('Données projet'!$B$16,Paramètres!$A$1:$I$89,5,0)</f>
        <v>327.49391999999966</v>
      </c>
      <c r="FG131" s="14">
        <f t="shared" si="101"/>
        <v>76.910502555461179</v>
      </c>
      <c r="FH131" s="22">
        <f t="shared" si="76"/>
        <v>704.33770261742757</v>
      </c>
      <c r="FI131" s="62">
        <f t="shared" si="77"/>
        <v>997.67103595076082</v>
      </c>
      <c r="FJ131" s="62">
        <f ca="1">AVERAGE(OFFSET($FI$3,0,0,'Données projet'!$E$16+1,1))-AVERAGE(OFFSET($H$3,0,0,'Données projet'!$E$16+1,1))</f>
        <v>540.83352418045502</v>
      </c>
      <c r="FK131" s="62">
        <f t="shared" si="102"/>
        <v>294.45557293177131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1.1368683772161603E-13</v>
      </c>
      <c r="GA131" s="18">
        <f>FZ131*VLOOKUP('Données projet'!$B$17,Paramètres!$A$1:$I$89,3,0)*VLOOKUP('Données projet'!$B$17,Paramètres!$A$1:$I$89,5,0)</f>
        <v>8.8675733422860506E-14</v>
      </c>
      <c r="GB131" s="14">
        <f t="shared" si="103"/>
        <v>1.3509285393066301E-12</v>
      </c>
      <c r="GC131" s="22">
        <f t="shared" si="79"/>
        <v>2.5073107750038623E-12</v>
      </c>
      <c r="GD131" s="62">
        <f t="shared" si="80"/>
        <v>293.33333333333582</v>
      </c>
      <c r="GE131" s="62">
        <f ca="1">AVERAGE(OFFSET($GD$3,0,0,'Données projet'!$E$17+1,1))-AVERAGE(OFFSET($H$3,0,0,'Données projet'!$E$17+1,1))</f>
        <v>292.57482726862594</v>
      </c>
      <c r="GF131" s="62">
        <f t="shared" si="104"/>
        <v>283.48738729114024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3.979039320256561E-13</v>
      </c>
      <c r="GV131" s="18">
        <f>GU131*VLOOKUP('Données projet'!$B$18,Paramètres!$A$1:$I$89,3,0)*VLOOKUP('Données projet'!$B$18,Paramètres!$A$1:$I$89,5,0)</f>
        <v>2.669139576028101E-13</v>
      </c>
      <c r="GW131" s="14">
        <f t="shared" si="105"/>
        <v>3.5767923834585247E-12</v>
      </c>
      <c r="GX131" s="22">
        <f t="shared" si="82"/>
        <v>6.6944552106818241E-12</v>
      </c>
      <c r="GY131" s="62">
        <f t="shared" si="83"/>
        <v>293.33333333334002</v>
      </c>
      <c r="GZ131" s="62">
        <f ca="1">AVERAGE(OFFSET($GY$3,0,0,'Données projet'!$E$18+1,1))-AVERAGE(OFFSET($H$3,0,0,'Données projet'!$E$18+1,1))</f>
        <v>343.33067866534634</v>
      </c>
      <c r="HA131" s="62">
        <f t="shared" si="106"/>
        <v>261.91036689641402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342.79999999999967</v>
      </c>
      <c r="O132" s="14">
        <f>N132*VLOOKUP('Données projet'!$B$9,Paramètres!$A$1:$I$89,3,0)*VLOOKUP('Données projet'!$B$9,Paramètres!$A$1:$I$89,5,0)</f>
        <v>310.16543999999965</v>
      </c>
      <c r="P132" s="14">
        <f t="shared" si="87"/>
        <v>73.303379555549043</v>
      </c>
      <c r="Q132" s="22">
        <f t="shared" si="108"/>
        <v>667.874860725914</v>
      </c>
      <c r="R132" s="62">
        <f t="shared" si="109"/>
        <v>961.20819405924726</v>
      </c>
      <c r="S132" s="62">
        <f ca="1">AVERAGE(OFFSET($R$3,0,0,'Données projet'!$E$9+1,1))-AVERAGE(OFFSET($H$3,0,0,'Données projet'!$E$9+1,1))</f>
        <v>508.77990078889337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4.2</v>
      </c>
      <c r="AI132" s="14">
        <f>IF('Données projet'!$A$62&gt;35,AI131+AH132-AQ131,IF(A132&lt;'Données projet'!$A$62,$AF$205^A132,IF(A132='Données projet'!$A$62,'Données projet'!$B$62,AI131+AH132-AQ131)))</f>
        <v>342.79999999999967</v>
      </c>
      <c r="AJ132" s="14">
        <f>AI132*VLOOKUP('Données projet'!$B$10,Paramètres!$A$1:$I$89,3,0)*VLOOKUP('Données projet'!$B$10,Paramètres!$A$1:$I$89,5,0)</f>
        <v>347.59919999999971</v>
      </c>
      <c r="AK132" s="14">
        <f t="shared" si="89"/>
        <v>81.067963725259872</v>
      </c>
      <c r="AL132" s="22">
        <f t="shared" ref="AL132:AL153" si="112">(AJ132+AK132)*0.475*44/12</f>
        <v>746.59531015482708</v>
      </c>
      <c r="AM132" s="62">
        <f t="shared" ref="AM132:AM195" si="113">AL132+(AD132+AE132)*44/12</f>
        <v>1039.9286434881603</v>
      </c>
      <c r="AN132" s="62">
        <f ca="1">AVERAGE(OFFSET($AM$3,0,0,'Données projet'!$E$10+1,1))-AVERAGE(OFFSET($H$3,0,0,'Données projet'!$E$10+1,1))</f>
        <v>564.84596170333884</v>
      </c>
      <c r="AO132" s="62">
        <f t="shared" si="90"/>
        <v>306.61893266146666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-1.8089849618263545E-13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370.79299728190904</v>
      </c>
      <c r="BJ132" s="62">
        <f t="shared" si="92"/>
        <v>404.95703400805775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-1.8089849618263545E-13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370.79299728190904</v>
      </c>
      <c r="CE132" s="62">
        <f t="shared" si="94"/>
        <v>404.95703400805775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-1.7053025658242404E-13</v>
      </c>
      <c r="CU132" s="18">
        <f>CT132*VLOOKUP('Données projet'!$B$13,Paramètres!$A$1:$I$89,3,0)*VLOOKUP('Données projet'!$B$13,Paramètres!$A$1:$I$89,5,0)</f>
        <v>-1.4897523215040567E-13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339.58437495284466</v>
      </c>
      <c r="CZ132" s="62">
        <f t="shared" si="96"/>
        <v>371.26234252426531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-2.2737367544323206E-13</v>
      </c>
      <c r="DP132" s="18">
        <f>DO132*VLOOKUP('Données projet'!$B$14,Paramètres!$A$1:$I$89,3,0)*VLOOKUP('Données projet'!$B$14,Paramètres!$A$1:$I$89,5,0)</f>
        <v>-1.6671037883497774E-13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344.63665697794022</v>
      </c>
      <c r="DU132" s="62">
        <f t="shared" si="98"/>
        <v>376.72762011188041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5.4092197387944907E-14</v>
      </c>
      <c r="EL132" s="14">
        <f t="shared" si="99"/>
        <v>8.7287050538073676E-13</v>
      </c>
      <c r="EM132" s="22">
        <f t="shared" ref="EM132:EM153" si="127">(EK132+EL132)*0.475*44/12</f>
        <v>1.6144600406554537E-12</v>
      </c>
      <c r="EN132" s="62">
        <f t="shared" ref="EN132:EN195" si="128">EM132+(EE132+EF132)*44/12</f>
        <v>293.33333333333491</v>
      </c>
      <c r="EO132" s="62">
        <f ca="1">AVERAGE(OFFSET($EN$3,0,0,'Données projet'!$E$15+1,1))-AVERAGE(OFFSET($H$3,0,0,'Données projet'!$E$15+1,1))</f>
        <v>406.24139966722936</v>
      </c>
      <c r="EP132" s="62">
        <f t="shared" si="100"/>
        <v>295.95724296920577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4.2</v>
      </c>
      <c r="FE132" s="13">
        <f>IF('Données projet'!$A$218&gt;35,FE131+FD132-FM131,IF(A132&lt;'Données projet'!$A$218,$FB$205^A132,IF(A132='Données projet'!$A$218,'Données projet'!$B$218,FE131+FD132-FM131)))</f>
        <v>342.79999999999967</v>
      </c>
      <c r="FF132" s="18">
        <f>FE132*VLOOKUP('Données projet'!$B$16,Paramètres!$A$1:$I$89,3,0)*VLOOKUP('Données projet'!$B$16,Paramètres!$A$1:$I$89,5,0)</f>
        <v>331.55615999999969</v>
      </c>
      <c r="FG132" s="14">
        <f t="shared" si="101"/>
        <v>77.752850451455544</v>
      </c>
      <c r="FH132" s="22">
        <f t="shared" ref="FH132:FH153" si="130">(FF132+FG132)*0.475*44/12</f>
        <v>712.87985986961792</v>
      </c>
      <c r="FI132" s="62">
        <f t="shared" ref="FI132:FI195" si="131">FH132+(EZ132+FA132)*44/12</f>
        <v>1006.2131932029513</v>
      </c>
      <c r="FJ132" s="62">
        <f ca="1">AVERAGE(OFFSET($FI$3,0,0,'Données projet'!$E$16+1,1))-AVERAGE(OFFSET($H$3,0,0,'Données projet'!$E$16+1,1))</f>
        <v>540.83352418045502</v>
      </c>
      <c r="FK132" s="62">
        <f t="shared" si="102"/>
        <v>294.45557293177131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1.1368683772161603E-13</v>
      </c>
      <c r="GA132" s="18">
        <f>FZ132*VLOOKUP('Données projet'!$B$17,Paramètres!$A$1:$I$89,3,0)*VLOOKUP('Données projet'!$B$17,Paramètres!$A$1:$I$89,5,0)</f>
        <v>8.8675733422860506E-14</v>
      </c>
      <c r="GB132" s="14">
        <f t="shared" si="103"/>
        <v>1.3509285393066301E-12</v>
      </c>
      <c r="GC132" s="22">
        <f t="shared" ref="GC132:GC153" si="133">(GA132+GB132)*0.475*44/12</f>
        <v>2.5073107750038623E-12</v>
      </c>
      <c r="GD132" s="62">
        <f t="shared" ref="GD132:GD195" si="134">GC132+(FU132+FV132)*44/12</f>
        <v>293.33333333333582</v>
      </c>
      <c r="GE132" s="62">
        <f ca="1">AVERAGE(OFFSET($GD$3,0,0,'Données projet'!$E$17+1,1))-AVERAGE(OFFSET($H$3,0,0,'Données projet'!$E$17+1,1))</f>
        <v>292.57482726862594</v>
      </c>
      <c r="GF132" s="62">
        <f t="shared" si="104"/>
        <v>283.48738729114024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3.979039320256561E-13</v>
      </c>
      <c r="GV132" s="18">
        <f>GU132*VLOOKUP('Données projet'!$B$18,Paramètres!$A$1:$I$89,3,0)*VLOOKUP('Données projet'!$B$18,Paramètres!$A$1:$I$89,5,0)</f>
        <v>2.669139576028101E-13</v>
      </c>
      <c r="GW132" s="14">
        <f t="shared" si="105"/>
        <v>3.5767923834585247E-12</v>
      </c>
      <c r="GX132" s="22">
        <f t="shared" ref="GX132:GX153" si="136">(GV132+GW132)*0.475*44/12</f>
        <v>6.6944552106818241E-12</v>
      </c>
      <c r="GY132" s="62">
        <f t="shared" ref="GY132:GY195" si="137">GX132+(GP132+GQ132)*44/12</f>
        <v>293.33333333334002</v>
      </c>
      <c r="GZ132" s="62">
        <f ca="1">AVERAGE(OFFSET($GY$3,0,0,'Données projet'!$E$18+1,1))-AVERAGE(OFFSET($H$3,0,0,'Données projet'!$E$18+1,1))</f>
        <v>343.33067866534634</v>
      </c>
      <c r="HA132" s="62">
        <f t="shared" si="106"/>
        <v>261.91036689641402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347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346.99999999999966</v>
      </c>
      <c r="O133" s="14">
        <f>N133*VLOOKUP('Données projet'!$B$9,Paramètres!$A$1:$I$89,3,0)*VLOOKUP('Données projet'!$B$9,Paramètres!$A$1:$I$89,5,0)</f>
        <v>313.96559999999971</v>
      </c>
      <c r="P133" s="14">
        <f t="shared" ref="P133:P196" si="141">EXP(-1.0587+0.8836*LN(O133)+0.284)</f>
        <v>74.096391618326706</v>
      </c>
      <c r="Q133" s="22">
        <f t="shared" si="108"/>
        <v>675.87463540191857</v>
      </c>
      <c r="R133" s="62">
        <f t="shared" si="109"/>
        <v>969.20796873525182</v>
      </c>
      <c r="S133" s="62">
        <f ca="1">AVERAGE(OFFSET($R$3,0,0,'Données projet'!$E$9+1,1))-AVERAGE(OFFSET($H$3,0,0,'Données projet'!$E$9+1,1))</f>
        <v>508.77990078889337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44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347</v>
      </c>
      <c r="AG133" s="13">
        <f>VLOOKUP(A133,'Données projet'!$A$61:$I$81,9,0)</f>
        <v>4.2</v>
      </c>
      <c r="AH133" s="13">
        <f t="array" ref="AH133">INDEX(AG:AG,MIN(IF(ISNUMBER(AG133:AG329),ROW(AG133:AG329),"")))</f>
        <v>4.2</v>
      </c>
      <c r="AI133" s="14">
        <f>IF('Données projet'!$A$62&gt;35,AI132+AH133-AQ132,IF(A133&lt;'Données projet'!$A$62,$AF$205^A133,IF(A133='Données projet'!$A$62,'Données projet'!$B$62,AI132+AH133-AQ132)))</f>
        <v>346.99999999999966</v>
      </c>
      <c r="AJ133" s="14">
        <f>AI133*VLOOKUP('Données projet'!$B$10,Paramètres!$A$1:$I$89,3,0)*VLOOKUP('Données projet'!$B$10,Paramètres!$A$1:$I$89,5,0)</f>
        <v>351.85799999999966</v>
      </c>
      <c r="AK133" s="14">
        <f t="shared" ref="AK133:AK153" si="143">EXP(-1.0587+0.8836*LN(AJ133)+0.284)</f>
        <v>81.944974765252041</v>
      </c>
      <c r="AL133" s="22">
        <f t="shared" si="112"/>
        <v>755.54018104948</v>
      </c>
      <c r="AM133" s="62">
        <f t="shared" si="113"/>
        <v>1048.8735143828133</v>
      </c>
      <c r="AN133" s="62">
        <f ca="1">AVERAGE(OFFSET($AM$3,0,0,'Données projet'!$E$10+1,1))-AVERAGE(OFFSET($H$3,0,0,'Données projet'!$E$10+1,1))</f>
        <v>564.84596170333884</v>
      </c>
      <c r="AO133" s="62">
        <f t="shared" ref="AO133:AO196" si="144">$AO$3</f>
        <v>306.61893266146666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44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-1.8089849618263545E-13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370.79299728190904</v>
      </c>
      <c r="BJ133" s="62">
        <f t="shared" ref="BJ133:BJ196" si="146">$BJ$3</f>
        <v>404.95703400805775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-1.8089849618263545E-13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370.79299728190904</v>
      </c>
      <c r="CE133" s="62">
        <f t="shared" ref="CE133:CE196" si="148">$CE$3</f>
        <v>404.95703400805775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-1.7053025658242404E-13</v>
      </c>
      <c r="CU133" s="18">
        <f>CT133*VLOOKUP('Données projet'!$B$13,Paramètres!$A$1:$I$89,3,0)*VLOOKUP('Données projet'!$B$13,Paramètres!$A$1:$I$89,5,0)</f>
        <v>-1.4897523215040567E-13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339.58437495284466</v>
      </c>
      <c r="CZ133" s="62">
        <f t="shared" ref="CZ133:CZ196" si="150">$CZ$3</f>
        <v>371.26234252426531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-2.2737367544323206E-13</v>
      </c>
      <c r="DP133" s="18">
        <f>DO133*VLOOKUP('Données projet'!$B$14,Paramètres!$A$1:$I$89,3,0)*VLOOKUP('Données projet'!$B$14,Paramètres!$A$1:$I$89,5,0)</f>
        <v>-1.6671037883497774E-13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344.63665697794022</v>
      </c>
      <c r="DU133" s="62">
        <f t="shared" ref="DU133:DU196" si="152">$DU$3</f>
        <v>376.72762011188041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5.4092197387944907E-14</v>
      </c>
      <c r="EL133" s="14">
        <f t="shared" ref="EL133:EL153" si="153">EXP(-1.0587+0.8836*LN(EK133)+0.284)</f>
        <v>8.7287050538073676E-13</v>
      </c>
      <c r="EM133" s="22">
        <f t="shared" si="127"/>
        <v>1.6144600406554537E-12</v>
      </c>
      <c r="EN133" s="62">
        <f t="shared" si="128"/>
        <v>293.33333333333491</v>
      </c>
      <c r="EO133" s="62">
        <f ca="1">AVERAGE(OFFSET($EN$3,0,0,'Données projet'!$E$15+1,1))-AVERAGE(OFFSET($H$3,0,0,'Données projet'!$E$15+1,1))</f>
        <v>406.24139966722936</v>
      </c>
      <c r="EP133" s="62">
        <f t="shared" ref="EP133:EP196" si="154">$EP$3</f>
        <v>295.95724296920577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347</v>
      </c>
      <c r="FC133" s="13">
        <f>VLOOKUP(A133,'Données projet'!$A$217:$I$237,9,0)</f>
        <v>4.2</v>
      </c>
      <c r="FD133" s="13">
        <f t="array" ref="FD133">INDEX(FC:FC,MIN(IF(ISNUMBER(FC133:FC329),ROW(FC133:FC329),"")))</f>
        <v>4.2</v>
      </c>
      <c r="FE133" s="13">
        <f>IF('Données projet'!$A$218&gt;35,FE132+FD133-FM132,IF(A133&lt;'Données projet'!$A$218,$FB$205^A133,IF(A133='Données projet'!$A$218,'Données projet'!$B$218,FE132+FD133-FM132)))</f>
        <v>346.99999999999966</v>
      </c>
      <c r="FF133" s="18">
        <f>FE133*VLOOKUP('Données projet'!$B$16,Paramètres!$A$1:$I$89,3,0)*VLOOKUP('Données projet'!$B$16,Paramètres!$A$1:$I$89,5,0)</f>
        <v>335.61839999999967</v>
      </c>
      <c r="FG133" s="14">
        <f t="shared" ref="FG133:FG153" si="155">EXP(-1.0587+0.8836*LN(FF133)+0.284)</f>
        <v>78.593997867812135</v>
      </c>
      <c r="FH133" s="22">
        <f t="shared" si="130"/>
        <v>721.41992628643868</v>
      </c>
      <c r="FI133" s="62">
        <f t="shared" si="131"/>
        <v>1014.7532596197721</v>
      </c>
      <c r="FJ133" s="62">
        <f ca="1">AVERAGE(OFFSET($FI$3,0,0,'Données projet'!$E$16+1,1))-AVERAGE(OFFSET($H$3,0,0,'Données projet'!$E$16+1,1))</f>
        <v>540.83352418045502</v>
      </c>
      <c r="FK133" s="62">
        <f t="shared" ref="FK133:FK196" si="156">$FK$3</f>
        <v>294.45557293177131</v>
      </c>
      <c r="FL133" s="16">
        <f>IF(ISNA(VLOOKUP(A133,'Données projet'!$A$217:$I$237,3,0)),0,VLOOKUP(A133,'Données projet'!$A$217:$I$237,3,0))</f>
        <v>11</v>
      </c>
      <c r="FM133" s="16">
        <f>IF(ISNA(VLOOKUP(A133,'Données projet'!$A$217:$I$237,4,0)),0,VLOOKUP(A133,'Données projet'!$A$217:$I$237,4,0))</f>
        <v>44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1.1368683772161603E-13</v>
      </c>
      <c r="GA133" s="18">
        <f>FZ133*VLOOKUP('Données projet'!$B$17,Paramètres!$A$1:$I$89,3,0)*VLOOKUP('Données projet'!$B$17,Paramètres!$A$1:$I$89,5,0)</f>
        <v>8.8675733422860506E-14</v>
      </c>
      <c r="GB133" s="14">
        <f t="shared" ref="GB133:GB153" si="157">EXP(-1.0587+0.8836*LN(GA133)+0.284)</f>
        <v>1.3509285393066301E-12</v>
      </c>
      <c r="GC133" s="22">
        <f t="shared" si="133"/>
        <v>2.5073107750038623E-12</v>
      </c>
      <c r="GD133" s="62">
        <f t="shared" si="134"/>
        <v>293.33333333333582</v>
      </c>
      <c r="GE133" s="62">
        <f ca="1">AVERAGE(OFFSET($GD$3,0,0,'Données projet'!$E$17+1,1))-AVERAGE(OFFSET($H$3,0,0,'Données projet'!$E$17+1,1))</f>
        <v>292.57482726862594</v>
      </c>
      <c r="GF133" s="62">
        <f t="shared" ref="GF133:GF196" si="158">$GF$3</f>
        <v>283.48738729114024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3.979039320256561E-13</v>
      </c>
      <c r="GV133" s="18">
        <f>GU133*VLOOKUP('Données projet'!$B$18,Paramètres!$A$1:$I$89,3,0)*VLOOKUP('Données projet'!$B$18,Paramètres!$A$1:$I$89,5,0)</f>
        <v>2.669139576028101E-13</v>
      </c>
      <c r="GW133" s="14">
        <f t="shared" ref="GW133:GW153" si="159">EXP(-1.0587+0.8836*LN(GV133)+0.284)</f>
        <v>3.5767923834585247E-12</v>
      </c>
      <c r="GX133" s="22">
        <f t="shared" si="136"/>
        <v>6.6944552106818241E-12</v>
      </c>
      <c r="GY133" s="62">
        <f t="shared" si="137"/>
        <v>293.33333333334002</v>
      </c>
      <c r="GZ133" s="62">
        <f ca="1">AVERAGE(OFFSET($GY$3,0,0,'Données projet'!$E$18+1,1))-AVERAGE(OFFSET($H$3,0,0,'Données projet'!$E$18+1,1))</f>
        <v>343.33067866534634</v>
      </c>
      <c r="HA133" s="62">
        <f t="shared" ref="HA133:HA196" si="160">$HA$3</f>
        <v>261.91036689641402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306.79999999999967</v>
      </c>
      <c r="O134" s="14">
        <f>N134*VLOOKUP('Données projet'!$B$9,Paramètres!$A$1:$I$89,3,0)*VLOOKUP('Données projet'!$B$9,Paramètres!$A$1:$I$89,5,0)</f>
        <v>277.59263999999968</v>
      </c>
      <c r="P134" s="14">
        <f t="shared" si="141"/>
        <v>66.458009122425452</v>
      </c>
      <c r="Q134" s="22">
        <f t="shared" si="108"/>
        <v>599.22154722155699</v>
      </c>
      <c r="R134" s="62">
        <f t="shared" si="109"/>
        <v>892.55488055489036</v>
      </c>
      <c r="S134" s="62">
        <f ca="1">AVERAGE(OFFSET($R$3,0,0,'Données projet'!$E$9+1,1))-AVERAGE(OFFSET($H$3,0,0,'Données projet'!$E$9+1,1))</f>
        <v>508.77990078889337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3.8</v>
      </c>
      <c r="AI134" s="14">
        <f>IF('Données projet'!$A$62&gt;35,AI133+AH134-AQ133,IF(A134&lt;'Données projet'!$A$62,$AF$205^A134,IF(A134='Données projet'!$A$62,'Données projet'!$B$62,AI133+AH134-AQ133)))</f>
        <v>306.79999999999967</v>
      </c>
      <c r="AJ134" s="14">
        <f>AI134*VLOOKUP('Données projet'!$B$10,Paramètres!$A$1:$I$89,3,0)*VLOOKUP('Données projet'!$B$10,Paramètres!$A$1:$I$89,5,0)</f>
        <v>311.09519999999969</v>
      </c>
      <c r="AK134" s="14">
        <f t="shared" si="143"/>
        <v>73.497504555121708</v>
      </c>
      <c r="AL134" s="22">
        <f t="shared" si="112"/>
        <v>669.83229376683641</v>
      </c>
      <c r="AM134" s="62">
        <f t="shared" si="113"/>
        <v>963.16562710016979</v>
      </c>
      <c r="AN134" s="62">
        <f ca="1">AVERAGE(OFFSET($AM$3,0,0,'Données projet'!$E$10+1,1))-AVERAGE(OFFSET($H$3,0,0,'Données projet'!$E$10+1,1))</f>
        <v>564.84596170333884</v>
      </c>
      <c r="AO134" s="62">
        <f t="shared" si="144"/>
        <v>306.61893266146666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-1.8089849618263545E-13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370.79299728190904</v>
      </c>
      <c r="BJ134" s="62">
        <f t="shared" si="146"/>
        <v>404.95703400805775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-1.8089849618263545E-13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370.79299728190904</v>
      </c>
      <c r="CE134" s="62">
        <f t="shared" si="148"/>
        <v>404.95703400805775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-1.7053025658242404E-13</v>
      </c>
      <c r="CU134" s="18">
        <f>CT134*VLOOKUP('Données projet'!$B$13,Paramètres!$A$1:$I$89,3,0)*VLOOKUP('Données projet'!$B$13,Paramètres!$A$1:$I$89,5,0)</f>
        <v>-1.4897523215040567E-13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339.58437495284466</v>
      </c>
      <c r="CZ134" s="62">
        <f t="shared" si="150"/>
        <v>371.26234252426531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-2.2737367544323206E-13</v>
      </c>
      <c r="DP134" s="18">
        <f>DO134*VLOOKUP('Données projet'!$B$14,Paramètres!$A$1:$I$89,3,0)*VLOOKUP('Données projet'!$B$14,Paramètres!$A$1:$I$89,5,0)</f>
        <v>-1.6671037883497774E-13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344.63665697794022</v>
      </c>
      <c r="DU134" s="62">
        <f t="shared" si="152"/>
        <v>376.72762011188041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5.4092197387944907E-14</v>
      </c>
      <c r="EL134" s="14">
        <f t="shared" si="153"/>
        <v>8.7287050538073676E-13</v>
      </c>
      <c r="EM134" s="22">
        <f t="shared" si="127"/>
        <v>1.6144600406554537E-12</v>
      </c>
      <c r="EN134" s="62">
        <f t="shared" si="128"/>
        <v>293.33333333333491</v>
      </c>
      <c r="EO134" s="62">
        <f ca="1">AVERAGE(OFFSET($EN$3,0,0,'Données projet'!$E$15+1,1))-AVERAGE(OFFSET($H$3,0,0,'Données projet'!$E$15+1,1))</f>
        <v>406.24139966722936</v>
      </c>
      <c r="EP134" s="62">
        <f t="shared" si="154"/>
        <v>295.95724296920577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3.8</v>
      </c>
      <c r="FE134" s="13">
        <f>IF('Données projet'!$A$218&gt;35,FE133+FD134-FM133,IF(A134&lt;'Données projet'!$A$218,$FB$205^A134,IF(A134='Données projet'!$A$218,'Données projet'!$B$218,FE133+FD134-FM133)))</f>
        <v>306.79999999999967</v>
      </c>
      <c r="FF134" s="18">
        <f>FE134*VLOOKUP('Données projet'!$B$16,Paramètres!$A$1:$I$89,3,0)*VLOOKUP('Données projet'!$B$16,Paramètres!$A$1:$I$89,5,0)</f>
        <v>296.73695999999967</v>
      </c>
      <c r="FG134" s="14">
        <f t="shared" si="155"/>
        <v>70.491970164645096</v>
      </c>
      <c r="FH134" s="22">
        <f t="shared" si="130"/>
        <v>639.59038670342306</v>
      </c>
      <c r="FI134" s="62">
        <f t="shared" si="131"/>
        <v>932.92372003675632</v>
      </c>
      <c r="FJ134" s="62">
        <f ca="1">AVERAGE(OFFSET($FI$3,0,0,'Données projet'!$E$16+1,1))-AVERAGE(OFFSET($H$3,0,0,'Données projet'!$E$16+1,1))</f>
        <v>540.83352418045502</v>
      </c>
      <c r="FK134" s="62">
        <f t="shared" si="156"/>
        <v>294.45557293177131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1.1368683772161603E-13</v>
      </c>
      <c r="GA134" s="18">
        <f>FZ134*VLOOKUP('Données projet'!$B$17,Paramètres!$A$1:$I$89,3,0)*VLOOKUP('Données projet'!$B$17,Paramètres!$A$1:$I$89,5,0)</f>
        <v>8.8675733422860506E-14</v>
      </c>
      <c r="GB134" s="14">
        <f t="shared" si="157"/>
        <v>1.3509285393066301E-12</v>
      </c>
      <c r="GC134" s="22">
        <f t="shared" si="133"/>
        <v>2.5073107750038623E-12</v>
      </c>
      <c r="GD134" s="62">
        <f t="shared" si="134"/>
        <v>293.33333333333582</v>
      </c>
      <c r="GE134" s="62">
        <f ca="1">AVERAGE(OFFSET($GD$3,0,0,'Données projet'!$E$17+1,1))-AVERAGE(OFFSET($H$3,0,0,'Données projet'!$E$17+1,1))</f>
        <v>292.57482726862594</v>
      </c>
      <c r="GF134" s="62">
        <f t="shared" si="158"/>
        <v>283.48738729114024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3.979039320256561E-13</v>
      </c>
      <c r="GV134" s="18">
        <f>GU134*VLOOKUP('Données projet'!$B$18,Paramètres!$A$1:$I$89,3,0)*VLOOKUP('Données projet'!$B$18,Paramètres!$A$1:$I$89,5,0)</f>
        <v>2.669139576028101E-13</v>
      </c>
      <c r="GW134" s="14">
        <f t="shared" si="159"/>
        <v>3.5767923834585247E-12</v>
      </c>
      <c r="GX134" s="22">
        <f t="shared" si="136"/>
        <v>6.6944552106818241E-12</v>
      </c>
      <c r="GY134" s="62">
        <f t="shared" si="137"/>
        <v>293.33333333334002</v>
      </c>
      <c r="GZ134" s="62">
        <f ca="1">AVERAGE(OFFSET($GY$3,0,0,'Données projet'!$E$18+1,1))-AVERAGE(OFFSET($H$3,0,0,'Données projet'!$E$18+1,1))</f>
        <v>343.33067866534634</v>
      </c>
      <c r="HA134" s="62">
        <f t="shared" si="160"/>
        <v>261.91036689641402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310.59999999999968</v>
      </c>
      <c r="O135" s="14">
        <f>N135*VLOOKUP('Données projet'!$B$9,Paramètres!$A$1:$I$89,3,0)*VLOOKUP('Données projet'!$B$9,Paramètres!$A$1:$I$89,5,0)</f>
        <v>281.03087999999968</v>
      </c>
      <c r="P135" s="14">
        <f t="shared" si="141"/>
        <v>67.184816842275467</v>
      </c>
      <c r="Q135" s="22">
        <f t="shared" si="108"/>
        <v>606.47567200029584</v>
      </c>
      <c r="R135" s="62">
        <f t="shared" si="109"/>
        <v>899.8090053336291</v>
      </c>
      <c r="S135" s="62">
        <f ca="1">AVERAGE(OFFSET($R$3,0,0,'Données projet'!$E$9+1,1))-AVERAGE(OFFSET($H$3,0,0,'Données projet'!$E$9+1,1))</f>
        <v>508.77990078889337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3.8</v>
      </c>
      <c r="AI135" s="14">
        <f>IF('Données projet'!$A$62&gt;35,AI134+AH135-AQ134,IF(A135&lt;'Données projet'!$A$62,$AF$205^A135,IF(A135='Données projet'!$A$62,'Données projet'!$B$62,AI134+AH135-AQ134)))</f>
        <v>310.59999999999968</v>
      </c>
      <c r="AJ135" s="14">
        <f>AI135*VLOOKUP('Données projet'!$B$10,Paramètres!$A$1:$I$89,3,0)*VLOOKUP('Données projet'!$B$10,Paramètres!$A$1:$I$89,5,0)</f>
        <v>314.94839999999965</v>
      </c>
      <c r="AK135" s="14">
        <f t="shared" si="143"/>
        <v>74.301298626081078</v>
      </c>
      <c r="AL135" s="22">
        <f t="shared" si="112"/>
        <v>677.9432251070906</v>
      </c>
      <c r="AM135" s="62">
        <f t="shared" si="113"/>
        <v>971.27655844042397</v>
      </c>
      <c r="AN135" s="62">
        <f ca="1">AVERAGE(OFFSET($AM$3,0,0,'Données projet'!$E$10+1,1))-AVERAGE(OFFSET($H$3,0,0,'Données projet'!$E$10+1,1))</f>
        <v>564.84596170333884</v>
      </c>
      <c r="AO135" s="62">
        <f t="shared" si="144"/>
        <v>306.61893266146666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-1.8089849618263545E-13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370.79299728190904</v>
      </c>
      <c r="BJ135" s="62">
        <f t="shared" si="146"/>
        <v>404.95703400805775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-1.8089849618263545E-13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370.79299728190904</v>
      </c>
      <c r="CE135" s="62">
        <f t="shared" si="148"/>
        <v>404.95703400805775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-1.7053025658242404E-13</v>
      </c>
      <c r="CU135" s="18">
        <f>CT135*VLOOKUP('Données projet'!$B$13,Paramètres!$A$1:$I$89,3,0)*VLOOKUP('Données projet'!$B$13,Paramètres!$A$1:$I$89,5,0)</f>
        <v>-1.4897523215040567E-13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339.58437495284466</v>
      </c>
      <c r="CZ135" s="62">
        <f t="shared" si="150"/>
        <v>371.26234252426531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-2.2737367544323206E-13</v>
      </c>
      <c r="DP135" s="18">
        <f>DO135*VLOOKUP('Données projet'!$B$14,Paramètres!$A$1:$I$89,3,0)*VLOOKUP('Données projet'!$B$14,Paramètres!$A$1:$I$89,5,0)</f>
        <v>-1.6671037883497774E-13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344.63665697794022</v>
      </c>
      <c r="DU135" s="62">
        <f t="shared" si="152"/>
        <v>376.72762011188041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5.4092197387944907E-14</v>
      </c>
      <c r="EL135" s="14">
        <f t="shared" si="153"/>
        <v>8.7287050538073676E-13</v>
      </c>
      <c r="EM135" s="22">
        <f t="shared" si="127"/>
        <v>1.6144600406554537E-12</v>
      </c>
      <c r="EN135" s="62">
        <f t="shared" si="128"/>
        <v>293.33333333333491</v>
      </c>
      <c r="EO135" s="62">
        <f ca="1">AVERAGE(OFFSET($EN$3,0,0,'Données projet'!$E$15+1,1))-AVERAGE(OFFSET($H$3,0,0,'Données projet'!$E$15+1,1))</f>
        <v>406.24139966722936</v>
      </c>
      <c r="EP135" s="62">
        <f t="shared" si="154"/>
        <v>295.95724296920577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3.8</v>
      </c>
      <c r="FE135" s="13">
        <f>IF('Données projet'!$A$218&gt;35,FE134+FD135-FM134,IF(A135&lt;'Données projet'!$A$218,$FB$205^A135,IF(A135='Données projet'!$A$218,'Données projet'!$B$218,FE134+FD135-FM134)))</f>
        <v>310.59999999999968</v>
      </c>
      <c r="FF135" s="18">
        <f>FE135*VLOOKUP('Données projet'!$B$16,Paramètres!$A$1:$I$89,3,0)*VLOOKUP('Données projet'!$B$16,Paramètres!$A$1:$I$89,5,0)</f>
        <v>300.41231999999968</v>
      </c>
      <c r="FG135" s="14">
        <f t="shared" si="155"/>
        <v>71.262894674416614</v>
      </c>
      <c r="FH135" s="22">
        <f t="shared" si="130"/>
        <v>647.33433222460826</v>
      </c>
      <c r="FI135" s="62">
        <f t="shared" si="131"/>
        <v>940.66766555794152</v>
      </c>
      <c r="FJ135" s="62">
        <f ca="1">AVERAGE(OFFSET($FI$3,0,0,'Données projet'!$E$16+1,1))-AVERAGE(OFFSET($H$3,0,0,'Données projet'!$E$16+1,1))</f>
        <v>540.83352418045502</v>
      </c>
      <c r="FK135" s="62">
        <f t="shared" si="156"/>
        <v>294.45557293177131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1.1368683772161603E-13</v>
      </c>
      <c r="GA135" s="18">
        <f>FZ135*VLOOKUP('Données projet'!$B$17,Paramètres!$A$1:$I$89,3,0)*VLOOKUP('Données projet'!$B$17,Paramètres!$A$1:$I$89,5,0)</f>
        <v>8.8675733422860506E-14</v>
      </c>
      <c r="GB135" s="14">
        <f t="shared" si="157"/>
        <v>1.3509285393066301E-12</v>
      </c>
      <c r="GC135" s="22">
        <f t="shared" si="133"/>
        <v>2.5073107750038623E-12</v>
      </c>
      <c r="GD135" s="62">
        <f t="shared" si="134"/>
        <v>293.33333333333582</v>
      </c>
      <c r="GE135" s="62">
        <f ca="1">AVERAGE(OFFSET($GD$3,0,0,'Données projet'!$E$17+1,1))-AVERAGE(OFFSET($H$3,0,0,'Données projet'!$E$17+1,1))</f>
        <v>292.57482726862594</v>
      </c>
      <c r="GF135" s="62">
        <f t="shared" si="158"/>
        <v>283.48738729114024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3.979039320256561E-13</v>
      </c>
      <c r="GV135" s="18">
        <f>GU135*VLOOKUP('Données projet'!$B$18,Paramètres!$A$1:$I$89,3,0)*VLOOKUP('Données projet'!$B$18,Paramètres!$A$1:$I$89,5,0)</f>
        <v>2.669139576028101E-13</v>
      </c>
      <c r="GW135" s="14">
        <f t="shared" si="159"/>
        <v>3.5767923834585247E-12</v>
      </c>
      <c r="GX135" s="22">
        <f t="shared" si="136"/>
        <v>6.6944552106818241E-12</v>
      </c>
      <c r="GY135" s="62">
        <f t="shared" si="137"/>
        <v>293.33333333334002</v>
      </c>
      <c r="GZ135" s="62">
        <f ca="1">AVERAGE(OFFSET($GY$3,0,0,'Données projet'!$E$18+1,1))-AVERAGE(OFFSET($H$3,0,0,'Données projet'!$E$18+1,1))</f>
        <v>343.33067866534634</v>
      </c>
      <c r="HA135" s="62">
        <f t="shared" si="160"/>
        <v>261.91036689641402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314.39999999999969</v>
      </c>
      <c r="O136" s="14">
        <f>N136*VLOOKUP('Données projet'!$B$9,Paramètres!$A$1:$I$89,3,0)*VLOOKUP('Données projet'!$B$9,Paramètres!$A$1:$I$89,5,0)</f>
        <v>284.46911999999969</v>
      </c>
      <c r="P136" s="14">
        <f t="shared" si="141"/>
        <v>67.910590237378983</v>
      </c>
      <c r="Q136" s="22">
        <f t="shared" si="108"/>
        <v>613.72799533010118</v>
      </c>
      <c r="R136" s="62">
        <f t="shared" si="109"/>
        <v>907.06132866343455</v>
      </c>
      <c r="S136" s="62">
        <f ca="1">AVERAGE(OFFSET($R$3,0,0,'Données projet'!$E$9+1,1))-AVERAGE(OFFSET($H$3,0,0,'Données projet'!$E$9+1,1))</f>
        <v>508.77990078889337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3.8</v>
      </c>
      <c r="AI136" s="14">
        <f>IF('Données projet'!$A$62&gt;35,AI135+AH136-AQ135,IF(A136&lt;'Données projet'!$A$62,$AF$205^A136,IF(A136='Données projet'!$A$62,'Données projet'!$B$62,AI135+AH136-AQ135)))</f>
        <v>314.39999999999969</v>
      </c>
      <c r="AJ136" s="14">
        <f>AI136*VLOOKUP('Données projet'!$B$10,Paramètres!$A$1:$I$89,3,0)*VLOOKUP('Données projet'!$B$10,Paramètres!$A$1:$I$89,5,0)</f>
        <v>318.80159999999972</v>
      </c>
      <c r="AK136" s="14">
        <f t="shared" si="143"/>
        <v>75.103948812521992</v>
      </c>
      <c r="AL136" s="22">
        <f t="shared" si="112"/>
        <v>686.05216418180862</v>
      </c>
      <c r="AM136" s="62">
        <f t="shared" si="113"/>
        <v>979.38549751514188</v>
      </c>
      <c r="AN136" s="62">
        <f ca="1">AVERAGE(OFFSET($AM$3,0,0,'Données projet'!$E$10+1,1))-AVERAGE(OFFSET($H$3,0,0,'Données projet'!$E$10+1,1))</f>
        <v>564.84596170333884</v>
      </c>
      <c r="AO136" s="62">
        <f t="shared" si="144"/>
        <v>306.61893266146666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-1.8089849618263545E-13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370.79299728190904</v>
      </c>
      <c r="BJ136" s="62">
        <f t="shared" si="146"/>
        <v>404.95703400805775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-1.8089849618263545E-13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370.79299728190904</v>
      </c>
      <c r="CE136" s="62">
        <f t="shared" si="148"/>
        <v>404.95703400805775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-1.7053025658242404E-13</v>
      </c>
      <c r="CU136" s="18">
        <f>CT136*VLOOKUP('Données projet'!$B$13,Paramètres!$A$1:$I$89,3,0)*VLOOKUP('Données projet'!$B$13,Paramètres!$A$1:$I$89,5,0)</f>
        <v>-1.4897523215040567E-13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339.58437495284466</v>
      </c>
      <c r="CZ136" s="62">
        <f t="shared" si="150"/>
        <v>371.26234252426531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-2.2737367544323206E-13</v>
      </c>
      <c r="DP136" s="18">
        <f>DO136*VLOOKUP('Données projet'!$B$14,Paramètres!$A$1:$I$89,3,0)*VLOOKUP('Données projet'!$B$14,Paramètres!$A$1:$I$89,5,0)</f>
        <v>-1.6671037883497774E-13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344.63665697794022</v>
      </c>
      <c r="DU136" s="62">
        <f t="shared" si="152"/>
        <v>376.72762011188041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5.4092197387944907E-14</v>
      </c>
      <c r="EL136" s="14">
        <f t="shared" si="153"/>
        <v>8.7287050538073676E-13</v>
      </c>
      <c r="EM136" s="22">
        <f t="shared" si="127"/>
        <v>1.6144600406554537E-12</v>
      </c>
      <c r="EN136" s="62">
        <f t="shared" si="128"/>
        <v>293.33333333333491</v>
      </c>
      <c r="EO136" s="62">
        <f ca="1">AVERAGE(OFFSET($EN$3,0,0,'Données projet'!$E$15+1,1))-AVERAGE(OFFSET($H$3,0,0,'Données projet'!$E$15+1,1))</f>
        <v>406.24139966722936</v>
      </c>
      <c r="EP136" s="62">
        <f t="shared" si="154"/>
        <v>295.95724296920577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3.8</v>
      </c>
      <c r="FE136" s="13">
        <f>IF('Données projet'!$A$218&gt;35,FE135+FD136-FM135,IF(A136&lt;'Données projet'!$A$218,$FB$205^A136,IF(A136='Données projet'!$A$218,'Données projet'!$B$218,FE135+FD136-FM135)))</f>
        <v>314.39999999999969</v>
      </c>
      <c r="FF136" s="18">
        <f>FE136*VLOOKUP('Données projet'!$B$16,Paramètres!$A$1:$I$89,3,0)*VLOOKUP('Données projet'!$B$16,Paramètres!$A$1:$I$89,5,0)</f>
        <v>304.08767999999969</v>
      </c>
      <c r="FG136" s="14">
        <f t="shared" si="155"/>
        <v>72.032722076553924</v>
      </c>
      <c r="FH136" s="22">
        <f t="shared" si="130"/>
        <v>655.07636694999758</v>
      </c>
      <c r="FI136" s="62">
        <f t="shared" si="131"/>
        <v>948.40970028333095</v>
      </c>
      <c r="FJ136" s="62">
        <f ca="1">AVERAGE(OFFSET($FI$3,0,0,'Données projet'!$E$16+1,1))-AVERAGE(OFFSET($H$3,0,0,'Données projet'!$E$16+1,1))</f>
        <v>540.83352418045502</v>
      </c>
      <c r="FK136" s="62">
        <f t="shared" si="156"/>
        <v>294.45557293177131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1.1368683772161603E-13</v>
      </c>
      <c r="GA136" s="18">
        <f>FZ136*VLOOKUP('Données projet'!$B$17,Paramètres!$A$1:$I$89,3,0)*VLOOKUP('Données projet'!$B$17,Paramètres!$A$1:$I$89,5,0)</f>
        <v>8.8675733422860506E-14</v>
      </c>
      <c r="GB136" s="14">
        <f t="shared" si="157"/>
        <v>1.3509285393066301E-12</v>
      </c>
      <c r="GC136" s="22">
        <f t="shared" si="133"/>
        <v>2.5073107750038623E-12</v>
      </c>
      <c r="GD136" s="62">
        <f t="shared" si="134"/>
        <v>293.33333333333582</v>
      </c>
      <c r="GE136" s="62">
        <f ca="1">AVERAGE(OFFSET($GD$3,0,0,'Données projet'!$E$17+1,1))-AVERAGE(OFFSET($H$3,0,0,'Données projet'!$E$17+1,1))</f>
        <v>292.57482726862594</v>
      </c>
      <c r="GF136" s="62">
        <f t="shared" si="158"/>
        <v>283.48738729114024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3.979039320256561E-13</v>
      </c>
      <c r="GV136" s="18">
        <f>GU136*VLOOKUP('Données projet'!$B$18,Paramètres!$A$1:$I$89,3,0)*VLOOKUP('Données projet'!$B$18,Paramètres!$A$1:$I$89,5,0)</f>
        <v>2.669139576028101E-13</v>
      </c>
      <c r="GW136" s="14">
        <f t="shared" si="159"/>
        <v>3.5767923834585247E-12</v>
      </c>
      <c r="GX136" s="22">
        <f t="shared" si="136"/>
        <v>6.6944552106818241E-12</v>
      </c>
      <c r="GY136" s="62">
        <f t="shared" si="137"/>
        <v>293.33333333334002</v>
      </c>
      <c r="GZ136" s="62">
        <f ca="1">AVERAGE(OFFSET($GY$3,0,0,'Données projet'!$E$18+1,1))-AVERAGE(OFFSET($H$3,0,0,'Données projet'!$E$18+1,1))</f>
        <v>343.33067866534634</v>
      </c>
      <c r="HA136" s="62">
        <f t="shared" si="160"/>
        <v>261.91036689641402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318.1999999999997</v>
      </c>
      <c r="O137" s="14">
        <f>N137*VLOOKUP('Données projet'!$B$9,Paramètres!$A$1:$I$89,3,0)*VLOOKUP('Données projet'!$B$9,Paramètres!$A$1:$I$89,5,0)</f>
        <v>287.9073599999997</v>
      </c>
      <c r="P137" s="14">
        <f t="shared" si="141"/>
        <v>68.635343255147248</v>
      </c>
      <c r="Q137" s="22">
        <f t="shared" si="108"/>
        <v>620.97854150271417</v>
      </c>
      <c r="R137" s="62">
        <f t="shared" si="109"/>
        <v>914.31187483604754</v>
      </c>
      <c r="S137" s="62">
        <f ca="1">AVERAGE(OFFSET($R$3,0,0,'Données projet'!$E$9+1,1))-AVERAGE(OFFSET($H$3,0,0,'Données projet'!$E$9+1,1))</f>
        <v>508.77990078889337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3.8</v>
      </c>
      <c r="AI137" s="14">
        <f>IF('Données projet'!$A$62&gt;35,AI136+AH137-AQ136,IF(A137&lt;'Données projet'!$A$62,$AF$205^A137,IF(A137='Données projet'!$A$62,'Données projet'!$B$62,AI136+AH137-AQ136)))</f>
        <v>318.1999999999997</v>
      </c>
      <c r="AJ137" s="14">
        <f>AI137*VLOOKUP('Données projet'!$B$10,Paramètres!$A$1:$I$89,3,0)*VLOOKUP('Données projet'!$B$10,Paramètres!$A$1:$I$89,5,0)</f>
        <v>322.65479999999974</v>
      </c>
      <c r="AK137" s="14">
        <f t="shared" si="143"/>
        <v>75.905470539220715</v>
      </c>
      <c r="AL137" s="22">
        <f t="shared" si="112"/>
        <v>694.15913785580904</v>
      </c>
      <c r="AM137" s="62">
        <f t="shared" si="113"/>
        <v>987.49247118914241</v>
      </c>
      <c r="AN137" s="62">
        <f ca="1">AVERAGE(OFFSET($AM$3,0,0,'Données projet'!$E$10+1,1))-AVERAGE(OFFSET($H$3,0,0,'Données projet'!$E$10+1,1))</f>
        <v>564.84596170333884</v>
      </c>
      <c r="AO137" s="62">
        <f t="shared" si="144"/>
        <v>306.61893266146666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-1.8089849618263545E-13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370.79299728190904</v>
      </c>
      <c r="BJ137" s="62">
        <f t="shared" si="146"/>
        <v>404.95703400805775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-1.8089849618263545E-13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370.79299728190904</v>
      </c>
      <c r="CE137" s="62">
        <f t="shared" si="148"/>
        <v>404.95703400805775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-1.7053025658242404E-13</v>
      </c>
      <c r="CU137" s="18">
        <f>CT137*VLOOKUP('Données projet'!$B$13,Paramètres!$A$1:$I$89,3,0)*VLOOKUP('Données projet'!$B$13,Paramètres!$A$1:$I$89,5,0)</f>
        <v>-1.4897523215040567E-13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339.58437495284466</v>
      </c>
      <c r="CZ137" s="62">
        <f t="shared" si="150"/>
        <v>371.26234252426531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-2.2737367544323206E-13</v>
      </c>
      <c r="DP137" s="18">
        <f>DO137*VLOOKUP('Données projet'!$B$14,Paramètres!$A$1:$I$89,3,0)*VLOOKUP('Données projet'!$B$14,Paramètres!$A$1:$I$89,5,0)</f>
        <v>-1.6671037883497774E-13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344.63665697794022</v>
      </c>
      <c r="DU137" s="62">
        <f t="shared" si="152"/>
        <v>376.72762011188041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5.4092197387944907E-14</v>
      </c>
      <c r="EL137" s="14">
        <f t="shared" si="153"/>
        <v>8.7287050538073676E-13</v>
      </c>
      <c r="EM137" s="22">
        <f t="shared" si="127"/>
        <v>1.6144600406554537E-12</v>
      </c>
      <c r="EN137" s="62">
        <f t="shared" si="128"/>
        <v>293.33333333333491</v>
      </c>
      <c r="EO137" s="62">
        <f ca="1">AVERAGE(OFFSET($EN$3,0,0,'Données projet'!$E$15+1,1))-AVERAGE(OFFSET($H$3,0,0,'Données projet'!$E$15+1,1))</f>
        <v>406.24139966722936</v>
      </c>
      <c r="EP137" s="62">
        <f t="shared" si="154"/>
        <v>295.95724296920577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3.8</v>
      </c>
      <c r="FE137" s="13">
        <f>IF('Données projet'!$A$218&gt;35,FE136+FD137-FM136,IF(A137&lt;'Données projet'!$A$218,$FB$205^A137,IF(A137='Données projet'!$A$218,'Données projet'!$B$218,FE136+FD137-FM136)))</f>
        <v>318.1999999999997</v>
      </c>
      <c r="FF137" s="18">
        <f>FE137*VLOOKUP('Données projet'!$B$16,Paramètres!$A$1:$I$89,3,0)*VLOOKUP('Données projet'!$B$16,Paramètres!$A$1:$I$89,5,0)</f>
        <v>307.76303999999971</v>
      </c>
      <c r="FG137" s="14">
        <f t="shared" si="155"/>
        <v>72.801467165067464</v>
      </c>
      <c r="FH137" s="22">
        <f t="shared" si="130"/>
        <v>662.81651664582535</v>
      </c>
      <c r="FI137" s="62">
        <f t="shared" si="131"/>
        <v>956.14984997915872</v>
      </c>
      <c r="FJ137" s="62">
        <f ca="1">AVERAGE(OFFSET($FI$3,0,0,'Données projet'!$E$16+1,1))-AVERAGE(OFFSET($H$3,0,0,'Données projet'!$E$16+1,1))</f>
        <v>540.83352418045502</v>
      </c>
      <c r="FK137" s="62">
        <f t="shared" si="156"/>
        <v>294.45557293177131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1.1368683772161603E-13</v>
      </c>
      <c r="GA137" s="18">
        <f>FZ137*VLOOKUP('Données projet'!$B$17,Paramètres!$A$1:$I$89,3,0)*VLOOKUP('Données projet'!$B$17,Paramètres!$A$1:$I$89,5,0)</f>
        <v>8.8675733422860506E-14</v>
      </c>
      <c r="GB137" s="14">
        <f t="shared" si="157"/>
        <v>1.3509285393066301E-12</v>
      </c>
      <c r="GC137" s="22">
        <f t="shared" si="133"/>
        <v>2.5073107750038623E-12</v>
      </c>
      <c r="GD137" s="62">
        <f t="shared" si="134"/>
        <v>293.33333333333582</v>
      </c>
      <c r="GE137" s="62">
        <f ca="1">AVERAGE(OFFSET($GD$3,0,0,'Données projet'!$E$17+1,1))-AVERAGE(OFFSET($H$3,0,0,'Données projet'!$E$17+1,1))</f>
        <v>292.57482726862594</v>
      </c>
      <c r="GF137" s="62">
        <f t="shared" si="158"/>
        <v>283.48738729114024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3.979039320256561E-13</v>
      </c>
      <c r="GV137" s="18">
        <f>GU137*VLOOKUP('Données projet'!$B$18,Paramètres!$A$1:$I$89,3,0)*VLOOKUP('Données projet'!$B$18,Paramètres!$A$1:$I$89,5,0)</f>
        <v>2.669139576028101E-13</v>
      </c>
      <c r="GW137" s="14">
        <f t="shared" si="159"/>
        <v>3.5767923834585247E-12</v>
      </c>
      <c r="GX137" s="22">
        <f t="shared" si="136"/>
        <v>6.6944552106818241E-12</v>
      </c>
      <c r="GY137" s="62">
        <f t="shared" si="137"/>
        <v>293.33333333334002</v>
      </c>
      <c r="GZ137" s="62">
        <f ca="1">AVERAGE(OFFSET($GY$3,0,0,'Données projet'!$E$18+1,1))-AVERAGE(OFFSET($H$3,0,0,'Données projet'!$E$18+1,1))</f>
        <v>343.33067866534634</v>
      </c>
      <c r="HA137" s="62">
        <f t="shared" si="160"/>
        <v>261.91036689641402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321.99999999999972</v>
      </c>
      <c r="O138" s="14">
        <f>N138*VLOOKUP('Données projet'!$B$9,Paramètres!$A$1:$I$89,3,0)*VLOOKUP('Données projet'!$B$9,Paramètres!$A$1:$I$89,5,0)</f>
        <v>291.34559999999971</v>
      </c>
      <c r="P138" s="14">
        <f t="shared" si="141"/>
        <v>69.359089490698651</v>
      </c>
      <c r="Q138" s="22">
        <f t="shared" si="108"/>
        <v>628.22733419629958</v>
      </c>
      <c r="R138" s="62">
        <f t="shared" si="109"/>
        <v>921.56066752963284</v>
      </c>
      <c r="S138" s="62">
        <f ca="1">AVERAGE(OFFSET($R$3,0,0,'Données projet'!$E$9+1,1))-AVERAGE(OFFSET($H$3,0,0,'Données projet'!$E$9+1,1))</f>
        <v>508.77990078889337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3.8</v>
      </c>
      <c r="AI138" s="14">
        <f>IF('Données projet'!$A$62&gt;35,AI137+AH138-AQ137,IF(A138&lt;'Données projet'!$A$62,$AF$205^A138,IF(A138='Données projet'!$A$62,'Données projet'!$B$62,AI137+AH138-AQ137)))</f>
        <v>321.99999999999972</v>
      </c>
      <c r="AJ138" s="14">
        <f>AI138*VLOOKUP('Données projet'!$B$10,Paramètres!$A$1:$I$89,3,0)*VLOOKUP('Données projet'!$B$10,Paramètres!$A$1:$I$89,5,0)</f>
        <v>326.5079999999997</v>
      </c>
      <c r="AK138" s="14">
        <f t="shared" si="143"/>
        <v>76.705878841344187</v>
      </c>
      <c r="AL138" s="22">
        <f t="shared" si="112"/>
        <v>702.2641723153406</v>
      </c>
      <c r="AM138" s="62">
        <f t="shared" si="113"/>
        <v>995.59750564867386</v>
      </c>
      <c r="AN138" s="62">
        <f ca="1">AVERAGE(OFFSET($AM$3,0,0,'Données projet'!$E$10+1,1))-AVERAGE(OFFSET($H$3,0,0,'Données projet'!$E$10+1,1))</f>
        <v>564.84596170333884</v>
      </c>
      <c r="AO138" s="62">
        <f t="shared" si="144"/>
        <v>306.61893266146666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-1.8089849618263545E-13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370.79299728190904</v>
      </c>
      <c r="BJ138" s="62">
        <f t="shared" si="146"/>
        <v>404.95703400805775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-1.8089849618263545E-13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370.79299728190904</v>
      </c>
      <c r="CE138" s="62">
        <f t="shared" si="148"/>
        <v>404.95703400805775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-1.7053025658242404E-13</v>
      </c>
      <c r="CU138" s="18">
        <f>CT138*VLOOKUP('Données projet'!$B$13,Paramètres!$A$1:$I$89,3,0)*VLOOKUP('Données projet'!$B$13,Paramètres!$A$1:$I$89,5,0)</f>
        <v>-1.4897523215040567E-13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339.58437495284466</v>
      </c>
      <c r="CZ138" s="62">
        <f t="shared" si="150"/>
        <v>371.26234252426531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-2.2737367544323206E-13</v>
      </c>
      <c r="DP138" s="18">
        <f>DO138*VLOOKUP('Données projet'!$B$14,Paramètres!$A$1:$I$89,3,0)*VLOOKUP('Données projet'!$B$14,Paramètres!$A$1:$I$89,5,0)</f>
        <v>-1.6671037883497774E-13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344.63665697794022</v>
      </c>
      <c r="DU138" s="62">
        <f t="shared" si="152"/>
        <v>376.72762011188041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5.4092197387944907E-14</v>
      </c>
      <c r="EL138" s="14">
        <f t="shared" si="153"/>
        <v>8.7287050538073676E-13</v>
      </c>
      <c r="EM138" s="22">
        <f t="shared" si="127"/>
        <v>1.6144600406554537E-12</v>
      </c>
      <c r="EN138" s="62">
        <f t="shared" si="128"/>
        <v>293.33333333333491</v>
      </c>
      <c r="EO138" s="62">
        <f ca="1">AVERAGE(OFFSET($EN$3,0,0,'Données projet'!$E$15+1,1))-AVERAGE(OFFSET($H$3,0,0,'Données projet'!$E$15+1,1))</f>
        <v>406.24139966722936</v>
      </c>
      <c r="EP138" s="62">
        <f t="shared" si="154"/>
        <v>295.95724296920577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3.8</v>
      </c>
      <c r="FE138" s="13">
        <f>IF('Données projet'!$A$218&gt;35,FE137+FD138-FM137,IF(A138&lt;'Données projet'!$A$218,$FB$205^A138,IF(A138='Données projet'!$A$218,'Données projet'!$B$218,FE137+FD138-FM137)))</f>
        <v>321.99999999999972</v>
      </c>
      <c r="FF138" s="18">
        <f>FE138*VLOOKUP('Données projet'!$B$16,Paramètres!$A$1:$I$89,3,0)*VLOOKUP('Données projet'!$B$16,Paramètres!$A$1:$I$89,5,0)</f>
        <v>311.43839999999972</v>
      </c>
      <c r="FG138" s="14">
        <f t="shared" si="155"/>
        <v>73.569144360291361</v>
      </c>
      <c r="FH138" s="22">
        <f t="shared" si="130"/>
        <v>670.55480642750695</v>
      </c>
      <c r="FI138" s="62">
        <f t="shared" si="131"/>
        <v>963.8881397608402</v>
      </c>
      <c r="FJ138" s="62">
        <f ca="1">AVERAGE(OFFSET($FI$3,0,0,'Données projet'!$E$16+1,1))-AVERAGE(OFFSET($H$3,0,0,'Données projet'!$E$16+1,1))</f>
        <v>540.83352418045502</v>
      </c>
      <c r="FK138" s="62">
        <f t="shared" si="156"/>
        <v>294.45557293177131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1.1368683772161603E-13</v>
      </c>
      <c r="GA138" s="18">
        <f>FZ138*VLOOKUP('Données projet'!$B$17,Paramètres!$A$1:$I$89,3,0)*VLOOKUP('Données projet'!$B$17,Paramètres!$A$1:$I$89,5,0)</f>
        <v>8.8675733422860506E-14</v>
      </c>
      <c r="GB138" s="14">
        <f t="shared" si="157"/>
        <v>1.3509285393066301E-12</v>
      </c>
      <c r="GC138" s="22">
        <f t="shared" si="133"/>
        <v>2.5073107750038623E-12</v>
      </c>
      <c r="GD138" s="62">
        <f t="shared" si="134"/>
        <v>293.33333333333582</v>
      </c>
      <c r="GE138" s="62">
        <f ca="1">AVERAGE(OFFSET($GD$3,0,0,'Données projet'!$E$17+1,1))-AVERAGE(OFFSET($H$3,0,0,'Données projet'!$E$17+1,1))</f>
        <v>292.57482726862594</v>
      </c>
      <c r="GF138" s="62">
        <f t="shared" si="158"/>
        <v>283.48738729114024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3.979039320256561E-13</v>
      </c>
      <c r="GV138" s="18">
        <f>GU138*VLOOKUP('Données projet'!$B$18,Paramètres!$A$1:$I$89,3,0)*VLOOKUP('Données projet'!$B$18,Paramètres!$A$1:$I$89,5,0)</f>
        <v>2.669139576028101E-13</v>
      </c>
      <c r="GW138" s="14">
        <f t="shared" si="159"/>
        <v>3.5767923834585247E-12</v>
      </c>
      <c r="GX138" s="22">
        <f t="shared" si="136"/>
        <v>6.6944552106818241E-12</v>
      </c>
      <c r="GY138" s="62">
        <f t="shared" si="137"/>
        <v>293.33333333334002</v>
      </c>
      <c r="GZ138" s="62">
        <f ca="1">AVERAGE(OFFSET($GY$3,0,0,'Données projet'!$E$18+1,1))-AVERAGE(OFFSET($H$3,0,0,'Données projet'!$E$18+1,1))</f>
        <v>343.33067866534634</v>
      </c>
      <c r="HA138" s="62">
        <f t="shared" si="160"/>
        <v>261.91036689641402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325.79999999999973</v>
      </c>
      <c r="O139" s="14">
        <f>N139*VLOOKUP('Données projet'!$B$9,Paramètres!$A$1:$I$89,3,0)*VLOOKUP('Données projet'!$B$9,Paramètres!$A$1:$I$89,5,0)</f>
        <v>294.78383999999971</v>
      </c>
      <c r="P139" s="14">
        <f t="shared" si="141"/>
        <v>70.081842199807596</v>
      </c>
      <c r="Q139" s="22">
        <f t="shared" si="108"/>
        <v>635.47439649799776</v>
      </c>
      <c r="R139" s="62">
        <f t="shared" si="109"/>
        <v>928.80772983133102</v>
      </c>
      <c r="S139" s="62">
        <f ca="1">AVERAGE(OFFSET($R$3,0,0,'Données projet'!$E$9+1,1))-AVERAGE(OFFSET($H$3,0,0,'Données projet'!$E$9+1,1))</f>
        <v>508.77990078889337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3.8</v>
      </c>
      <c r="AI139" s="14">
        <f>IF('Données projet'!$A$62&gt;35,AI138+AH139-AQ138,IF(A139&lt;'Données projet'!$A$62,$AF$205^A139,IF(A139='Données projet'!$A$62,'Données projet'!$B$62,AI138+AH139-AQ138)))</f>
        <v>325.79999999999973</v>
      </c>
      <c r="AJ139" s="14">
        <f>AI139*VLOOKUP('Données projet'!$B$10,Paramètres!$A$1:$I$89,3,0)*VLOOKUP('Données projet'!$B$10,Paramètres!$A$1:$I$89,5,0)</f>
        <v>330.36119999999977</v>
      </c>
      <c r="AK139" s="14">
        <f t="shared" si="143"/>
        <v>77.505188378771209</v>
      </c>
      <c r="AL139" s="22">
        <f t="shared" si="112"/>
        <v>710.36729309302609</v>
      </c>
      <c r="AM139" s="62">
        <f t="shared" si="113"/>
        <v>1003.7006264263593</v>
      </c>
      <c r="AN139" s="62">
        <f ca="1">AVERAGE(OFFSET($AM$3,0,0,'Données projet'!$E$10+1,1))-AVERAGE(OFFSET($H$3,0,0,'Données projet'!$E$10+1,1))</f>
        <v>564.84596170333884</v>
      </c>
      <c r="AO139" s="62">
        <f t="shared" si="144"/>
        <v>306.61893266146666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-1.8089849618263545E-13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370.79299728190904</v>
      </c>
      <c r="BJ139" s="62">
        <f t="shared" si="146"/>
        <v>404.95703400805775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-1.8089849618263545E-13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370.79299728190904</v>
      </c>
      <c r="CE139" s="62">
        <f t="shared" si="148"/>
        <v>404.95703400805775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-1.7053025658242404E-13</v>
      </c>
      <c r="CU139" s="18">
        <f>CT139*VLOOKUP('Données projet'!$B$13,Paramètres!$A$1:$I$89,3,0)*VLOOKUP('Données projet'!$B$13,Paramètres!$A$1:$I$89,5,0)</f>
        <v>-1.4897523215040567E-13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339.58437495284466</v>
      </c>
      <c r="CZ139" s="62">
        <f t="shared" si="150"/>
        <v>371.26234252426531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-2.2737367544323206E-13</v>
      </c>
      <c r="DP139" s="18">
        <f>DO139*VLOOKUP('Données projet'!$B$14,Paramètres!$A$1:$I$89,3,0)*VLOOKUP('Données projet'!$B$14,Paramètres!$A$1:$I$89,5,0)</f>
        <v>-1.6671037883497774E-13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344.63665697794022</v>
      </c>
      <c r="DU139" s="62">
        <f t="shared" si="152"/>
        <v>376.72762011188041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5.4092197387944907E-14</v>
      </c>
      <c r="EL139" s="14">
        <f t="shared" si="153"/>
        <v>8.7287050538073676E-13</v>
      </c>
      <c r="EM139" s="22">
        <f t="shared" si="127"/>
        <v>1.6144600406554537E-12</v>
      </c>
      <c r="EN139" s="62">
        <f t="shared" si="128"/>
        <v>293.33333333333491</v>
      </c>
      <c r="EO139" s="62">
        <f ca="1">AVERAGE(OFFSET($EN$3,0,0,'Données projet'!$E$15+1,1))-AVERAGE(OFFSET($H$3,0,0,'Données projet'!$E$15+1,1))</f>
        <v>406.24139966722936</v>
      </c>
      <c r="EP139" s="62">
        <f t="shared" si="154"/>
        <v>295.95724296920577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3.8</v>
      </c>
      <c r="FE139" s="13">
        <f>IF('Données projet'!$A$218&gt;35,FE138+FD139-FM138,IF(A139&lt;'Données projet'!$A$218,$FB$205^A139,IF(A139='Données projet'!$A$218,'Données projet'!$B$218,FE138+FD139-FM138)))</f>
        <v>325.79999999999973</v>
      </c>
      <c r="FF139" s="18">
        <f>FE139*VLOOKUP('Données projet'!$B$16,Paramètres!$A$1:$I$89,3,0)*VLOOKUP('Données projet'!$B$16,Paramètres!$A$1:$I$89,5,0)</f>
        <v>315.11375999999979</v>
      </c>
      <c r="FG139" s="14">
        <f t="shared" si="155"/>
        <v>74.335767722617277</v>
      </c>
      <c r="FH139" s="22">
        <f t="shared" si="130"/>
        <v>678.29126078355796</v>
      </c>
      <c r="FI139" s="62">
        <f t="shared" si="131"/>
        <v>971.62459411689133</v>
      </c>
      <c r="FJ139" s="62">
        <f ca="1">AVERAGE(OFFSET($FI$3,0,0,'Données projet'!$E$16+1,1))-AVERAGE(OFFSET($H$3,0,0,'Données projet'!$E$16+1,1))</f>
        <v>540.83352418045502</v>
      </c>
      <c r="FK139" s="62">
        <f t="shared" si="156"/>
        <v>294.45557293177131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1.1368683772161603E-13</v>
      </c>
      <c r="GA139" s="18">
        <f>FZ139*VLOOKUP('Données projet'!$B$17,Paramètres!$A$1:$I$89,3,0)*VLOOKUP('Données projet'!$B$17,Paramètres!$A$1:$I$89,5,0)</f>
        <v>8.8675733422860506E-14</v>
      </c>
      <c r="GB139" s="14">
        <f t="shared" si="157"/>
        <v>1.3509285393066301E-12</v>
      </c>
      <c r="GC139" s="22">
        <f t="shared" si="133"/>
        <v>2.5073107750038623E-12</v>
      </c>
      <c r="GD139" s="62">
        <f t="shared" si="134"/>
        <v>293.33333333333582</v>
      </c>
      <c r="GE139" s="62">
        <f ca="1">AVERAGE(OFFSET($GD$3,0,0,'Données projet'!$E$17+1,1))-AVERAGE(OFFSET($H$3,0,0,'Données projet'!$E$17+1,1))</f>
        <v>292.57482726862594</v>
      </c>
      <c r="GF139" s="62">
        <f t="shared" si="158"/>
        <v>283.48738729114024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3.979039320256561E-13</v>
      </c>
      <c r="GV139" s="18">
        <f>GU139*VLOOKUP('Données projet'!$B$18,Paramètres!$A$1:$I$89,3,0)*VLOOKUP('Données projet'!$B$18,Paramètres!$A$1:$I$89,5,0)</f>
        <v>2.669139576028101E-13</v>
      </c>
      <c r="GW139" s="14">
        <f t="shared" si="159"/>
        <v>3.5767923834585247E-12</v>
      </c>
      <c r="GX139" s="22">
        <f t="shared" si="136"/>
        <v>6.6944552106818241E-12</v>
      </c>
      <c r="GY139" s="62">
        <f t="shared" si="137"/>
        <v>293.33333333334002</v>
      </c>
      <c r="GZ139" s="62">
        <f ca="1">AVERAGE(OFFSET($GY$3,0,0,'Données projet'!$E$18+1,1))-AVERAGE(OFFSET($H$3,0,0,'Données projet'!$E$18+1,1))</f>
        <v>343.33067866534634</v>
      </c>
      <c r="HA139" s="62">
        <f t="shared" si="160"/>
        <v>261.91036689641402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329.59999999999974</v>
      </c>
      <c r="O140" s="14">
        <f>N140*VLOOKUP('Données projet'!$B$9,Paramètres!$A$1:$I$89,3,0)*VLOOKUP('Données projet'!$B$9,Paramètres!$A$1:$I$89,5,0)</f>
        <v>298.22207999999978</v>
      </c>
      <c r="P140" s="14">
        <f t="shared" si="141"/>
        <v>70.803614311231783</v>
      </c>
      <c r="Q140" s="22">
        <f t="shared" si="108"/>
        <v>642.71975092539503</v>
      </c>
      <c r="R140" s="62">
        <f t="shared" si="109"/>
        <v>936.0530842587284</v>
      </c>
      <c r="S140" s="62">
        <f ca="1">AVERAGE(OFFSET($R$3,0,0,'Données projet'!$E$9+1,1))-AVERAGE(OFFSET($H$3,0,0,'Données projet'!$E$9+1,1))</f>
        <v>508.77990078889337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3.8</v>
      </c>
      <c r="AI140" s="14">
        <f>IF('Données projet'!$A$62&gt;35,AI139+AH140-AQ139,IF(A140&lt;'Données projet'!$A$62,$AF$205^A140,IF(A140='Données projet'!$A$62,'Données projet'!$B$62,AI139+AH140-AQ139)))</f>
        <v>329.59999999999974</v>
      </c>
      <c r="AJ140" s="14">
        <f>AI140*VLOOKUP('Données projet'!$B$10,Paramètres!$A$1:$I$89,3,0)*VLOOKUP('Données projet'!$B$10,Paramètres!$A$1:$I$89,5,0)</f>
        <v>334.21439999999978</v>
      </c>
      <c r="AK140" s="14">
        <f t="shared" si="143"/>
        <v>78.30341344972436</v>
      </c>
      <c r="AL140" s="22">
        <f t="shared" si="112"/>
        <v>718.46852509160283</v>
      </c>
      <c r="AM140" s="62">
        <f t="shared" si="113"/>
        <v>1011.8018584249362</v>
      </c>
      <c r="AN140" s="62">
        <f ca="1">AVERAGE(OFFSET($AM$3,0,0,'Données projet'!$E$10+1,1))-AVERAGE(OFFSET($H$3,0,0,'Données projet'!$E$10+1,1))</f>
        <v>564.84596170333884</v>
      </c>
      <c r="AO140" s="62">
        <f t="shared" si="144"/>
        <v>306.61893266146666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-1.8089849618263545E-13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370.79299728190904</v>
      </c>
      <c r="BJ140" s="62">
        <f t="shared" si="146"/>
        <v>404.95703400805775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-1.8089849618263545E-13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370.79299728190904</v>
      </c>
      <c r="CE140" s="62">
        <f t="shared" si="148"/>
        <v>404.95703400805775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-1.7053025658242404E-13</v>
      </c>
      <c r="CU140" s="18">
        <f>CT140*VLOOKUP('Données projet'!$B$13,Paramètres!$A$1:$I$89,3,0)*VLOOKUP('Données projet'!$B$13,Paramètres!$A$1:$I$89,5,0)</f>
        <v>-1.4897523215040567E-13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339.58437495284466</v>
      </c>
      <c r="CZ140" s="62">
        <f t="shared" si="150"/>
        <v>371.26234252426531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-2.2737367544323206E-13</v>
      </c>
      <c r="DP140" s="18">
        <f>DO140*VLOOKUP('Données projet'!$B$14,Paramètres!$A$1:$I$89,3,0)*VLOOKUP('Données projet'!$B$14,Paramètres!$A$1:$I$89,5,0)</f>
        <v>-1.6671037883497774E-13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344.63665697794022</v>
      </c>
      <c r="DU140" s="62">
        <f t="shared" si="152"/>
        <v>376.72762011188041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5.4092197387944907E-14</v>
      </c>
      <c r="EL140" s="14">
        <f t="shared" si="153"/>
        <v>8.7287050538073676E-13</v>
      </c>
      <c r="EM140" s="22">
        <f t="shared" si="127"/>
        <v>1.6144600406554537E-12</v>
      </c>
      <c r="EN140" s="62">
        <f t="shared" si="128"/>
        <v>293.33333333333491</v>
      </c>
      <c r="EO140" s="62">
        <f ca="1">AVERAGE(OFFSET($EN$3,0,0,'Données projet'!$E$15+1,1))-AVERAGE(OFFSET($H$3,0,0,'Données projet'!$E$15+1,1))</f>
        <v>406.24139966722936</v>
      </c>
      <c r="EP140" s="62">
        <f t="shared" si="154"/>
        <v>295.95724296920577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3.8</v>
      </c>
      <c r="FE140" s="13">
        <f>IF('Données projet'!$A$218&gt;35,FE139+FD140-FM139,IF(A140&lt;'Données projet'!$A$218,$FB$205^A140,IF(A140='Données projet'!$A$218,'Données projet'!$B$218,FE139+FD140-FM139)))</f>
        <v>329.59999999999974</v>
      </c>
      <c r="FF140" s="18">
        <f>FE140*VLOOKUP('Données projet'!$B$16,Paramètres!$A$1:$I$89,3,0)*VLOOKUP('Données projet'!$B$16,Paramètres!$A$1:$I$89,5,0)</f>
        <v>318.78911999999974</v>
      </c>
      <c r="FG140" s="14">
        <f t="shared" si="155"/>
        <v>75.101350965570944</v>
      </c>
      <c r="FH140" s="22">
        <f t="shared" si="130"/>
        <v>686.02590359836893</v>
      </c>
      <c r="FI140" s="62">
        <f t="shared" si="131"/>
        <v>979.3592369317023</v>
      </c>
      <c r="FJ140" s="62">
        <f ca="1">AVERAGE(OFFSET($FI$3,0,0,'Données projet'!$E$16+1,1))-AVERAGE(OFFSET($H$3,0,0,'Données projet'!$E$16+1,1))</f>
        <v>540.83352418045502</v>
      </c>
      <c r="FK140" s="62">
        <f t="shared" si="156"/>
        <v>294.45557293177131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1.1368683772161603E-13</v>
      </c>
      <c r="GA140" s="18">
        <f>FZ140*VLOOKUP('Données projet'!$B$17,Paramètres!$A$1:$I$89,3,0)*VLOOKUP('Données projet'!$B$17,Paramètres!$A$1:$I$89,5,0)</f>
        <v>8.8675733422860506E-14</v>
      </c>
      <c r="GB140" s="14">
        <f t="shared" si="157"/>
        <v>1.3509285393066301E-12</v>
      </c>
      <c r="GC140" s="22">
        <f t="shared" si="133"/>
        <v>2.5073107750038623E-12</v>
      </c>
      <c r="GD140" s="62">
        <f t="shared" si="134"/>
        <v>293.33333333333582</v>
      </c>
      <c r="GE140" s="62">
        <f ca="1">AVERAGE(OFFSET($GD$3,0,0,'Données projet'!$E$17+1,1))-AVERAGE(OFFSET($H$3,0,0,'Données projet'!$E$17+1,1))</f>
        <v>292.57482726862594</v>
      </c>
      <c r="GF140" s="62">
        <f t="shared" si="158"/>
        <v>283.48738729114024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3.979039320256561E-13</v>
      </c>
      <c r="GV140" s="18">
        <f>GU140*VLOOKUP('Données projet'!$B$18,Paramètres!$A$1:$I$89,3,0)*VLOOKUP('Données projet'!$B$18,Paramètres!$A$1:$I$89,5,0)</f>
        <v>2.669139576028101E-13</v>
      </c>
      <c r="GW140" s="14">
        <f t="shared" si="159"/>
        <v>3.5767923834585247E-12</v>
      </c>
      <c r="GX140" s="22">
        <f t="shared" si="136"/>
        <v>6.6944552106818241E-12</v>
      </c>
      <c r="GY140" s="62">
        <f t="shared" si="137"/>
        <v>293.33333333334002</v>
      </c>
      <c r="GZ140" s="62">
        <f ca="1">AVERAGE(OFFSET($GY$3,0,0,'Données projet'!$E$18+1,1))-AVERAGE(OFFSET($H$3,0,0,'Données projet'!$E$18+1,1))</f>
        <v>343.33067866534634</v>
      </c>
      <c r="HA140" s="62">
        <f t="shared" si="160"/>
        <v>261.91036689641402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333.39999999999975</v>
      </c>
      <c r="O141" s="14">
        <f>N141*VLOOKUP('Données projet'!$B$9,Paramètres!$A$1:$I$89,3,0)*VLOOKUP('Données projet'!$B$9,Paramètres!$A$1:$I$89,5,0)</f>
        <v>301.66031999999979</v>
      </c>
      <c r="P141" s="14">
        <f t="shared" si="141"/>
        <v>71.524418438454944</v>
      </c>
      <c r="Q141" s="22">
        <f t="shared" si="108"/>
        <v>649.96341944697531</v>
      </c>
      <c r="R141" s="62">
        <f t="shared" si="109"/>
        <v>943.29675278030868</v>
      </c>
      <c r="S141" s="62">
        <f ca="1">AVERAGE(OFFSET($R$3,0,0,'Données projet'!$E$9+1,1))-AVERAGE(OFFSET($H$3,0,0,'Données projet'!$E$9+1,1))</f>
        <v>508.77990078889337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3.8</v>
      </c>
      <c r="AI141" s="14">
        <f>IF('Données projet'!$A$62&gt;35,AI140+AH141-AQ140,IF(A141&lt;'Données projet'!$A$62,$AF$205^A141,IF(A141='Données projet'!$A$62,'Données projet'!$B$62,AI140+AH141-AQ140)))</f>
        <v>333.39999999999975</v>
      </c>
      <c r="AJ141" s="14">
        <f>AI141*VLOOKUP('Données projet'!$B$10,Paramètres!$A$1:$I$89,3,0)*VLOOKUP('Données projet'!$B$10,Paramètres!$A$1:$I$89,5,0)</f>
        <v>338.06759999999974</v>
      </c>
      <c r="AK141" s="14">
        <f t="shared" si="143"/>
        <v>79.100568003757758</v>
      </c>
      <c r="AL141" s="22">
        <f t="shared" si="112"/>
        <v>726.56789260654432</v>
      </c>
      <c r="AM141" s="62">
        <f t="shared" si="113"/>
        <v>1019.9012259398776</v>
      </c>
      <c r="AN141" s="62">
        <f ca="1">AVERAGE(OFFSET($AM$3,0,0,'Données projet'!$E$10+1,1))-AVERAGE(OFFSET($H$3,0,0,'Données projet'!$E$10+1,1))</f>
        <v>564.84596170333884</v>
      </c>
      <c r="AO141" s="62">
        <f t="shared" si="144"/>
        <v>306.61893266146666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-1.8089849618263545E-13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370.79299728190904</v>
      </c>
      <c r="BJ141" s="62">
        <f t="shared" si="146"/>
        <v>404.95703400805775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-1.8089849618263545E-13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370.79299728190904</v>
      </c>
      <c r="CE141" s="62">
        <f t="shared" si="148"/>
        <v>404.95703400805775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-1.7053025658242404E-13</v>
      </c>
      <c r="CU141" s="18">
        <f>CT141*VLOOKUP('Données projet'!$B$13,Paramètres!$A$1:$I$89,3,0)*VLOOKUP('Données projet'!$B$13,Paramètres!$A$1:$I$89,5,0)</f>
        <v>-1.4897523215040567E-13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339.58437495284466</v>
      </c>
      <c r="CZ141" s="62">
        <f t="shared" si="150"/>
        <v>371.26234252426531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-2.2737367544323206E-13</v>
      </c>
      <c r="DP141" s="18">
        <f>DO141*VLOOKUP('Données projet'!$B$14,Paramètres!$A$1:$I$89,3,0)*VLOOKUP('Données projet'!$B$14,Paramètres!$A$1:$I$89,5,0)</f>
        <v>-1.6671037883497774E-13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344.63665697794022</v>
      </c>
      <c r="DU141" s="62">
        <f t="shared" si="152"/>
        <v>376.72762011188041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5.4092197387944907E-14</v>
      </c>
      <c r="EL141" s="14">
        <f t="shared" si="153"/>
        <v>8.7287050538073676E-13</v>
      </c>
      <c r="EM141" s="22">
        <f t="shared" si="127"/>
        <v>1.6144600406554537E-12</v>
      </c>
      <c r="EN141" s="62">
        <f t="shared" si="128"/>
        <v>293.33333333333491</v>
      </c>
      <c r="EO141" s="62">
        <f ca="1">AVERAGE(OFFSET($EN$3,0,0,'Données projet'!$E$15+1,1))-AVERAGE(OFFSET($H$3,0,0,'Données projet'!$E$15+1,1))</f>
        <v>406.24139966722936</v>
      </c>
      <c r="EP141" s="62">
        <f t="shared" si="154"/>
        <v>295.95724296920577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3.8</v>
      </c>
      <c r="FE141" s="13">
        <f>IF('Données projet'!$A$218&gt;35,FE140+FD141-FM140,IF(A141&lt;'Données projet'!$A$218,$FB$205^A141,IF(A141='Données projet'!$A$218,'Données projet'!$B$218,FE140+FD141-FM140)))</f>
        <v>333.39999999999975</v>
      </c>
      <c r="FF141" s="18">
        <f>FE141*VLOOKUP('Données projet'!$B$16,Paramètres!$A$1:$I$89,3,0)*VLOOKUP('Données projet'!$B$16,Paramètres!$A$1:$I$89,5,0)</f>
        <v>322.46447999999981</v>
      </c>
      <c r="FG141" s="14">
        <f t="shared" si="155"/>
        <v>75.865907468266684</v>
      </c>
      <c r="FH141" s="22">
        <f t="shared" si="130"/>
        <v>693.75875817389749</v>
      </c>
      <c r="FI141" s="62">
        <f t="shared" si="131"/>
        <v>987.09209150723086</v>
      </c>
      <c r="FJ141" s="62">
        <f ca="1">AVERAGE(OFFSET($FI$3,0,0,'Données projet'!$E$16+1,1))-AVERAGE(OFFSET($H$3,0,0,'Données projet'!$E$16+1,1))</f>
        <v>540.83352418045502</v>
      </c>
      <c r="FK141" s="62">
        <f t="shared" si="156"/>
        <v>294.45557293177131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1.1368683772161603E-13</v>
      </c>
      <c r="GA141" s="18">
        <f>FZ141*VLOOKUP('Données projet'!$B$17,Paramètres!$A$1:$I$89,3,0)*VLOOKUP('Données projet'!$B$17,Paramètres!$A$1:$I$89,5,0)</f>
        <v>8.8675733422860506E-14</v>
      </c>
      <c r="GB141" s="14">
        <f t="shared" si="157"/>
        <v>1.3509285393066301E-12</v>
      </c>
      <c r="GC141" s="22">
        <f t="shared" si="133"/>
        <v>2.5073107750038623E-12</v>
      </c>
      <c r="GD141" s="62">
        <f t="shared" si="134"/>
        <v>293.33333333333582</v>
      </c>
      <c r="GE141" s="62">
        <f ca="1">AVERAGE(OFFSET($GD$3,0,0,'Données projet'!$E$17+1,1))-AVERAGE(OFFSET($H$3,0,0,'Données projet'!$E$17+1,1))</f>
        <v>292.57482726862594</v>
      </c>
      <c r="GF141" s="62">
        <f t="shared" si="158"/>
        <v>283.48738729114024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3.979039320256561E-13</v>
      </c>
      <c r="GV141" s="18">
        <f>GU141*VLOOKUP('Données projet'!$B$18,Paramètres!$A$1:$I$89,3,0)*VLOOKUP('Données projet'!$B$18,Paramètres!$A$1:$I$89,5,0)</f>
        <v>2.669139576028101E-13</v>
      </c>
      <c r="GW141" s="14">
        <f t="shared" si="159"/>
        <v>3.5767923834585247E-12</v>
      </c>
      <c r="GX141" s="22">
        <f t="shared" si="136"/>
        <v>6.6944552106818241E-12</v>
      </c>
      <c r="GY141" s="62">
        <f t="shared" si="137"/>
        <v>293.33333333334002</v>
      </c>
      <c r="GZ141" s="62">
        <f ca="1">AVERAGE(OFFSET($GY$3,0,0,'Données projet'!$E$18+1,1))-AVERAGE(OFFSET($H$3,0,0,'Données projet'!$E$18+1,1))</f>
        <v>343.33067866534634</v>
      </c>
      <c r="HA141" s="62">
        <f t="shared" si="160"/>
        <v>261.91036689641402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337.19999999999976</v>
      </c>
      <c r="O142" s="14">
        <f>N142*VLOOKUP('Données projet'!$B$9,Paramètres!$A$1:$I$89,3,0)*VLOOKUP('Données projet'!$B$9,Paramètres!$A$1:$I$89,5,0)</f>
        <v>305.09855999999979</v>
      </c>
      <c r="P142" s="14">
        <f t="shared" si="141"/>
        <v>72.244266890878791</v>
      </c>
      <c r="Q142" s="22">
        <f t="shared" si="108"/>
        <v>657.20542350161361</v>
      </c>
      <c r="R142" s="62">
        <f t="shared" si="109"/>
        <v>950.53875683494698</v>
      </c>
      <c r="S142" s="62">
        <f ca="1">AVERAGE(OFFSET($R$3,0,0,'Données projet'!$E$9+1,1))-AVERAGE(OFFSET($H$3,0,0,'Données projet'!$E$9+1,1))</f>
        <v>508.77990078889337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3.8</v>
      </c>
      <c r="AI142" s="14">
        <f>IF('Données projet'!$A$62&gt;35,AI141+AH142-AQ141,IF(A142&lt;'Données projet'!$A$62,$AF$205^A142,IF(A142='Données projet'!$A$62,'Données projet'!$B$62,AI141+AH142-AQ141)))</f>
        <v>337.19999999999976</v>
      </c>
      <c r="AJ142" s="14">
        <f>AI142*VLOOKUP('Données projet'!$B$10,Paramètres!$A$1:$I$89,3,0)*VLOOKUP('Données projet'!$B$10,Paramètres!$A$1:$I$89,5,0)</f>
        <v>341.92079999999982</v>
      </c>
      <c r="AK142" s="14">
        <f t="shared" si="143"/>
        <v>79.896665654133599</v>
      </c>
      <c r="AL142" s="22">
        <f t="shared" si="112"/>
        <v>734.66541934761563</v>
      </c>
      <c r="AM142" s="62">
        <f t="shared" si="113"/>
        <v>1027.9987526809489</v>
      </c>
      <c r="AN142" s="62">
        <f ca="1">AVERAGE(OFFSET($AM$3,0,0,'Données projet'!$E$10+1,1))-AVERAGE(OFFSET($H$3,0,0,'Données projet'!$E$10+1,1))</f>
        <v>564.84596170333884</v>
      </c>
      <c r="AO142" s="62">
        <f t="shared" si="144"/>
        <v>306.61893266146666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-1.8089849618263545E-13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370.79299728190904</v>
      </c>
      <c r="BJ142" s="62">
        <f t="shared" si="146"/>
        <v>404.95703400805775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-1.8089849618263545E-13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370.79299728190904</v>
      </c>
      <c r="CE142" s="62">
        <f t="shared" si="148"/>
        <v>404.95703400805775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-1.7053025658242404E-13</v>
      </c>
      <c r="CU142" s="18">
        <f>CT142*VLOOKUP('Données projet'!$B$13,Paramètres!$A$1:$I$89,3,0)*VLOOKUP('Données projet'!$B$13,Paramètres!$A$1:$I$89,5,0)</f>
        <v>-1.4897523215040567E-13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339.58437495284466</v>
      </c>
      <c r="CZ142" s="62">
        <f t="shared" si="150"/>
        <v>371.26234252426531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-2.2737367544323206E-13</v>
      </c>
      <c r="DP142" s="18">
        <f>DO142*VLOOKUP('Données projet'!$B$14,Paramètres!$A$1:$I$89,3,0)*VLOOKUP('Données projet'!$B$14,Paramètres!$A$1:$I$89,5,0)</f>
        <v>-1.6671037883497774E-13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344.63665697794022</v>
      </c>
      <c r="DU142" s="62">
        <f t="shared" si="152"/>
        <v>376.72762011188041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5.4092197387944907E-14</v>
      </c>
      <c r="EL142" s="14">
        <f t="shared" si="153"/>
        <v>8.7287050538073676E-13</v>
      </c>
      <c r="EM142" s="22">
        <f t="shared" si="127"/>
        <v>1.6144600406554537E-12</v>
      </c>
      <c r="EN142" s="62">
        <f t="shared" si="128"/>
        <v>293.33333333333491</v>
      </c>
      <c r="EO142" s="62">
        <f ca="1">AVERAGE(OFFSET($EN$3,0,0,'Données projet'!$E$15+1,1))-AVERAGE(OFFSET($H$3,0,0,'Données projet'!$E$15+1,1))</f>
        <v>406.24139966722936</v>
      </c>
      <c r="EP142" s="62">
        <f t="shared" si="154"/>
        <v>295.95724296920577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3.8</v>
      </c>
      <c r="FE142" s="13">
        <f>IF('Données projet'!$A$218&gt;35,FE141+FD142-FM141,IF(A142&lt;'Données projet'!$A$218,$FB$205^A142,IF(A142='Données projet'!$A$218,'Données projet'!$B$218,FE141+FD142-FM141)))</f>
        <v>337.19999999999976</v>
      </c>
      <c r="FF142" s="18">
        <f>FE142*VLOOKUP('Données projet'!$B$16,Paramètres!$A$1:$I$89,3,0)*VLOOKUP('Données projet'!$B$16,Paramètres!$A$1:$I$89,5,0)</f>
        <v>326.13983999999977</v>
      </c>
      <c r="FG142" s="14">
        <f t="shared" si="155"/>
        <v>76.62945028727961</v>
      </c>
      <c r="FH142" s="22">
        <f t="shared" si="130"/>
        <v>701.48984725034495</v>
      </c>
      <c r="FI142" s="62">
        <f t="shared" si="131"/>
        <v>994.82318058367832</v>
      </c>
      <c r="FJ142" s="62">
        <f ca="1">AVERAGE(OFFSET($FI$3,0,0,'Données projet'!$E$16+1,1))-AVERAGE(OFFSET($H$3,0,0,'Données projet'!$E$16+1,1))</f>
        <v>540.83352418045502</v>
      </c>
      <c r="FK142" s="62">
        <f t="shared" si="156"/>
        <v>294.45557293177131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1.1368683772161603E-13</v>
      </c>
      <c r="GA142" s="18">
        <f>FZ142*VLOOKUP('Données projet'!$B$17,Paramètres!$A$1:$I$89,3,0)*VLOOKUP('Données projet'!$B$17,Paramètres!$A$1:$I$89,5,0)</f>
        <v>8.8675733422860506E-14</v>
      </c>
      <c r="GB142" s="14">
        <f t="shared" si="157"/>
        <v>1.3509285393066301E-12</v>
      </c>
      <c r="GC142" s="22">
        <f t="shared" si="133"/>
        <v>2.5073107750038623E-12</v>
      </c>
      <c r="GD142" s="62">
        <f t="shared" si="134"/>
        <v>293.33333333333582</v>
      </c>
      <c r="GE142" s="62">
        <f ca="1">AVERAGE(OFFSET($GD$3,0,0,'Données projet'!$E$17+1,1))-AVERAGE(OFFSET($H$3,0,0,'Données projet'!$E$17+1,1))</f>
        <v>292.57482726862594</v>
      </c>
      <c r="GF142" s="62">
        <f t="shared" si="158"/>
        <v>283.48738729114024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3.979039320256561E-13</v>
      </c>
      <c r="GV142" s="18">
        <f>GU142*VLOOKUP('Données projet'!$B$18,Paramètres!$A$1:$I$89,3,0)*VLOOKUP('Données projet'!$B$18,Paramètres!$A$1:$I$89,5,0)</f>
        <v>2.669139576028101E-13</v>
      </c>
      <c r="GW142" s="14">
        <f t="shared" si="159"/>
        <v>3.5767923834585247E-12</v>
      </c>
      <c r="GX142" s="22">
        <f t="shared" si="136"/>
        <v>6.6944552106818241E-12</v>
      </c>
      <c r="GY142" s="62">
        <f t="shared" si="137"/>
        <v>293.33333333334002</v>
      </c>
      <c r="GZ142" s="62">
        <f ca="1">AVERAGE(OFFSET($GY$3,0,0,'Données projet'!$E$18+1,1))-AVERAGE(OFFSET($H$3,0,0,'Données projet'!$E$18+1,1))</f>
        <v>343.33067866534634</v>
      </c>
      <c r="HA142" s="62">
        <f t="shared" si="160"/>
        <v>261.91036689641402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340.99999999999977</v>
      </c>
      <c r="O143" s="14">
        <f>N143*VLOOKUP('Données projet'!$B$9,Paramètres!$A$1:$I$89,3,0)*VLOOKUP('Données projet'!$B$9,Paramètres!$A$1:$I$89,5,0)</f>
        <v>308.5367999999998</v>
      </c>
      <c r="P143" s="14">
        <f t="shared" si="141"/>
        <v>72.963171684496047</v>
      </c>
      <c r="Q143" s="22">
        <f t="shared" si="108"/>
        <v>664.44578401716353</v>
      </c>
      <c r="R143" s="62">
        <f t="shared" si="109"/>
        <v>957.77911735049679</v>
      </c>
      <c r="S143" s="62">
        <f ca="1">AVERAGE(OFFSET($R$3,0,0,'Données projet'!$E$9+1,1))-AVERAGE(OFFSET($H$3,0,0,'Données projet'!$E$9+1,1))</f>
        <v>508.77990078889337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41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341</v>
      </c>
      <c r="AG143" s="13">
        <f>VLOOKUP(A143,'Données projet'!$A$61:$I$81,9,0)</f>
        <v>3.8</v>
      </c>
      <c r="AH143" s="13">
        <f t="array" ref="AH143">INDEX(AG:AG,MIN(IF(ISNUMBER(AG143:AG339),ROW(AG143:AG339),"")))</f>
        <v>3.8</v>
      </c>
      <c r="AI143" s="14">
        <f>IF('Données projet'!$A$62&gt;35,AI142+AH143-AQ142,IF(A143&lt;'Données projet'!$A$62,$AF$205^A143,IF(A143='Données projet'!$A$62,'Données projet'!$B$62,AI142+AH143-AQ142)))</f>
        <v>340.99999999999977</v>
      </c>
      <c r="AJ143" s="14">
        <f>AI143*VLOOKUP('Données projet'!$B$10,Paramètres!$A$1:$I$89,3,0)*VLOOKUP('Données projet'!$B$10,Paramètres!$A$1:$I$89,5,0)</f>
        <v>345.77399999999977</v>
      </c>
      <c r="AK143" s="14">
        <f t="shared" si="143"/>
        <v>80.691719689626112</v>
      </c>
      <c r="AL143" s="22">
        <f t="shared" si="112"/>
        <v>742.7611284594318</v>
      </c>
      <c r="AM143" s="62">
        <f t="shared" si="113"/>
        <v>1036.0944617927651</v>
      </c>
      <c r="AN143" s="62">
        <f ca="1">AVERAGE(OFFSET($AM$3,0,0,'Données projet'!$E$10+1,1))-AVERAGE(OFFSET($H$3,0,0,'Données projet'!$E$10+1,1))</f>
        <v>564.84596170333884</v>
      </c>
      <c r="AO143" s="62">
        <f t="shared" si="144"/>
        <v>306.61893266146666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41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-1.8089849618263545E-13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370.79299728190904</v>
      </c>
      <c r="BJ143" s="62">
        <f t="shared" si="146"/>
        <v>404.95703400805775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-1.8089849618263545E-13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370.79299728190904</v>
      </c>
      <c r="CE143" s="62">
        <f t="shared" si="148"/>
        <v>404.95703400805775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-1.7053025658242404E-13</v>
      </c>
      <c r="CU143" s="18">
        <f>CT143*VLOOKUP('Données projet'!$B$13,Paramètres!$A$1:$I$89,3,0)*VLOOKUP('Données projet'!$B$13,Paramètres!$A$1:$I$89,5,0)</f>
        <v>-1.4897523215040567E-13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339.58437495284466</v>
      </c>
      <c r="CZ143" s="62">
        <f t="shared" si="150"/>
        <v>371.26234252426531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-2.2737367544323206E-13</v>
      </c>
      <c r="DP143" s="18">
        <f>DO143*VLOOKUP('Données projet'!$B$14,Paramètres!$A$1:$I$89,3,0)*VLOOKUP('Données projet'!$B$14,Paramètres!$A$1:$I$89,5,0)</f>
        <v>-1.6671037883497774E-13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344.63665697794022</v>
      </c>
      <c r="DU143" s="62">
        <f t="shared" si="152"/>
        <v>376.72762011188041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5.4092197387944907E-14</v>
      </c>
      <c r="EL143" s="14">
        <f t="shared" si="153"/>
        <v>8.7287050538073676E-13</v>
      </c>
      <c r="EM143" s="22">
        <f t="shared" si="127"/>
        <v>1.6144600406554537E-12</v>
      </c>
      <c r="EN143" s="62">
        <f t="shared" si="128"/>
        <v>293.33333333333491</v>
      </c>
      <c r="EO143" s="62">
        <f ca="1">AVERAGE(OFFSET($EN$3,0,0,'Données projet'!$E$15+1,1))-AVERAGE(OFFSET($H$3,0,0,'Données projet'!$E$15+1,1))</f>
        <v>406.24139966722936</v>
      </c>
      <c r="EP143" s="62">
        <f t="shared" si="154"/>
        <v>295.95724296920577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>
        <f>VLOOKUP(A143,'Données projet'!$A$217:$I$237,2,0)</f>
        <v>341</v>
      </c>
      <c r="FC143" s="13">
        <f>VLOOKUP(A143,'Données projet'!$A$217:$I$237,9,0)</f>
        <v>3.8</v>
      </c>
      <c r="FD143" s="13">
        <f t="array" ref="FD143">INDEX(FC:FC,MIN(IF(ISNUMBER(FC143:FC339),ROW(FC143:FC339),"")))</f>
        <v>3.8</v>
      </c>
      <c r="FE143" s="13">
        <f>IF('Données projet'!$A$218&gt;35,FE142+FD143-FM142,IF(A143&lt;'Données projet'!$A$218,$FB$205^A143,IF(A143='Données projet'!$A$218,'Données projet'!$B$218,FE142+FD143-FM142)))</f>
        <v>340.99999999999977</v>
      </c>
      <c r="FF143" s="18">
        <f>FE143*VLOOKUP('Données projet'!$B$16,Paramètres!$A$1:$I$89,3,0)*VLOOKUP('Données projet'!$B$16,Paramètres!$A$1:$I$89,5,0)</f>
        <v>329.81519999999978</v>
      </c>
      <c r="FG143" s="14">
        <f t="shared" si="155"/>
        <v>77.391992167966066</v>
      </c>
      <c r="FH143" s="22">
        <f t="shared" si="130"/>
        <v>709.21919302587378</v>
      </c>
      <c r="FI143" s="62">
        <f t="shared" si="131"/>
        <v>1002.5525263592071</v>
      </c>
      <c r="FJ143" s="62">
        <f ca="1">AVERAGE(OFFSET($FI$3,0,0,'Données projet'!$E$16+1,1))-AVERAGE(OFFSET($H$3,0,0,'Données projet'!$E$16+1,1))</f>
        <v>540.83352418045502</v>
      </c>
      <c r="FK143" s="62">
        <f t="shared" si="156"/>
        <v>294.45557293177131</v>
      </c>
      <c r="FL143" s="16">
        <f>IF(ISNA(VLOOKUP(A143,'Données projet'!$A$217:$I$237,3,0)),0,VLOOKUP(A143,'Données projet'!$A$217:$I$237,3,0))</f>
        <v>12</v>
      </c>
      <c r="FM143" s="16">
        <f>IF(ISNA(VLOOKUP(A143,'Données projet'!$A$217:$I$237,4,0)),0,VLOOKUP(A143,'Données projet'!$A$217:$I$237,4,0))</f>
        <v>41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1.1368683772161603E-13</v>
      </c>
      <c r="GA143" s="18">
        <f>FZ143*VLOOKUP('Données projet'!$B$17,Paramètres!$A$1:$I$89,3,0)*VLOOKUP('Données projet'!$B$17,Paramètres!$A$1:$I$89,5,0)</f>
        <v>8.8675733422860506E-14</v>
      </c>
      <c r="GB143" s="14">
        <f t="shared" si="157"/>
        <v>1.3509285393066301E-12</v>
      </c>
      <c r="GC143" s="22">
        <f t="shared" si="133"/>
        <v>2.5073107750038623E-12</v>
      </c>
      <c r="GD143" s="62">
        <f t="shared" si="134"/>
        <v>293.33333333333582</v>
      </c>
      <c r="GE143" s="62">
        <f ca="1">AVERAGE(OFFSET($GD$3,0,0,'Données projet'!$E$17+1,1))-AVERAGE(OFFSET($H$3,0,0,'Données projet'!$E$17+1,1))</f>
        <v>292.57482726862594</v>
      </c>
      <c r="GF143" s="62">
        <f t="shared" si="158"/>
        <v>283.48738729114024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3.979039320256561E-13</v>
      </c>
      <c r="GV143" s="18">
        <f>GU143*VLOOKUP('Données projet'!$B$18,Paramètres!$A$1:$I$89,3,0)*VLOOKUP('Données projet'!$B$18,Paramètres!$A$1:$I$89,5,0)</f>
        <v>2.669139576028101E-13</v>
      </c>
      <c r="GW143" s="14">
        <f t="shared" si="159"/>
        <v>3.5767923834585247E-12</v>
      </c>
      <c r="GX143" s="22">
        <f t="shared" si="136"/>
        <v>6.6944552106818241E-12</v>
      </c>
      <c r="GY143" s="62">
        <f t="shared" si="137"/>
        <v>293.33333333334002</v>
      </c>
      <c r="GZ143" s="62">
        <f ca="1">AVERAGE(OFFSET($GY$3,0,0,'Données projet'!$E$18+1,1))-AVERAGE(OFFSET($H$3,0,0,'Données projet'!$E$18+1,1))</f>
        <v>343.33067866534634</v>
      </c>
      <c r="HA143" s="62">
        <f t="shared" si="160"/>
        <v>261.91036689641402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303.49999999999977</v>
      </c>
      <c r="O144" s="14">
        <f>N144*VLOOKUP('Données projet'!$B$9,Paramètres!$A$1:$I$89,3,0)*VLOOKUP('Données projet'!$B$9,Paramètres!$A$1:$I$89,5,0)</f>
        <v>274.60679999999979</v>
      </c>
      <c r="P144" s="14">
        <f t="shared" si="141"/>
        <v>65.825983768649792</v>
      </c>
      <c r="Q144" s="22">
        <f t="shared" si="108"/>
        <v>592.92043173039792</v>
      </c>
      <c r="R144" s="62">
        <f t="shared" si="109"/>
        <v>886.25376506373118</v>
      </c>
      <c r="S144" s="62">
        <f ca="1">AVERAGE(OFFSET($R$3,0,0,'Données projet'!$E$9+1,1))-AVERAGE(OFFSET($H$3,0,0,'Données projet'!$E$9+1,1))</f>
        <v>508.77990078889337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3.5</v>
      </c>
      <c r="AI144" s="14">
        <f>IF('Données projet'!$A$62&gt;35,AI143+AH144-AQ143,IF(A144&lt;'Données projet'!$A$62,$AF$205^A144,IF(A144='Données projet'!$A$62,'Données projet'!$B$62,AI143+AH144-AQ143)))</f>
        <v>303.49999999999977</v>
      </c>
      <c r="AJ144" s="14">
        <f>AI144*VLOOKUP('Données projet'!$B$10,Paramètres!$A$1:$I$89,3,0)*VLOOKUP('Données projet'!$B$10,Paramètres!$A$1:$I$89,5,0)</f>
        <v>307.7489999999998</v>
      </c>
      <c r="AK144" s="14">
        <f t="shared" si="143"/>
        <v>72.798532573693436</v>
      </c>
      <c r="AL144" s="22">
        <f t="shared" si="112"/>
        <v>662.78695256584899</v>
      </c>
      <c r="AM144" s="62">
        <f t="shared" si="113"/>
        <v>956.12028589918236</v>
      </c>
      <c r="AN144" s="62">
        <f ca="1">AVERAGE(OFFSET($AM$3,0,0,'Données projet'!$E$10+1,1))-AVERAGE(OFFSET($H$3,0,0,'Données projet'!$E$10+1,1))</f>
        <v>564.84596170333884</v>
      </c>
      <c r="AO144" s="62">
        <f t="shared" si="144"/>
        <v>306.61893266146666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-1.8089849618263545E-13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370.79299728190904</v>
      </c>
      <c r="BJ144" s="62">
        <f t="shared" si="146"/>
        <v>404.95703400805775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-1.8089849618263545E-13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370.79299728190904</v>
      </c>
      <c r="CE144" s="62">
        <f t="shared" si="148"/>
        <v>404.95703400805775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-1.7053025658242404E-13</v>
      </c>
      <c r="CU144" s="18">
        <f>CT144*VLOOKUP('Données projet'!$B$13,Paramètres!$A$1:$I$89,3,0)*VLOOKUP('Données projet'!$B$13,Paramètres!$A$1:$I$89,5,0)</f>
        <v>-1.4897523215040567E-13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339.58437495284466</v>
      </c>
      <c r="CZ144" s="62">
        <f t="shared" si="150"/>
        <v>371.26234252426531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-2.2737367544323206E-13</v>
      </c>
      <c r="DP144" s="18">
        <f>DO144*VLOOKUP('Données projet'!$B$14,Paramètres!$A$1:$I$89,3,0)*VLOOKUP('Données projet'!$B$14,Paramètres!$A$1:$I$89,5,0)</f>
        <v>-1.6671037883497774E-13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344.63665697794022</v>
      </c>
      <c r="DU144" s="62">
        <f t="shared" si="152"/>
        <v>376.72762011188041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5.4092197387944907E-14</v>
      </c>
      <c r="EL144" s="14">
        <f t="shared" si="153"/>
        <v>8.7287050538073676E-13</v>
      </c>
      <c r="EM144" s="22">
        <f t="shared" si="127"/>
        <v>1.6144600406554537E-12</v>
      </c>
      <c r="EN144" s="62">
        <f t="shared" si="128"/>
        <v>293.33333333333491</v>
      </c>
      <c r="EO144" s="62">
        <f ca="1">AVERAGE(OFFSET($EN$3,0,0,'Données projet'!$E$15+1,1))-AVERAGE(OFFSET($H$3,0,0,'Données projet'!$E$15+1,1))</f>
        <v>406.24139966722936</v>
      </c>
      <c r="EP144" s="62">
        <f t="shared" si="154"/>
        <v>295.95724296920577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3.5</v>
      </c>
      <c r="FE144" s="13">
        <f>IF('Données projet'!$A$218&gt;35,FE143+FD144-FM143,IF(A144&lt;'Données projet'!$A$218,$FB$205^A144,IF(A144='Données projet'!$A$218,'Données projet'!$B$218,FE143+FD144-FM143)))</f>
        <v>303.49999999999977</v>
      </c>
      <c r="FF144" s="18">
        <f>FE144*VLOOKUP('Données projet'!$B$16,Paramètres!$A$1:$I$89,3,0)*VLOOKUP('Données projet'!$B$16,Paramètres!$A$1:$I$89,5,0)</f>
        <v>293.5451999999998</v>
      </c>
      <c r="FG144" s="14">
        <f t="shared" si="155"/>
        <v>69.821581253361501</v>
      </c>
      <c r="FH144" s="22">
        <f t="shared" si="130"/>
        <v>632.86381068293758</v>
      </c>
      <c r="FI144" s="62">
        <f t="shared" si="131"/>
        <v>926.19714401627084</v>
      </c>
      <c r="FJ144" s="62">
        <f ca="1">AVERAGE(OFFSET($FI$3,0,0,'Données projet'!$E$16+1,1))-AVERAGE(OFFSET($H$3,0,0,'Données projet'!$E$16+1,1))</f>
        <v>540.83352418045502</v>
      </c>
      <c r="FK144" s="62">
        <f t="shared" si="156"/>
        <v>294.45557293177131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1.1368683772161603E-13</v>
      </c>
      <c r="GA144" s="18">
        <f>FZ144*VLOOKUP('Données projet'!$B$17,Paramètres!$A$1:$I$89,3,0)*VLOOKUP('Données projet'!$B$17,Paramètres!$A$1:$I$89,5,0)</f>
        <v>8.8675733422860506E-14</v>
      </c>
      <c r="GB144" s="14">
        <f t="shared" si="157"/>
        <v>1.3509285393066301E-12</v>
      </c>
      <c r="GC144" s="22">
        <f t="shared" si="133"/>
        <v>2.5073107750038623E-12</v>
      </c>
      <c r="GD144" s="62">
        <f t="shared" si="134"/>
        <v>293.33333333333582</v>
      </c>
      <c r="GE144" s="62">
        <f ca="1">AVERAGE(OFFSET($GD$3,0,0,'Données projet'!$E$17+1,1))-AVERAGE(OFFSET($H$3,0,0,'Données projet'!$E$17+1,1))</f>
        <v>292.57482726862594</v>
      </c>
      <c r="GF144" s="62">
        <f t="shared" si="158"/>
        <v>283.48738729114024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3.979039320256561E-13</v>
      </c>
      <c r="GV144" s="18">
        <f>GU144*VLOOKUP('Données projet'!$B$18,Paramètres!$A$1:$I$89,3,0)*VLOOKUP('Données projet'!$B$18,Paramètres!$A$1:$I$89,5,0)</f>
        <v>2.669139576028101E-13</v>
      </c>
      <c r="GW144" s="14">
        <f t="shared" si="159"/>
        <v>3.5767923834585247E-12</v>
      </c>
      <c r="GX144" s="22">
        <f t="shared" si="136"/>
        <v>6.6944552106818241E-12</v>
      </c>
      <c r="GY144" s="62">
        <f t="shared" si="137"/>
        <v>293.33333333334002</v>
      </c>
      <c r="GZ144" s="62">
        <f ca="1">AVERAGE(OFFSET($GY$3,0,0,'Données projet'!$E$18+1,1))-AVERAGE(OFFSET($H$3,0,0,'Données projet'!$E$18+1,1))</f>
        <v>343.33067866534634</v>
      </c>
      <c r="HA144" s="62">
        <f t="shared" si="160"/>
        <v>261.91036689641402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306.99999999999977</v>
      </c>
      <c r="O145" s="14">
        <f>N145*VLOOKUP('Données projet'!$B$9,Paramètres!$A$1:$I$89,3,0)*VLOOKUP('Données projet'!$B$9,Paramètres!$A$1:$I$89,5,0)</f>
        <v>277.77359999999982</v>
      </c>
      <c r="P145" s="14">
        <f t="shared" si="141"/>
        <v>66.496288176842356</v>
      </c>
      <c r="Q145" s="22">
        <f t="shared" si="108"/>
        <v>599.60338857466684</v>
      </c>
      <c r="R145" s="62">
        <f t="shared" si="109"/>
        <v>892.93672190800021</v>
      </c>
      <c r="S145" s="62">
        <f ca="1">AVERAGE(OFFSET($R$3,0,0,'Données projet'!$E$9+1,1))-AVERAGE(OFFSET($H$3,0,0,'Données projet'!$E$9+1,1))</f>
        <v>508.77990078889337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3.5</v>
      </c>
      <c r="AI145" s="14">
        <f>IF('Données projet'!$A$62&gt;35,AI144+AH145-AQ144,IF(A145&lt;'Données projet'!$A$62,$AF$205^A145,IF(A145='Données projet'!$A$62,'Données projet'!$B$62,AI144+AH145-AQ144)))</f>
        <v>306.99999999999977</v>
      </c>
      <c r="AJ145" s="14">
        <f>AI145*VLOOKUP('Données projet'!$B$10,Paramètres!$A$1:$I$89,3,0)*VLOOKUP('Données projet'!$B$10,Paramètres!$A$1:$I$89,5,0)</f>
        <v>311.29799999999983</v>
      </c>
      <c r="AK145" s="14">
        <f t="shared" si="143"/>
        <v>73.539838278528691</v>
      </c>
      <c r="AL145" s="22">
        <f t="shared" si="112"/>
        <v>670.25923500177043</v>
      </c>
      <c r="AM145" s="62">
        <f t="shared" si="113"/>
        <v>963.59256833510381</v>
      </c>
      <c r="AN145" s="62">
        <f ca="1">AVERAGE(OFFSET($AM$3,0,0,'Données projet'!$E$10+1,1))-AVERAGE(OFFSET($H$3,0,0,'Données projet'!$E$10+1,1))</f>
        <v>564.84596170333884</v>
      </c>
      <c r="AO145" s="62">
        <f t="shared" si="144"/>
        <v>306.61893266146666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-1.8089849618263545E-13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370.79299728190904</v>
      </c>
      <c r="BJ145" s="62">
        <f t="shared" si="146"/>
        <v>404.95703400805775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-1.8089849618263545E-13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370.79299728190904</v>
      </c>
      <c r="CE145" s="62">
        <f t="shared" si="148"/>
        <v>404.95703400805775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-1.7053025658242404E-13</v>
      </c>
      <c r="CU145" s="18">
        <f>CT145*VLOOKUP('Données projet'!$B$13,Paramètres!$A$1:$I$89,3,0)*VLOOKUP('Données projet'!$B$13,Paramètres!$A$1:$I$89,5,0)</f>
        <v>-1.4897523215040567E-13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339.58437495284466</v>
      </c>
      <c r="CZ145" s="62">
        <f t="shared" si="150"/>
        <v>371.26234252426531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-2.2737367544323206E-13</v>
      </c>
      <c r="DP145" s="18">
        <f>DO145*VLOOKUP('Données projet'!$B$14,Paramètres!$A$1:$I$89,3,0)*VLOOKUP('Données projet'!$B$14,Paramètres!$A$1:$I$89,5,0)</f>
        <v>-1.6671037883497774E-13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344.63665697794022</v>
      </c>
      <c r="DU145" s="62">
        <f t="shared" si="152"/>
        <v>376.72762011188041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5.4092197387944907E-14</v>
      </c>
      <c r="EL145" s="14">
        <f t="shared" si="153"/>
        <v>8.7287050538073676E-13</v>
      </c>
      <c r="EM145" s="22">
        <f t="shared" si="127"/>
        <v>1.6144600406554537E-12</v>
      </c>
      <c r="EN145" s="62">
        <f t="shared" si="128"/>
        <v>293.33333333333491</v>
      </c>
      <c r="EO145" s="62">
        <f ca="1">AVERAGE(OFFSET($EN$3,0,0,'Données projet'!$E$15+1,1))-AVERAGE(OFFSET($H$3,0,0,'Données projet'!$E$15+1,1))</f>
        <v>406.24139966722936</v>
      </c>
      <c r="EP145" s="62">
        <f t="shared" si="154"/>
        <v>295.95724296920577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3.5</v>
      </c>
      <c r="FE145" s="13">
        <f>IF('Données projet'!$A$218&gt;35,FE144+FD145-FM144,IF(A145&lt;'Données projet'!$A$218,$FB$205^A145,IF(A145='Données projet'!$A$218,'Données projet'!$B$218,FE144+FD145-FM144)))</f>
        <v>306.99999999999977</v>
      </c>
      <c r="FF145" s="18">
        <f>FE145*VLOOKUP('Données projet'!$B$16,Paramètres!$A$1:$I$89,3,0)*VLOOKUP('Données projet'!$B$16,Paramètres!$A$1:$I$89,5,0)</f>
        <v>296.93039999999979</v>
      </c>
      <c r="FG145" s="14">
        <f t="shared" si="155"/>
        <v>70.532572734561199</v>
      </c>
      <c r="FH145" s="22">
        <f t="shared" si="130"/>
        <v>639.99801084602711</v>
      </c>
      <c r="FI145" s="62">
        <f t="shared" si="131"/>
        <v>933.33134417936049</v>
      </c>
      <c r="FJ145" s="62">
        <f ca="1">AVERAGE(OFFSET($FI$3,0,0,'Données projet'!$E$16+1,1))-AVERAGE(OFFSET($H$3,0,0,'Données projet'!$E$16+1,1))</f>
        <v>540.83352418045502</v>
      </c>
      <c r="FK145" s="62">
        <f t="shared" si="156"/>
        <v>294.45557293177131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1.1368683772161603E-13</v>
      </c>
      <c r="GA145" s="18">
        <f>FZ145*VLOOKUP('Données projet'!$B$17,Paramètres!$A$1:$I$89,3,0)*VLOOKUP('Données projet'!$B$17,Paramètres!$A$1:$I$89,5,0)</f>
        <v>8.8675733422860506E-14</v>
      </c>
      <c r="GB145" s="14">
        <f t="shared" si="157"/>
        <v>1.3509285393066301E-12</v>
      </c>
      <c r="GC145" s="22">
        <f t="shared" si="133"/>
        <v>2.5073107750038623E-12</v>
      </c>
      <c r="GD145" s="62">
        <f t="shared" si="134"/>
        <v>293.33333333333582</v>
      </c>
      <c r="GE145" s="62">
        <f ca="1">AVERAGE(OFFSET($GD$3,0,0,'Données projet'!$E$17+1,1))-AVERAGE(OFFSET($H$3,0,0,'Données projet'!$E$17+1,1))</f>
        <v>292.57482726862594</v>
      </c>
      <c r="GF145" s="62">
        <f t="shared" si="158"/>
        <v>283.48738729114024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3.979039320256561E-13</v>
      </c>
      <c r="GV145" s="18">
        <f>GU145*VLOOKUP('Données projet'!$B$18,Paramètres!$A$1:$I$89,3,0)*VLOOKUP('Données projet'!$B$18,Paramètres!$A$1:$I$89,5,0)</f>
        <v>2.669139576028101E-13</v>
      </c>
      <c r="GW145" s="14">
        <f t="shared" si="159"/>
        <v>3.5767923834585247E-12</v>
      </c>
      <c r="GX145" s="22">
        <f t="shared" si="136"/>
        <v>6.6944552106818241E-12</v>
      </c>
      <c r="GY145" s="62">
        <f t="shared" si="137"/>
        <v>293.33333333334002</v>
      </c>
      <c r="GZ145" s="62">
        <f ca="1">AVERAGE(OFFSET($GY$3,0,0,'Données projet'!$E$18+1,1))-AVERAGE(OFFSET($H$3,0,0,'Données projet'!$E$18+1,1))</f>
        <v>343.33067866534634</v>
      </c>
      <c r="HA145" s="62">
        <f t="shared" si="160"/>
        <v>261.91036689641402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310.49999999999977</v>
      </c>
      <c r="O146" s="14">
        <f>N146*VLOOKUP('Données projet'!$B$9,Paramètres!$A$1:$I$89,3,0)*VLOOKUP('Données projet'!$B$9,Paramètres!$A$1:$I$89,5,0)</f>
        <v>280.94039999999978</v>
      </c>
      <c r="P146" s="14">
        <f t="shared" si="141"/>
        <v>67.165703636653149</v>
      </c>
      <c r="Q146" s="22">
        <f t="shared" si="108"/>
        <v>606.2847971671705</v>
      </c>
      <c r="R146" s="62">
        <f t="shared" si="109"/>
        <v>899.61813050050387</v>
      </c>
      <c r="S146" s="62">
        <f ca="1">AVERAGE(OFFSET($R$3,0,0,'Données projet'!$E$9+1,1))-AVERAGE(OFFSET($H$3,0,0,'Données projet'!$E$9+1,1))</f>
        <v>508.77990078889337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3.5</v>
      </c>
      <c r="AI146" s="14">
        <f>IF('Données projet'!$A$62&gt;35,AI145+AH146-AQ145,IF(A146&lt;'Données projet'!$A$62,$AF$205^A146,IF(A146='Données projet'!$A$62,'Données projet'!$B$62,AI145+AH146-AQ145)))</f>
        <v>310.49999999999977</v>
      </c>
      <c r="AJ146" s="14">
        <f>AI146*VLOOKUP('Données projet'!$B$10,Paramètres!$A$1:$I$89,3,0)*VLOOKUP('Données projet'!$B$10,Paramètres!$A$1:$I$89,5,0)</f>
        <v>314.84699999999975</v>
      </c>
      <c r="AK146" s="14">
        <f t="shared" si="143"/>
        <v>74.280160874050353</v>
      </c>
      <c r="AL146" s="22">
        <f t="shared" si="112"/>
        <v>677.72980518897054</v>
      </c>
      <c r="AM146" s="62">
        <f t="shared" si="113"/>
        <v>971.06313852230392</v>
      </c>
      <c r="AN146" s="62">
        <f ca="1">AVERAGE(OFFSET($AM$3,0,0,'Données projet'!$E$10+1,1))-AVERAGE(OFFSET($H$3,0,0,'Données projet'!$E$10+1,1))</f>
        <v>564.84596170333884</v>
      </c>
      <c r="AO146" s="62">
        <f t="shared" si="144"/>
        <v>306.61893266146666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-1.8089849618263545E-13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370.79299728190904</v>
      </c>
      <c r="BJ146" s="62">
        <f t="shared" si="146"/>
        <v>404.95703400805775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-1.8089849618263545E-13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370.79299728190904</v>
      </c>
      <c r="CE146" s="62">
        <f t="shared" si="148"/>
        <v>404.95703400805775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-1.7053025658242404E-13</v>
      </c>
      <c r="CU146" s="18">
        <f>CT146*VLOOKUP('Données projet'!$B$13,Paramètres!$A$1:$I$89,3,0)*VLOOKUP('Données projet'!$B$13,Paramètres!$A$1:$I$89,5,0)</f>
        <v>-1.4897523215040567E-13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339.58437495284466</v>
      </c>
      <c r="CZ146" s="62">
        <f t="shared" si="150"/>
        <v>371.26234252426531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-2.2737367544323206E-13</v>
      </c>
      <c r="DP146" s="18">
        <f>DO146*VLOOKUP('Données projet'!$B$14,Paramètres!$A$1:$I$89,3,0)*VLOOKUP('Données projet'!$B$14,Paramètres!$A$1:$I$89,5,0)</f>
        <v>-1.6671037883497774E-13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344.63665697794022</v>
      </c>
      <c r="DU146" s="62">
        <f t="shared" si="152"/>
        <v>376.72762011188041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5.4092197387944907E-14</v>
      </c>
      <c r="EL146" s="14">
        <f t="shared" si="153"/>
        <v>8.7287050538073676E-13</v>
      </c>
      <c r="EM146" s="22">
        <f t="shared" si="127"/>
        <v>1.6144600406554537E-12</v>
      </c>
      <c r="EN146" s="62">
        <f t="shared" si="128"/>
        <v>293.33333333333491</v>
      </c>
      <c r="EO146" s="62">
        <f ca="1">AVERAGE(OFFSET($EN$3,0,0,'Données projet'!$E$15+1,1))-AVERAGE(OFFSET($H$3,0,0,'Données projet'!$E$15+1,1))</f>
        <v>406.24139966722936</v>
      </c>
      <c r="EP146" s="62">
        <f t="shared" si="154"/>
        <v>295.95724296920577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3.5</v>
      </c>
      <c r="FE146" s="13">
        <f>IF('Données projet'!$A$218&gt;35,FE145+FD146-FM145,IF(A146&lt;'Données projet'!$A$218,$FB$205^A146,IF(A146='Données projet'!$A$218,'Données projet'!$B$218,FE145+FD146-FM145)))</f>
        <v>310.49999999999977</v>
      </c>
      <c r="FF146" s="18">
        <f>FE146*VLOOKUP('Données projet'!$B$16,Paramètres!$A$1:$I$89,3,0)*VLOOKUP('Données projet'!$B$16,Paramètres!$A$1:$I$89,5,0)</f>
        <v>300.31559999999979</v>
      </c>
      <c r="FG146" s="14">
        <f t="shared" si="155"/>
        <v>71.242621308749079</v>
      </c>
      <c r="FH146" s="22">
        <f t="shared" si="130"/>
        <v>647.13056877940437</v>
      </c>
      <c r="FI146" s="62">
        <f t="shared" si="131"/>
        <v>940.46390211273774</v>
      </c>
      <c r="FJ146" s="62">
        <f ca="1">AVERAGE(OFFSET($FI$3,0,0,'Données projet'!$E$16+1,1))-AVERAGE(OFFSET($H$3,0,0,'Données projet'!$E$16+1,1))</f>
        <v>540.83352418045502</v>
      </c>
      <c r="FK146" s="62">
        <f t="shared" si="156"/>
        <v>294.45557293177131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1.1368683772161603E-13</v>
      </c>
      <c r="GA146" s="18">
        <f>FZ146*VLOOKUP('Données projet'!$B$17,Paramètres!$A$1:$I$89,3,0)*VLOOKUP('Données projet'!$B$17,Paramètres!$A$1:$I$89,5,0)</f>
        <v>8.8675733422860506E-14</v>
      </c>
      <c r="GB146" s="14">
        <f t="shared" si="157"/>
        <v>1.3509285393066301E-12</v>
      </c>
      <c r="GC146" s="22">
        <f t="shared" si="133"/>
        <v>2.5073107750038623E-12</v>
      </c>
      <c r="GD146" s="62">
        <f t="shared" si="134"/>
        <v>293.33333333333582</v>
      </c>
      <c r="GE146" s="62">
        <f ca="1">AVERAGE(OFFSET($GD$3,0,0,'Données projet'!$E$17+1,1))-AVERAGE(OFFSET($H$3,0,0,'Données projet'!$E$17+1,1))</f>
        <v>292.57482726862594</v>
      </c>
      <c r="GF146" s="62">
        <f t="shared" si="158"/>
        <v>283.48738729114024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3.979039320256561E-13</v>
      </c>
      <c r="GV146" s="18">
        <f>GU146*VLOOKUP('Données projet'!$B$18,Paramètres!$A$1:$I$89,3,0)*VLOOKUP('Données projet'!$B$18,Paramètres!$A$1:$I$89,5,0)</f>
        <v>2.669139576028101E-13</v>
      </c>
      <c r="GW146" s="14">
        <f t="shared" si="159"/>
        <v>3.5767923834585247E-12</v>
      </c>
      <c r="GX146" s="22">
        <f t="shared" si="136"/>
        <v>6.6944552106818241E-12</v>
      </c>
      <c r="GY146" s="62">
        <f t="shared" si="137"/>
        <v>293.33333333334002</v>
      </c>
      <c r="GZ146" s="62">
        <f ca="1">AVERAGE(OFFSET($GY$3,0,0,'Données projet'!$E$18+1,1))-AVERAGE(OFFSET($H$3,0,0,'Données projet'!$E$18+1,1))</f>
        <v>343.33067866534634</v>
      </c>
      <c r="HA146" s="62">
        <f t="shared" si="160"/>
        <v>261.91036689641402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313.99999999999977</v>
      </c>
      <c r="O147" s="14">
        <f>N147*VLOOKUP('Données projet'!$B$9,Paramètres!$A$1:$I$89,3,0)*VLOOKUP('Données projet'!$B$9,Paramètres!$A$1:$I$89,5,0)</f>
        <v>284.10719999999981</v>
      </c>
      <c r="P147" s="14">
        <f t="shared" si="141"/>
        <v>67.834241327943715</v>
      </c>
      <c r="Q147" s="22">
        <f t="shared" si="108"/>
        <v>612.96467697950163</v>
      </c>
      <c r="R147" s="62">
        <f t="shared" si="109"/>
        <v>906.298010312835</v>
      </c>
      <c r="S147" s="62">
        <f ca="1">AVERAGE(OFFSET($R$3,0,0,'Données projet'!$E$9+1,1))-AVERAGE(OFFSET($H$3,0,0,'Données projet'!$E$9+1,1))</f>
        <v>508.77990078889337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3.5</v>
      </c>
      <c r="AI147" s="14">
        <f>IF('Données projet'!$A$62&gt;35,AI146+AH147-AQ146,IF(A147&lt;'Données projet'!$A$62,$AF$205^A147,IF(A147='Données projet'!$A$62,'Données projet'!$B$62,AI146+AH147-AQ146)))</f>
        <v>313.99999999999977</v>
      </c>
      <c r="AJ147" s="14">
        <f>AI147*VLOOKUP('Données projet'!$B$10,Paramètres!$A$1:$I$89,3,0)*VLOOKUP('Données projet'!$B$10,Paramètres!$A$1:$I$89,5,0)</f>
        <v>318.39599999999979</v>
      </c>
      <c r="AK147" s="14">
        <f t="shared" si="143"/>
        <v>75.019512724334945</v>
      </c>
      <c r="AL147" s="22">
        <f t="shared" si="112"/>
        <v>685.19868466154958</v>
      </c>
      <c r="AM147" s="62">
        <f t="shared" si="113"/>
        <v>978.53201799488284</v>
      </c>
      <c r="AN147" s="62">
        <f ca="1">AVERAGE(OFFSET($AM$3,0,0,'Données projet'!$E$10+1,1))-AVERAGE(OFFSET($H$3,0,0,'Données projet'!$E$10+1,1))</f>
        <v>564.84596170333884</v>
      </c>
      <c r="AO147" s="62">
        <f t="shared" si="144"/>
        <v>306.61893266146666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-1.8089849618263545E-13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370.79299728190904</v>
      </c>
      <c r="BJ147" s="62">
        <f t="shared" si="146"/>
        <v>404.95703400805775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-1.8089849618263545E-13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370.79299728190904</v>
      </c>
      <c r="CE147" s="62">
        <f t="shared" si="148"/>
        <v>404.95703400805775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-1.7053025658242404E-13</v>
      </c>
      <c r="CU147" s="18">
        <f>CT147*VLOOKUP('Données projet'!$B$13,Paramètres!$A$1:$I$89,3,0)*VLOOKUP('Données projet'!$B$13,Paramètres!$A$1:$I$89,5,0)</f>
        <v>-1.4897523215040567E-13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339.58437495284466</v>
      </c>
      <c r="CZ147" s="62">
        <f t="shared" si="150"/>
        <v>371.26234252426531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-2.2737367544323206E-13</v>
      </c>
      <c r="DP147" s="18">
        <f>DO147*VLOOKUP('Données projet'!$B$14,Paramètres!$A$1:$I$89,3,0)*VLOOKUP('Données projet'!$B$14,Paramètres!$A$1:$I$89,5,0)</f>
        <v>-1.6671037883497774E-13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344.63665697794022</v>
      </c>
      <c r="DU147" s="62">
        <f t="shared" si="152"/>
        <v>376.72762011188041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5.4092197387944907E-14</v>
      </c>
      <c r="EL147" s="14">
        <f t="shared" si="153"/>
        <v>8.7287050538073676E-13</v>
      </c>
      <c r="EM147" s="22">
        <f t="shared" si="127"/>
        <v>1.6144600406554537E-12</v>
      </c>
      <c r="EN147" s="62">
        <f t="shared" si="128"/>
        <v>293.33333333333491</v>
      </c>
      <c r="EO147" s="62">
        <f ca="1">AVERAGE(OFFSET($EN$3,0,0,'Données projet'!$E$15+1,1))-AVERAGE(OFFSET($H$3,0,0,'Données projet'!$E$15+1,1))</f>
        <v>406.24139966722936</v>
      </c>
      <c r="EP147" s="62">
        <f t="shared" si="154"/>
        <v>295.95724296920577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3.5</v>
      </c>
      <c r="FE147" s="13">
        <f>IF('Données projet'!$A$218&gt;35,FE146+FD147-FM146,IF(A147&lt;'Données projet'!$A$218,$FB$205^A147,IF(A147='Données projet'!$A$218,'Données projet'!$B$218,FE146+FD147-FM146)))</f>
        <v>313.99999999999977</v>
      </c>
      <c r="FF147" s="18">
        <f>FE147*VLOOKUP('Données projet'!$B$16,Paramètres!$A$1:$I$89,3,0)*VLOOKUP('Données projet'!$B$16,Paramètres!$A$1:$I$89,5,0)</f>
        <v>303.70079999999979</v>
      </c>
      <c r="FG147" s="14">
        <f t="shared" si="155"/>
        <v>71.951738834397091</v>
      </c>
      <c r="FH147" s="22">
        <f t="shared" si="130"/>
        <v>654.26150513657456</v>
      </c>
      <c r="FI147" s="62">
        <f t="shared" si="131"/>
        <v>947.59483846990793</v>
      </c>
      <c r="FJ147" s="62">
        <f ca="1">AVERAGE(OFFSET($FI$3,0,0,'Données projet'!$E$16+1,1))-AVERAGE(OFFSET($H$3,0,0,'Données projet'!$E$16+1,1))</f>
        <v>540.83352418045502</v>
      </c>
      <c r="FK147" s="62">
        <f t="shared" si="156"/>
        <v>294.45557293177131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1.1368683772161603E-13</v>
      </c>
      <c r="GA147" s="18">
        <f>FZ147*VLOOKUP('Données projet'!$B$17,Paramètres!$A$1:$I$89,3,0)*VLOOKUP('Données projet'!$B$17,Paramètres!$A$1:$I$89,5,0)</f>
        <v>8.8675733422860506E-14</v>
      </c>
      <c r="GB147" s="14">
        <f t="shared" si="157"/>
        <v>1.3509285393066301E-12</v>
      </c>
      <c r="GC147" s="22">
        <f t="shared" si="133"/>
        <v>2.5073107750038623E-12</v>
      </c>
      <c r="GD147" s="62">
        <f t="shared" si="134"/>
        <v>293.33333333333582</v>
      </c>
      <c r="GE147" s="62">
        <f ca="1">AVERAGE(OFFSET($GD$3,0,0,'Données projet'!$E$17+1,1))-AVERAGE(OFFSET($H$3,0,0,'Données projet'!$E$17+1,1))</f>
        <v>292.57482726862594</v>
      </c>
      <c r="GF147" s="62">
        <f t="shared" si="158"/>
        <v>283.48738729114024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3.979039320256561E-13</v>
      </c>
      <c r="GV147" s="18">
        <f>GU147*VLOOKUP('Données projet'!$B$18,Paramètres!$A$1:$I$89,3,0)*VLOOKUP('Données projet'!$B$18,Paramètres!$A$1:$I$89,5,0)</f>
        <v>2.669139576028101E-13</v>
      </c>
      <c r="GW147" s="14">
        <f t="shared" si="159"/>
        <v>3.5767923834585247E-12</v>
      </c>
      <c r="GX147" s="22">
        <f t="shared" si="136"/>
        <v>6.6944552106818241E-12</v>
      </c>
      <c r="GY147" s="62">
        <f t="shared" si="137"/>
        <v>293.33333333334002</v>
      </c>
      <c r="GZ147" s="62">
        <f ca="1">AVERAGE(OFFSET($GY$3,0,0,'Données projet'!$E$18+1,1))-AVERAGE(OFFSET($H$3,0,0,'Données projet'!$E$18+1,1))</f>
        <v>343.33067866534634</v>
      </c>
      <c r="HA147" s="62">
        <f t="shared" si="160"/>
        <v>261.91036689641402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317.49999999999977</v>
      </c>
      <c r="O148" s="14">
        <f>N148*VLOOKUP('Données projet'!$B$9,Paramètres!$A$1:$I$89,3,0)*VLOOKUP('Données projet'!$B$9,Paramètres!$A$1:$I$89,5,0)</f>
        <v>287.27399999999977</v>
      </c>
      <c r="P148" s="14">
        <f t="shared" si="141"/>
        <v>68.501912166991971</v>
      </c>
      <c r="Q148" s="22">
        <f t="shared" si="108"/>
        <v>619.64304702417724</v>
      </c>
      <c r="R148" s="62">
        <f t="shared" si="109"/>
        <v>912.97638035751061</v>
      </c>
      <c r="S148" s="62">
        <f ca="1">AVERAGE(OFFSET($R$3,0,0,'Données projet'!$E$9+1,1))-AVERAGE(OFFSET($H$3,0,0,'Données projet'!$E$9+1,1))</f>
        <v>508.77990078889337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3.5</v>
      </c>
      <c r="AI148" s="14">
        <f>IF('Données projet'!$A$62&gt;35,AI147+AH148-AQ147,IF(A148&lt;'Données projet'!$A$62,$AF$205^A148,IF(A148='Données projet'!$A$62,'Données projet'!$B$62,AI147+AH148-AQ147)))</f>
        <v>317.49999999999977</v>
      </c>
      <c r="AJ148" s="14">
        <f>AI148*VLOOKUP('Données projet'!$B$10,Paramètres!$A$1:$I$89,3,0)*VLOOKUP('Données projet'!$B$10,Paramètres!$A$1:$I$89,5,0)</f>
        <v>321.94499999999977</v>
      </c>
      <c r="AK148" s="14">
        <f t="shared" si="143"/>
        <v>75.757905901955908</v>
      </c>
      <c r="AL148" s="22">
        <f t="shared" si="112"/>
        <v>692.66589444590602</v>
      </c>
      <c r="AM148" s="62">
        <f t="shared" si="113"/>
        <v>985.99922777923939</v>
      </c>
      <c r="AN148" s="62">
        <f ca="1">AVERAGE(OFFSET($AM$3,0,0,'Données projet'!$E$10+1,1))-AVERAGE(OFFSET($H$3,0,0,'Données projet'!$E$10+1,1))</f>
        <v>564.84596170333884</v>
      </c>
      <c r="AO148" s="62">
        <f t="shared" si="144"/>
        <v>306.61893266146666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-1.8089849618263545E-13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370.79299728190904</v>
      </c>
      <c r="BJ148" s="62">
        <f t="shared" si="146"/>
        <v>404.95703400805775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-1.8089849618263545E-13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370.79299728190904</v>
      </c>
      <c r="CE148" s="62">
        <f t="shared" si="148"/>
        <v>404.95703400805775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-1.7053025658242404E-13</v>
      </c>
      <c r="CU148" s="18">
        <f>CT148*VLOOKUP('Données projet'!$B$13,Paramètres!$A$1:$I$89,3,0)*VLOOKUP('Données projet'!$B$13,Paramètres!$A$1:$I$89,5,0)</f>
        <v>-1.4897523215040567E-13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339.58437495284466</v>
      </c>
      <c r="CZ148" s="62">
        <f t="shared" si="150"/>
        <v>371.26234252426531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-2.2737367544323206E-13</v>
      </c>
      <c r="DP148" s="18">
        <f>DO148*VLOOKUP('Données projet'!$B$14,Paramètres!$A$1:$I$89,3,0)*VLOOKUP('Données projet'!$B$14,Paramètres!$A$1:$I$89,5,0)</f>
        <v>-1.6671037883497774E-13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344.63665697794022</v>
      </c>
      <c r="DU148" s="62">
        <f t="shared" si="152"/>
        <v>376.72762011188041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5.4092197387944907E-14</v>
      </c>
      <c r="EL148" s="14">
        <f t="shared" si="153"/>
        <v>8.7287050538073676E-13</v>
      </c>
      <c r="EM148" s="22">
        <f t="shared" si="127"/>
        <v>1.6144600406554537E-12</v>
      </c>
      <c r="EN148" s="62">
        <f t="shared" si="128"/>
        <v>293.33333333333491</v>
      </c>
      <c r="EO148" s="62">
        <f ca="1">AVERAGE(OFFSET($EN$3,0,0,'Données projet'!$E$15+1,1))-AVERAGE(OFFSET($H$3,0,0,'Données projet'!$E$15+1,1))</f>
        <v>406.24139966722936</v>
      </c>
      <c r="EP148" s="62">
        <f t="shared" si="154"/>
        <v>295.95724296920577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3.5</v>
      </c>
      <c r="FE148" s="13">
        <f>IF('Données projet'!$A$218&gt;35,FE147+FD148-FM147,IF(A148&lt;'Données projet'!$A$218,$FB$205^A148,IF(A148='Données projet'!$A$218,'Données projet'!$B$218,FE147+FD148-FM147)))</f>
        <v>317.49999999999977</v>
      </c>
      <c r="FF148" s="18">
        <f>FE148*VLOOKUP('Données projet'!$B$16,Paramètres!$A$1:$I$89,3,0)*VLOOKUP('Données projet'!$B$16,Paramètres!$A$1:$I$89,5,0)</f>
        <v>307.08599999999979</v>
      </c>
      <c r="FG148" s="14">
        <f t="shared" si="155"/>
        <v>72.659936890395116</v>
      </c>
      <c r="FH148" s="22">
        <f t="shared" si="130"/>
        <v>661.39084008410452</v>
      </c>
      <c r="FI148" s="62">
        <f t="shared" si="131"/>
        <v>954.7241734174379</v>
      </c>
      <c r="FJ148" s="62">
        <f ca="1">AVERAGE(OFFSET($FI$3,0,0,'Données projet'!$E$16+1,1))-AVERAGE(OFFSET($H$3,0,0,'Données projet'!$E$16+1,1))</f>
        <v>540.83352418045502</v>
      </c>
      <c r="FK148" s="62">
        <f t="shared" si="156"/>
        <v>294.45557293177131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1.1368683772161603E-13</v>
      </c>
      <c r="GA148" s="18">
        <f>FZ148*VLOOKUP('Données projet'!$B$17,Paramètres!$A$1:$I$89,3,0)*VLOOKUP('Données projet'!$B$17,Paramètres!$A$1:$I$89,5,0)</f>
        <v>8.8675733422860506E-14</v>
      </c>
      <c r="GB148" s="14">
        <f t="shared" si="157"/>
        <v>1.3509285393066301E-12</v>
      </c>
      <c r="GC148" s="22">
        <f t="shared" si="133"/>
        <v>2.5073107750038623E-12</v>
      </c>
      <c r="GD148" s="62">
        <f t="shared" si="134"/>
        <v>293.33333333333582</v>
      </c>
      <c r="GE148" s="62">
        <f ca="1">AVERAGE(OFFSET($GD$3,0,0,'Données projet'!$E$17+1,1))-AVERAGE(OFFSET($H$3,0,0,'Données projet'!$E$17+1,1))</f>
        <v>292.57482726862594</v>
      </c>
      <c r="GF148" s="62">
        <f t="shared" si="158"/>
        <v>283.48738729114024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3.979039320256561E-13</v>
      </c>
      <c r="GV148" s="18">
        <f>GU148*VLOOKUP('Données projet'!$B$18,Paramètres!$A$1:$I$89,3,0)*VLOOKUP('Données projet'!$B$18,Paramètres!$A$1:$I$89,5,0)</f>
        <v>2.669139576028101E-13</v>
      </c>
      <c r="GW148" s="14">
        <f t="shared" si="159"/>
        <v>3.5767923834585247E-12</v>
      </c>
      <c r="GX148" s="22">
        <f t="shared" si="136"/>
        <v>6.6944552106818241E-12</v>
      </c>
      <c r="GY148" s="62">
        <f t="shared" si="137"/>
        <v>293.33333333334002</v>
      </c>
      <c r="GZ148" s="62">
        <f ca="1">AVERAGE(OFFSET($GY$3,0,0,'Données projet'!$E$18+1,1))-AVERAGE(OFFSET($H$3,0,0,'Données projet'!$E$18+1,1))</f>
        <v>343.33067866534634</v>
      </c>
      <c r="HA148" s="62">
        <f t="shared" si="160"/>
        <v>261.91036689641402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320.99999999999977</v>
      </c>
      <c r="O149" s="14">
        <f>N149*VLOOKUP('Données projet'!$B$9,Paramètres!$A$1:$I$89,3,0)*VLOOKUP('Données projet'!$B$9,Paramètres!$A$1:$I$89,5,0)</f>
        <v>290.4407999999998</v>
      </c>
      <c r="P149" s="14">
        <f t="shared" si="141"/>
        <v>69.168726815543309</v>
      </c>
      <c r="Q149" s="22">
        <f t="shared" si="108"/>
        <v>626.31992587040429</v>
      </c>
      <c r="R149" s="62">
        <f t="shared" si="109"/>
        <v>919.65325920373766</v>
      </c>
      <c r="S149" s="62">
        <f ca="1">AVERAGE(OFFSET($R$3,0,0,'Données projet'!$E$9+1,1))-AVERAGE(OFFSET($H$3,0,0,'Données projet'!$E$9+1,1))</f>
        <v>508.77990078889337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3.5</v>
      </c>
      <c r="AI149" s="14">
        <f>IF('Données projet'!$A$62&gt;35,AI148+AH149-AQ148,IF(A149&lt;'Données projet'!$A$62,$AF$205^A149,IF(A149='Données projet'!$A$62,'Données projet'!$B$62,AI148+AH149-AQ148)))</f>
        <v>320.99999999999977</v>
      </c>
      <c r="AJ149" s="14">
        <f>AI149*VLOOKUP('Données projet'!$B$10,Paramètres!$A$1:$I$89,3,0)*VLOOKUP('Données projet'!$B$10,Paramètres!$A$1:$I$89,5,0)</f>
        <v>325.4939999999998</v>
      </c>
      <c r="AK149" s="14">
        <f t="shared" si="143"/>
        <v>76.495352197992872</v>
      </c>
      <c r="AL149" s="22">
        <f t="shared" si="112"/>
        <v>700.13145507817046</v>
      </c>
      <c r="AM149" s="62">
        <f t="shared" si="113"/>
        <v>993.46478841150383</v>
      </c>
      <c r="AN149" s="62">
        <f ca="1">AVERAGE(OFFSET($AM$3,0,0,'Données projet'!$E$10+1,1))-AVERAGE(OFFSET($H$3,0,0,'Données projet'!$E$10+1,1))</f>
        <v>564.84596170333884</v>
      </c>
      <c r="AO149" s="62">
        <f t="shared" si="144"/>
        <v>306.61893266146666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-1.8089849618263545E-13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370.79299728190904</v>
      </c>
      <c r="BJ149" s="62">
        <f t="shared" si="146"/>
        <v>404.95703400805775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-1.8089849618263545E-13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370.79299728190904</v>
      </c>
      <c r="CE149" s="62">
        <f t="shared" si="148"/>
        <v>404.95703400805775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-1.7053025658242404E-13</v>
      </c>
      <c r="CU149" s="18">
        <f>CT149*VLOOKUP('Données projet'!$B$13,Paramètres!$A$1:$I$89,3,0)*VLOOKUP('Données projet'!$B$13,Paramètres!$A$1:$I$89,5,0)</f>
        <v>-1.4897523215040567E-13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339.58437495284466</v>
      </c>
      <c r="CZ149" s="62">
        <f t="shared" si="150"/>
        <v>371.26234252426531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-2.2737367544323206E-13</v>
      </c>
      <c r="DP149" s="18">
        <f>DO149*VLOOKUP('Données projet'!$B$14,Paramètres!$A$1:$I$89,3,0)*VLOOKUP('Données projet'!$B$14,Paramètres!$A$1:$I$89,5,0)</f>
        <v>-1.6671037883497774E-13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344.63665697794022</v>
      </c>
      <c r="DU149" s="62">
        <f t="shared" si="152"/>
        <v>376.72762011188041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5.4092197387944907E-14</v>
      </c>
      <c r="EL149" s="14">
        <f t="shared" si="153"/>
        <v>8.7287050538073676E-13</v>
      </c>
      <c r="EM149" s="22">
        <f t="shared" si="127"/>
        <v>1.6144600406554537E-12</v>
      </c>
      <c r="EN149" s="62">
        <f t="shared" si="128"/>
        <v>293.33333333333491</v>
      </c>
      <c r="EO149" s="62">
        <f ca="1">AVERAGE(OFFSET($EN$3,0,0,'Données projet'!$E$15+1,1))-AVERAGE(OFFSET($H$3,0,0,'Données projet'!$E$15+1,1))</f>
        <v>406.24139966722936</v>
      </c>
      <c r="EP149" s="62">
        <f t="shared" si="154"/>
        <v>295.95724296920577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3.5</v>
      </c>
      <c r="FE149" s="13">
        <f>IF('Données projet'!$A$218&gt;35,FE148+FD149-FM148,IF(A149&lt;'Données projet'!$A$218,$FB$205^A149,IF(A149='Données projet'!$A$218,'Données projet'!$B$218,FE148+FD149-FM148)))</f>
        <v>320.99999999999977</v>
      </c>
      <c r="FF149" s="18">
        <f>FE149*VLOOKUP('Données projet'!$B$16,Paramètres!$A$1:$I$89,3,0)*VLOOKUP('Données projet'!$B$16,Paramètres!$A$1:$I$89,5,0)</f>
        <v>310.47119999999978</v>
      </c>
      <c r="FG149" s="14">
        <f t="shared" si="155"/>
        <v>73.367226785649649</v>
      </c>
      <c r="FH149" s="22">
        <f t="shared" si="130"/>
        <v>668.51859331833941</v>
      </c>
      <c r="FI149" s="62">
        <f t="shared" si="131"/>
        <v>961.85192665167278</v>
      </c>
      <c r="FJ149" s="62">
        <f ca="1">AVERAGE(OFFSET($FI$3,0,0,'Données projet'!$E$16+1,1))-AVERAGE(OFFSET($H$3,0,0,'Données projet'!$E$16+1,1))</f>
        <v>540.83352418045502</v>
      </c>
      <c r="FK149" s="62">
        <f t="shared" si="156"/>
        <v>294.45557293177131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1.1368683772161603E-13</v>
      </c>
      <c r="GA149" s="18">
        <f>FZ149*VLOOKUP('Données projet'!$B$17,Paramètres!$A$1:$I$89,3,0)*VLOOKUP('Données projet'!$B$17,Paramètres!$A$1:$I$89,5,0)</f>
        <v>8.8675733422860506E-14</v>
      </c>
      <c r="GB149" s="14">
        <f t="shared" si="157"/>
        <v>1.3509285393066301E-12</v>
      </c>
      <c r="GC149" s="22">
        <f t="shared" si="133"/>
        <v>2.5073107750038623E-12</v>
      </c>
      <c r="GD149" s="62">
        <f t="shared" si="134"/>
        <v>293.33333333333582</v>
      </c>
      <c r="GE149" s="62">
        <f ca="1">AVERAGE(OFFSET($GD$3,0,0,'Données projet'!$E$17+1,1))-AVERAGE(OFFSET($H$3,0,0,'Données projet'!$E$17+1,1))</f>
        <v>292.57482726862594</v>
      </c>
      <c r="GF149" s="62">
        <f t="shared" si="158"/>
        <v>283.48738729114024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3.979039320256561E-13</v>
      </c>
      <c r="GV149" s="18">
        <f>GU149*VLOOKUP('Données projet'!$B$18,Paramètres!$A$1:$I$89,3,0)*VLOOKUP('Données projet'!$B$18,Paramètres!$A$1:$I$89,5,0)</f>
        <v>2.669139576028101E-13</v>
      </c>
      <c r="GW149" s="14">
        <f t="shared" si="159"/>
        <v>3.5767923834585247E-12</v>
      </c>
      <c r="GX149" s="22">
        <f t="shared" si="136"/>
        <v>6.6944552106818241E-12</v>
      </c>
      <c r="GY149" s="62">
        <f t="shared" si="137"/>
        <v>293.33333333334002</v>
      </c>
      <c r="GZ149" s="62">
        <f ca="1">AVERAGE(OFFSET($GY$3,0,0,'Données projet'!$E$18+1,1))-AVERAGE(OFFSET($H$3,0,0,'Données projet'!$E$18+1,1))</f>
        <v>343.33067866534634</v>
      </c>
      <c r="HA149" s="62">
        <f t="shared" si="160"/>
        <v>261.91036689641402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324.49999999999977</v>
      </c>
      <c r="O150" s="14">
        <f>N150*VLOOKUP('Données projet'!$B$9,Paramètres!$A$1:$I$89,3,0)*VLOOKUP('Données projet'!$B$9,Paramètres!$A$1:$I$89,5,0)</f>
        <v>293.60759999999982</v>
      </c>
      <c r="P150" s="14">
        <f t="shared" si="141"/>
        <v>69.834695689453611</v>
      </c>
      <c r="Q150" s="22">
        <f t="shared" si="108"/>
        <v>632.99533165913135</v>
      </c>
      <c r="R150" s="62">
        <f t="shared" si="109"/>
        <v>926.32866499246461</v>
      </c>
      <c r="S150" s="62">
        <f ca="1">AVERAGE(OFFSET($R$3,0,0,'Données projet'!$E$9+1,1))-AVERAGE(OFFSET($H$3,0,0,'Données projet'!$E$9+1,1))</f>
        <v>508.77990078889337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3.5</v>
      </c>
      <c r="AI150" s="14">
        <f>IF('Données projet'!$A$62&gt;35,AI149+AH150-AQ149,IF(A150&lt;'Données projet'!$A$62,$AF$205^A150,IF(A150='Données projet'!$A$62,'Données projet'!$B$62,AI149+AH150-AQ149)))</f>
        <v>324.49999999999977</v>
      </c>
      <c r="AJ150" s="14">
        <f>AI150*VLOOKUP('Données projet'!$B$10,Paramètres!$A$1:$I$89,3,0)*VLOOKUP('Données projet'!$B$10,Paramètres!$A$1:$I$89,5,0)</f>
        <v>329.04299999999978</v>
      </c>
      <c r="AK150" s="14">
        <f t="shared" si="143"/>
        <v>77.23186313159043</v>
      </c>
      <c r="AL150" s="22">
        <f t="shared" si="112"/>
        <v>707.59538662085299</v>
      </c>
      <c r="AM150" s="62">
        <f t="shared" si="113"/>
        <v>1000.9287199541864</v>
      </c>
      <c r="AN150" s="62">
        <f ca="1">AVERAGE(OFFSET($AM$3,0,0,'Données projet'!$E$10+1,1))-AVERAGE(OFFSET($H$3,0,0,'Données projet'!$E$10+1,1))</f>
        <v>564.84596170333884</v>
      </c>
      <c r="AO150" s="62">
        <f t="shared" si="144"/>
        <v>306.61893266146666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-1.8089849618263545E-13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370.79299728190904</v>
      </c>
      <c r="BJ150" s="62">
        <f t="shared" si="146"/>
        <v>404.95703400805775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-1.8089849618263545E-13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370.79299728190904</v>
      </c>
      <c r="CE150" s="62">
        <f t="shared" si="148"/>
        <v>404.95703400805775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-1.7053025658242404E-13</v>
      </c>
      <c r="CU150" s="18">
        <f>CT150*VLOOKUP('Données projet'!$B$13,Paramètres!$A$1:$I$89,3,0)*VLOOKUP('Données projet'!$B$13,Paramètres!$A$1:$I$89,5,0)</f>
        <v>-1.4897523215040567E-13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339.58437495284466</v>
      </c>
      <c r="CZ150" s="62">
        <f t="shared" si="150"/>
        <v>371.26234252426531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-2.2737367544323206E-13</v>
      </c>
      <c r="DP150" s="18">
        <f>DO150*VLOOKUP('Données projet'!$B$14,Paramètres!$A$1:$I$89,3,0)*VLOOKUP('Données projet'!$B$14,Paramètres!$A$1:$I$89,5,0)</f>
        <v>-1.6671037883497774E-13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344.63665697794022</v>
      </c>
      <c r="DU150" s="62">
        <f t="shared" si="152"/>
        <v>376.72762011188041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5.4092197387944907E-14</v>
      </c>
      <c r="EL150" s="14">
        <f t="shared" si="153"/>
        <v>8.7287050538073676E-13</v>
      </c>
      <c r="EM150" s="22">
        <f t="shared" si="127"/>
        <v>1.6144600406554537E-12</v>
      </c>
      <c r="EN150" s="62">
        <f t="shared" si="128"/>
        <v>293.33333333333491</v>
      </c>
      <c r="EO150" s="62">
        <f ca="1">AVERAGE(OFFSET($EN$3,0,0,'Données projet'!$E$15+1,1))-AVERAGE(OFFSET($H$3,0,0,'Données projet'!$E$15+1,1))</f>
        <v>406.24139966722936</v>
      </c>
      <c r="EP150" s="62">
        <f t="shared" si="154"/>
        <v>295.95724296920577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3.5</v>
      </c>
      <c r="FE150" s="13">
        <f>IF('Données projet'!$A$218&gt;35,FE149+FD150-FM149,IF(A150&lt;'Données projet'!$A$218,$FB$205^A150,IF(A150='Données projet'!$A$218,'Données projet'!$B$218,FE149+FD150-FM149)))</f>
        <v>324.49999999999977</v>
      </c>
      <c r="FF150" s="18">
        <f>FE150*VLOOKUP('Données projet'!$B$16,Paramètres!$A$1:$I$89,3,0)*VLOOKUP('Données projet'!$B$16,Paramètres!$A$1:$I$89,5,0)</f>
        <v>313.85639999999978</v>
      </c>
      <c r="FG150" s="14">
        <f t="shared" si="155"/>
        <v>74.073619568253051</v>
      </c>
      <c r="FH150" s="22">
        <f t="shared" si="130"/>
        <v>675.6447840813737</v>
      </c>
      <c r="FI150" s="62">
        <f t="shared" si="131"/>
        <v>968.97811741470696</v>
      </c>
      <c r="FJ150" s="62">
        <f ca="1">AVERAGE(OFFSET($FI$3,0,0,'Données projet'!$E$16+1,1))-AVERAGE(OFFSET($H$3,0,0,'Données projet'!$E$16+1,1))</f>
        <v>540.83352418045502</v>
      </c>
      <c r="FK150" s="62">
        <f t="shared" si="156"/>
        <v>294.45557293177131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1.1368683772161603E-13</v>
      </c>
      <c r="GA150" s="18">
        <f>FZ150*VLOOKUP('Données projet'!$B$17,Paramètres!$A$1:$I$89,3,0)*VLOOKUP('Données projet'!$B$17,Paramètres!$A$1:$I$89,5,0)</f>
        <v>8.8675733422860506E-14</v>
      </c>
      <c r="GB150" s="14">
        <f t="shared" si="157"/>
        <v>1.3509285393066301E-12</v>
      </c>
      <c r="GC150" s="22">
        <f t="shared" si="133"/>
        <v>2.5073107750038623E-12</v>
      </c>
      <c r="GD150" s="62">
        <f t="shared" si="134"/>
        <v>293.33333333333582</v>
      </c>
      <c r="GE150" s="62">
        <f ca="1">AVERAGE(OFFSET($GD$3,0,0,'Données projet'!$E$17+1,1))-AVERAGE(OFFSET($H$3,0,0,'Données projet'!$E$17+1,1))</f>
        <v>292.57482726862594</v>
      </c>
      <c r="GF150" s="62">
        <f t="shared" si="158"/>
        <v>283.48738729114024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3.979039320256561E-13</v>
      </c>
      <c r="GV150" s="18">
        <f>GU150*VLOOKUP('Données projet'!$B$18,Paramètres!$A$1:$I$89,3,0)*VLOOKUP('Données projet'!$B$18,Paramètres!$A$1:$I$89,5,0)</f>
        <v>2.669139576028101E-13</v>
      </c>
      <c r="GW150" s="14">
        <f t="shared" si="159"/>
        <v>3.5767923834585247E-12</v>
      </c>
      <c r="GX150" s="22">
        <f t="shared" si="136"/>
        <v>6.6944552106818241E-12</v>
      </c>
      <c r="GY150" s="62">
        <f t="shared" si="137"/>
        <v>293.33333333334002</v>
      </c>
      <c r="GZ150" s="62">
        <f ca="1">AVERAGE(OFFSET($GY$3,0,0,'Données projet'!$E$18+1,1))-AVERAGE(OFFSET($H$3,0,0,'Données projet'!$E$18+1,1))</f>
        <v>343.33067866534634</v>
      </c>
      <c r="HA150" s="62">
        <f t="shared" si="160"/>
        <v>261.91036689641402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327.99999999999977</v>
      </c>
      <c r="O151" s="14">
        <f>N151*VLOOKUP('Données projet'!$B$9,Paramètres!$A$1:$I$89,3,0)*VLOOKUP('Données projet'!$B$9,Paramètres!$A$1:$I$89,5,0)</f>
        <v>296.77439999999979</v>
      </c>
      <c r="P151" s="14">
        <f t="shared" si="141"/>
        <v>70.499828966950673</v>
      </c>
      <c r="Q151" s="22">
        <f t="shared" si="108"/>
        <v>639.66928211743868</v>
      </c>
      <c r="R151" s="62">
        <f t="shared" si="109"/>
        <v>933.00261545077205</v>
      </c>
      <c r="S151" s="62">
        <f ca="1">AVERAGE(OFFSET($R$3,0,0,'Données projet'!$E$9+1,1))-AVERAGE(OFFSET($H$3,0,0,'Données projet'!$E$9+1,1))</f>
        <v>508.77990078889337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3.5</v>
      </c>
      <c r="AI151" s="14">
        <f>IF('Données projet'!$A$62&gt;35,AI150+AH151-AQ150,IF(A151&lt;'Données projet'!$A$62,$AF$205^A151,IF(A151='Données projet'!$A$62,'Données projet'!$B$62,AI150+AH151-AQ150)))</f>
        <v>327.99999999999977</v>
      </c>
      <c r="AJ151" s="14">
        <f>AI151*VLOOKUP('Données projet'!$B$10,Paramètres!$A$1:$I$89,3,0)*VLOOKUP('Données projet'!$B$10,Paramètres!$A$1:$I$89,5,0)</f>
        <v>332.59199999999976</v>
      </c>
      <c r="AK151" s="14">
        <f t="shared" si="143"/>
        <v>77.967449959094594</v>
      </c>
      <c r="AL151" s="22">
        <f t="shared" si="112"/>
        <v>715.05770867875606</v>
      </c>
      <c r="AM151" s="62">
        <f t="shared" si="113"/>
        <v>1008.3910420120894</v>
      </c>
      <c r="AN151" s="62">
        <f ca="1">AVERAGE(OFFSET($AM$3,0,0,'Données projet'!$E$10+1,1))-AVERAGE(OFFSET($H$3,0,0,'Données projet'!$E$10+1,1))</f>
        <v>564.84596170333884</v>
      </c>
      <c r="AO151" s="62">
        <f t="shared" si="144"/>
        <v>306.61893266146666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-1.8089849618263545E-13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370.79299728190904</v>
      </c>
      <c r="BJ151" s="62">
        <f t="shared" si="146"/>
        <v>404.95703400805775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-1.8089849618263545E-13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370.79299728190904</v>
      </c>
      <c r="CE151" s="62">
        <f t="shared" si="148"/>
        <v>404.95703400805775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-1.7053025658242404E-13</v>
      </c>
      <c r="CU151" s="18">
        <f>CT151*VLOOKUP('Données projet'!$B$13,Paramètres!$A$1:$I$89,3,0)*VLOOKUP('Données projet'!$B$13,Paramètres!$A$1:$I$89,5,0)</f>
        <v>-1.4897523215040567E-13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339.58437495284466</v>
      </c>
      <c r="CZ151" s="62">
        <f t="shared" si="150"/>
        <v>371.26234252426531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-2.2737367544323206E-13</v>
      </c>
      <c r="DP151" s="18">
        <f>DO151*VLOOKUP('Données projet'!$B$14,Paramètres!$A$1:$I$89,3,0)*VLOOKUP('Données projet'!$B$14,Paramètres!$A$1:$I$89,5,0)</f>
        <v>-1.6671037883497774E-13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344.63665697794022</v>
      </c>
      <c r="DU151" s="62">
        <f t="shared" si="152"/>
        <v>376.72762011188041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5.4092197387944907E-14</v>
      </c>
      <c r="EL151" s="14">
        <f t="shared" si="153"/>
        <v>8.7287050538073676E-13</v>
      </c>
      <c r="EM151" s="22">
        <f t="shared" si="127"/>
        <v>1.6144600406554537E-12</v>
      </c>
      <c r="EN151" s="62">
        <f t="shared" si="128"/>
        <v>293.33333333333491</v>
      </c>
      <c r="EO151" s="62">
        <f ca="1">AVERAGE(OFFSET($EN$3,0,0,'Données projet'!$E$15+1,1))-AVERAGE(OFFSET($H$3,0,0,'Données projet'!$E$15+1,1))</f>
        <v>406.24139966722936</v>
      </c>
      <c r="EP151" s="62">
        <f t="shared" si="154"/>
        <v>295.95724296920577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3.5</v>
      </c>
      <c r="FE151" s="13">
        <f>IF('Données projet'!$A$218&gt;35,FE150+FD151-FM150,IF(A151&lt;'Données projet'!$A$218,$FB$205^A151,IF(A151='Données projet'!$A$218,'Données projet'!$B$218,FE150+FD151-FM150)))</f>
        <v>327.99999999999977</v>
      </c>
      <c r="FF151" s="18">
        <f>FE151*VLOOKUP('Données projet'!$B$16,Paramètres!$A$1:$I$89,3,0)*VLOOKUP('Données projet'!$B$16,Paramètres!$A$1:$I$89,5,0)</f>
        <v>317.24159999999983</v>
      </c>
      <c r="FG151" s="14">
        <f t="shared" si="155"/>
        <v>74.779126034245181</v>
      </c>
      <c r="FH151" s="22">
        <f t="shared" si="130"/>
        <v>682.76943117630992</v>
      </c>
      <c r="FI151" s="62">
        <f t="shared" si="131"/>
        <v>976.10276450964329</v>
      </c>
      <c r="FJ151" s="62">
        <f ca="1">AVERAGE(OFFSET($FI$3,0,0,'Données projet'!$E$16+1,1))-AVERAGE(OFFSET($H$3,0,0,'Données projet'!$E$16+1,1))</f>
        <v>540.83352418045502</v>
      </c>
      <c r="FK151" s="62">
        <f t="shared" si="156"/>
        <v>294.45557293177131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1.1368683772161603E-13</v>
      </c>
      <c r="GA151" s="18">
        <f>FZ151*VLOOKUP('Données projet'!$B$17,Paramètres!$A$1:$I$89,3,0)*VLOOKUP('Données projet'!$B$17,Paramètres!$A$1:$I$89,5,0)</f>
        <v>8.8675733422860506E-14</v>
      </c>
      <c r="GB151" s="14">
        <f t="shared" si="157"/>
        <v>1.3509285393066301E-12</v>
      </c>
      <c r="GC151" s="22">
        <f t="shared" si="133"/>
        <v>2.5073107750038623E-12</v>
      </c>
      <c r="GD151" s="62">
        <f t="shared" si="134"/>
        <v>293.33333333333582</v>
      </c>
      <c r="GE151" s="62">
        <f ca="1">AVERAGE(OFFSET($GD$3,0,0,'Données projet'!$E$17+1,1))-AVERAGE(OFFSET($H$3,0,0,'Données projet'!$E$17+1,1))</f>
        <v>292.57482726862594</v>
      </c>
      <c r="GF151" s="62">
        <f t="shared" si="158"/>
        <v>283.48738729114024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3.979039320256561E-13</v>
      </c>
      <c r="GV151" s="18">
        <f>GU151*VLOOKUP('Données projet'!$B$18,Paramètres!$A$1:$I$89,3,0)*VLOOKUP('Données projet'!$B$18,Paramètres!$A$1:$I$89,5,0)</f>
        <v>2.669139576028101E-13</v>
      </c>
      <c r="GW151" s="14">
        <f t="shared" si="159"/>
        <v>3.5767923834585247E-12</v>
      </c>
      <c r="GX151" s="22">
        <f t="shared" si="136"/>
        <v>6.6944552106818241E-12</v>
      </c>
      <c r="GY151" s="62">
        <f t="shared" si="137"/>
        <v>293.33333333334002</v>
      </c>
      <c r="GZ151" s="62">
        <f ca="1">AVERAGE(OFFSET($GY$3,0,0,'Données projet'!$E$18+1,1))-AVERAGE(OFFSET($H$3,0,0,'Données projet'!$E$18+1,1))</f>
        <v>343.33067866534634</v>
      </c>
      <c r="HA151" s="62">
        <f t="shared" si="160"/>
        <v>261.91036689641402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331.49999999999977</v>
      </c>
      <c r="O152" s="14">
        <f>N152*VLOOKUP('Données projet'!$B$9,Paramètres!$A$1:$I$89,3,0)*VLOOKUP('Données projet'!$B$9,Paramètres!$A$1:$I$89,5,0)</f>
        <v>299.94119999999981</v>
      </c>
      <c r="P152" s="14">
        <f t="shared" si="141"/>
        <v>71.164136596531506</v>
      </c>
      <c r="Q152" s="22">
        <f t="shared" si="108"/>
        <v>646.34179457229197</v>
      </c>
      <c r="R152" s="62">
        <f t="shared" si="109"/>
        <v>939.67512790562523</v>
      </c>
      <c r="S152" s="62">
        <f ca="1">AVERAGE(OFFSET($R$3,0,0,'Données projet'!$E$9+1,1))-AVERAGE(OFFSET($H$3,0,0,'Données projet'!$E$9+1,1))</f>
        <v>508.77990078889337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3.5</v>
      </c>
      <c r="AI152" s="14">
        <f>IF('Données projet'!$A$62&gt;35,AI151+AH152-AQ151,IF(A152&lt;'Données projet'!$A$62,$AF$205^A152,IF(A152='Données projet'!$A$62,'Données projet'!$B$62,AI151+AH152-AQ151)))</f>
        <v>331.49999999999977</v>
      </c>
      <c r="AJ152" s="14">
        <f>AI152*VLOOKUP('Données projet'!$B$10,Paramètres!$A$1:$I$89,3,0)*VLOOKUP('Données projet'!$B$10,Paramètres!$A$1:$I$89,5,0)</f>
        <v>336.14099999999979</v>
      </c>
      <c r="AK152" s="14">
        <f t="shared" si="143"/>
        <v>78.70212368278645</v>
      </c>
      <c r="AL152" s="22">
        <f t="shared" si="112"/>
        <v>722.51844041418599</v>
      </c>
      <c r="AM152" s="62">
        <f t="shared" si="113"/>
        <v>1015.8517737475192</v>
      </c>
      <c r="AN152" s="62">
        <f ca="1">AVERAGE(OFFSET($AM$3,0,0,'Données projet'!$E$10+1,1))-AVERAGE(OFFSET($H$3,0,0,'Données projet'!$E$10+1,1))</f>
        <v>564.84596170333884</v>
      </c>
      <c r="AO152" s="62">
        <f t="shared" si="144"/>
        <v>306.61893266146666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-1.8089849618263545E-13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370.79299728190904</v>
      </c>
      <c r="BJ152" s="62">
        <f t="shared" si="146"/>
        <v>404.95703400805775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-1.8089849618263545E-13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370.79299728190904</v>
      </c>
      <c r="CE152" s="62">
        <f t="shared" si="148"/>
        <v>404.95703400805775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-1.7053025658242404E-13</v>
      </c>
      <c r="CU152" s="18">
        <f>CT152*VLOOKUP('Données projet'!$B$13,Paramètres!$A$1:$I$89,3,0)*VLOOKUP('Données projet'!$B$13,Paramètres!$A$1:$I$89,5,0)</f>
        <v>-1.4897523215040567E-13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339.58437495284466</v>
      </c>
      <c r="CZ152" s="62">
        <f t="shared" si="150"/>
        <v>371.26234252426531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-2.2737367544323206E-13</v>
      </c>
      <c r="DP152" s="18">
        <f>DO152*VLOOKUP('Données projet'!$B$14,Paramètres!$A$1:$I$89,3,0)*VLOOKUP('Données projet'!$B$14,Paramètres!$A$1:$I$89,5,0)</f>
        <v>-1.6671037883497774E-13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344.63665697794022</v>
      </c>
      <c r="DU152" s="62">
        <f t="shared" si="152"/>
        <v>376.72762011188041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5.4092197387944907E-14</v>
      </c>
      <c r="EL152" s="14">
        <f t="shared" si="153"/>
        <v>8.7287050538073676E-13</v>
      </c>
      <c r="EM152" s="22">
        <f t="shared" si="127"/>
        <v>1.6144600406554537E-12</v>
      </c>
      <c r="EN152" s="62">
        <f t="shared" si="128"/>
        <v>293.33333333333491</v>
      </c>
      <c r="EO152" s="62">
        <f ca="1">AVERAGE(OFFSET($EN$3,0,0,'Données projet'!$E$15+1,1))-AVERAGE(OFFSET($H$3,0,0,'Données projet'!$E$15+1,1))</f>
        <v>406.24139966722936</v>
      </c>
      <c r="EP152" s="62">
        <f t="shared" si="154"/>
        <v>295.95724296920577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3.5</v>
      </c>
      <c r="FE152" s="13">
        <f>IF('Données projet'!$A$218&gt;35,FE151+FD152-FM151,IF(A152&lt;'Données projet'!$A$218,$FB$205^A152,IF(A152='Données projet'!$A$218,'Données projet'!$B$218,FE151+FD152-FM151)))</f>
        <v>331.49999999999977</v>
      </c>
      <c r="FF152" s="18">
        <f>FE152*VLOOKUP('Données projet'!$B$16,Paramètres!$A$1:$I$89,3,0)*VLOOKUP('Données projet'!$B$16,Paramètres!$A$1:$I$89,5,0)</f>
        <v>320.62679999999978</v>
      </c>
      <c r="FG152" s="14">
        <f t="shared" si="155"/>
        <v>75.483756735990838</v>
      </c>
      <c r="FH152" s="22">
        <f t="shared" si="130"/>
        <v>689.89255298185026</v>
      </c>
      <c r="FI152" s="62">
        <f t="shared" si="131"/>
        <v>983.22588631518352</v>
      </c>
      <c r="FJ152" s="62">
        <f ca="1">AVERAGE(OFFSET($FI$3,0,0,'Données projet'!$E$16+1,1))-AVERAGE(OFFSET($H$3,0,0,'Données projet'!$E$16+1,1))</f>
        <v>540.83352418045502</v>
      </c>
      <c r="FK152" s="62">
        <f t="shared" si="156"/>
        <v>294.45557293177131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1.1368683772161603E-13</v>
      </c>
      <c r="GA152" s="18">
        <f>FZ152*VLOOKUP('Données projet'!$B$17,Paramètres!$A$1:$I$89,3,0)*VLOOKUP('Données projet'!$B$17,Paramètres!$A$1:$I$89,5,0)</f>
        <v>8.8675733422860506E-14</v>
      </c>
      <c r="GB152" s="14">
        <f t="shared" si="157"/>
        <v>1.3509285393066301E-12</v>
      </c>
      <c r="GC152" s="22">
        <f t="shared" si="133"/>
        <v>2.5073107750038623E-12</v>
      </c>
      <c r="GD152" s="62">
        <f t="shared" si="134"/>
        <v>293.33333333333582</v>
      </c>
      <c r="GE152" s="62">
        <f ca="1">AVERAGE(OFFSET($GD$3,0,0,'Données projet'!$E$17+1,1))-AVERAGE(OFFSET($H$3,0,0,'Données projet'!$E$17+1,1))</f>
        <v>292.57482726862594</v>
      </c>
      <c r="GF152" s="62">
        <f t="shared" si="158"/>
        <v>283.48738729114024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3.979039320256561E-13</v>
      </c>
      <c r="GV152" s="18">
        <f>GU152*VLOOKUP('Données projet'!$B$18,Paramètres!$A$1:$I$89,3,0)*VLOOKUP('Données projet'!$B$18,Paramètres!$A$1:$I$89,5,0)</f>
        <v>2.669139576028101E-13</v>
      </c>
      <c r="GW152" s="14">
        <f t="shared" si="159"/>
        <v>3.5767923834585247E-12</v>
      </c>
      <c r="GX152" s="22">
        <f t="shared" si="136"/>
        <v>6.6944552106818241E-12</v>
      </c>
      <c r="GY152" s="62">
        <f t="shared" si="137"/>
        <v>293.33333333334002</v>
      </c>
      <c r="GZ152" s="62">
        <f ca="1">AVERAGE(OFFSET($GY$3,0,0,'Données projet'!$E$18+1,1))-AVERAGE(OFFSET($H$3,0,0,'Données projet'!$E$18+1,1))</f>
        <v>343.33067866534634</v>
      </c>
      <c r="HA152" s="62">
        <f t="shared" si="160"/>
        <v>261.91036689641402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335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334.99999999999977</v>
      </c>
      <c r="O153" s="14">
        <f>N153*VLOOKUP('Données projet'!$B$9,Paramètres!$A$1:$I$89,3,0)*VLOOKUP('Données projet'!$B$9,Paramètres!$A$1:$I$89,5,0)</f>
        <v>303.10799999999978</v>
      </c>
      <c r="P153" s="14">
        <f t="shared" si="141"/>
        <v>71.827628304517233</v>
      </c>
      <c r="Q153" s="22">
        <f t="shared" si="108"/>
        <v>653.01288596370046</v>
      </c>
      <c r="R153" s="62">
        <f t="shared" si="109"/>
        <v>946.34621929703371</v>
      </c>
      <c r="S153" s="62">
        <f ca="1">AVERAGE(OFFSET($R$3,0,0,'Données projet'!$E$9+1,1))-AVERAGE(OFFSET($H$3,0,0,'Données projet'!$E$9+1,1))</f>
        <v>508.77990078889337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37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335</v>
      </c>
      <c r="AG153" s="13">
        <f>VLOOKUP(A153,'Données projet'!$A$61:$I$81,9,0)</f>
        <v>3.5</v>
      </c>
      <c r="AH153" s="13">
        <f t="array" ref="AH153">INDEX(AG:AG,MIN(IF(ISNUMBER(AG153:AG349),ROW(AG153:AG349),"")))</f>
        <v>3.5</v>
      </c>
      <c r="AI153" s="14">
        <f>IF('Données projet'!$A$62&gt;35,AI152+AH153-AQ152,IF(A153&lt;'Données projet'!$A$62,$AF$205^A153,IF(A153='Données projet'!$A$62,'Données projet'!$B$62,AI152+AH153-AQ152)))</f>
        <v>334.99999999999977</v>
      </c>
      <c r="AJ153" s="14">
        <f>AI153*VLOOKUP('Données projet'!$B$10,Paramètres!$A$1:$I$89,3,0)*VLOOKUP('Données projet'!$B$10,Paramètres!$A$1:$I$89,5,0)</f>
        <v>339.68999999999977</v>
      </c>
      <c r="AK153" s="14">
        <f t="shared" si="143"/>
        <v>79.435895059237538</v>
      </c>
      <c r="AL153" s="22">
        <f t="shared" si="112"/>
        <v>729.97760056150503</v>
      </c>
      <c r="AM153" s="62">
        <f t="shared" si="113"/>
        <v>1023.3109338948384</v>
      </c>
      <c r="AN153" s="62">
        <f ca="1">AVERAGE(OFFSET($AM$3,0,0,'Données projet'!$E$10+1,1))-AVERAGE(OFFSET($H$3,0,0,'Données projet'!$E$10+1,1))</f>
        <v>564.84596170333884</v>
      </c>
      <c r="AO153" s="62">
        <f t="shared" si="144"/>
        <v>306.61893266146666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37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-1.8089849618263545E-13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370.79299728190904</v>
      </c>
      <c r="BJ153" s="62">
        <f t="shared" si="146"/>
        <v>404.95703400805775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-1.8089849618263545E-13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370.79299728190904</v>
      </c>
      <c r="CE153" s="62">
        <f t="shared" si="148"/>
        <v>404.95703400805775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-1.7053025658242404E-13</v>
      </c>
      <c r="CU153" s="18">
        <f>CT153*VLOOKUP('Données projet'!$B$13,Paramètres!$A$1:$I$89,3,0)*VLOOKUP('Données projet'!$B$13,Paramètres!$A$1:$I$89,5,0)</f>
        <v>-1.4897523215040567E-13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339.58437495284466</v>
      </c>
      <c r="CZ153" s="62">
        <f t="shared" si="150"/>
        <v>371.26234252426531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-2.2737367544323206E-13</v>
      </c>
      <c r="DP153" s="18">
        <f>DO153*VLOOKUP('Données projet'!$B$14,Paramètres!$A$1:$I$89,3,0)*VLOOKUP('Données projet'!$B$14,Paramètres!$A$1:$I$89,5,0)</f>
        <v>-1.6671037883497774E-13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344.63665697794022</v>
      </c>
      <c r="DU153" s="62">
        <f t="shared" si="152"/>
        <v>376.72762011188041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5.4092197387944907E-14</v>
      </c>
      <c r="EL153" s="14">
        <f t="shared" si="153"/>
        <v>8.7287050538073676E-13</v>
      </c>
      <c r="EM153" s="22">
        <f t="shared" si="127"/>
        <v>1.6144600406554537E-12</v>
      </c>
      <c r="EN153" s="62">
        <f t="shared" si="128"/>
        <v>293.33333333333491</v>
      </c>
      <c r="EO153" s="62">
        <f ca="1">AVERAGE(OFFSET($EN$3,0,0,'Données projet'!$E$15+1,1))-AVERAGE(OFFSET($H$3,0,0,'Données projet'!$E$15+1,1))</f>
        <v>406.24139966722936</v>
      </c>
      <c r="EP153" s="62">
        <f t="shared" si="154"/>
        <v>295.95724296920577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335</v>
      </c>
      <c r="FC153" s="13">
        <f>VLOOKUP(A153,'Données projet'!$A$217:$I$237,9,0)</f>
        <v>3.5</v>
      </c>
      <c r="FD153" s="13">
        <f t="array" ref="FD153">INDEX(FC:FC,MIN(IF(ISNUMBER(FC153:FC349),ROW(FC153:FC349),"")))</f>
        <v>3.5</v>
      </c>
      <c r="FE153" s="13">
        <f>IF('Données projet'!$A$218&gt;35,FE152+FD153-FM152,IF(A153&lt;'Données projet'!$A$218,$FB$205^A153,IF(A153='Données projet'!$A$218,'Données projet'!$B$218,FE152+FD153-FM152)))</f>
        <v>334.99999999999977</v>
      </c>
      <c r="FF153" s="18">
        <f>FE153*VLOOKUP('Données projet'!$B$16,Paramètres!$A$1:$I$89,3,0)*VLOOKUP('Données projet'!$B$16,Paramètres!$A$1:$I$89,5,0)</f>
        <v>324.01199999999977</v>
      </c>
      <c r="FG153" s="14">
        <f t="shared" si="155"/>
        <v>76.187521990193005</v>
      </c>
      <c r="FH153" s="22">
        <f t="shared" si="130"/>
        <v>697.01416746625239</v>
      </c>
      <c r="FI153" s="62">
        <f t="shared" si="131"/>
        <v>990.34750079958576</v>
      </c>
      <c r="FJ153" s="62">
        <f ca="1">AVERAGE(OFFSET($FI$3,0,0,'Données projet'!$E$16+1,1))-AVERAGE(OFFSET($H$3,0,0,'Données projet'!$E$16+1,1))</f>
        <v>540.83352418045502</v>
      </c>
      <c r="FK153" s="62">
        <f t="shared" si="156"/>
        <v>294.45557293177131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37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1.1368683772161603E-13</v>
      </c>
      <c r="GA153" s="18">
        <f>FZ153*VLOOKUP('Données projet'!$B$17,Paramètres!$A$1:$I$89,3,0)*VLOOKUP('Données projet'!$B$17,Paramètres!$A$1:$I$89,5,0)</f>
        <v>8.8675733422860506E-14</v>
      </c>
      <c r="GB153" s="14">
        <f t="shared" si="157"/>
        <v>1.3509285393066301E-12</v>
      </c>
      <c r="GC153" s="22">
        <f t="shared" si="133"/>
        <v>2.5073107750038623E-12</v>
      </c>
      <c r="GD153" s="62">
        <f t="shared" si="134"/>
        <v>293.33333333333582</v>
      </c>
      <c r="GE153" s="62">
        <f ca="1">AVERAGE(OFFSET($GD$3,0,0,'Données projet'!$E$17+1,1))-AVERAGE(OFFSET($H$3,0,0,'Données projet'!$E$17+1,1))</f>
        <v>292.57482726862594</v>
      </c>
      <c r="GF153" s="62">
        <f t="shared" si="158"/>
        <v>283.48738729114024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3.979039320256561E-13</v>
      </c>
      <c r="GV153" s="18">
        <f>GU153*VLOOKUP('Données projet'!$B$18,Paramètres!$A$1:$I$89,3,0)*VLOOKUP('Données projet'!$B$18,Paramètres!$A$1:$I$89,5,0)</f>
        <v>2.669139576028101E-13</v>
      </c>
      <c r="GW153" s="14">
        <f t="shared" si="159"/>
        <v>3.5767923834585247E-12</v>
      </c>
      <c r="GX153" s="22">
        <f t="shared" si="136"/>
        <v>6.6944552106818241E-12</v>
      </c>
      <c r="GY153" s="62">
        <f t="shared" si="137"/>
        <v>293.33333333334002</v>
      </c>
      <c r="GZ153" s="62">
        <f ca="1">AVERAGE(OFFSET($GY$3,0,0,'Données projet'!$E$18+1,1))-AVERAGE(OFFSET($H$3,0,0,'Données projet'!$E$18+1,1))</f>
        <v>343.33067866534634</v>
      </c>
      <c r="HA153" s="62">
        <f t="shared" si="160"/>
        <v>261.91036689641402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297.99999999999977</v>
      </c>
      <c r="O154" s="14">
        <f>N154*VLOOKUP('Données projet'!$B$9,Paramètres!$A$1:$I$89,3,0)*VLOOKUP('Données projet'!$B$9,Paramètres!$A$1:$I$89,5,0)</f>
        <v>269.63039999999978</v>
      </c>
      <c r="P154" s="14">
        <f t="shared" si="141"/>
        <v>64.770824587436081</v>
      </c>
      <c r="Q154" s="22">
        <f t="shared" ref="Q154:Q203" si="162">(O154+P154)*0.475*44/12</f>
        <v>582.41546615645075</v>
      </c>
      <c r="R154" s="62">
        <f t="shared" si="109"/>
        <v>875.74879948978401</v>
      </c>
      <c r="S154" s="62">
        <f ca="1">AVERAGE(OFFSET($R$3,0,0,'Données projet'!$E$9+1,1))-AVERAGE(OFFSET($H$3,0,0,'Données projet'!$E$9+1,1))</f>
        <v>508.77990078889337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297.99999999999977</v>
      </c>
      <c r="AJ154" s="14">
        <f>AI154*VLOOKUP('Données projet'!$B$10,Paramètres!$A$1:$I$89,3,0)*VLOOKUP('Données projet'!$B$10,Paramètres!$A$1:$I$89,5,0)</f>
        <v>302.1719999999998</v>
      </c>
      <c r="AK154" s="14">
        <f t="shared" ref="AK154:AK203" si="164">EXP(-1.0587+0.8836*LN(AJ154)+0.284)</f>
        <v>71.631606754643158</v>
      </c>
      <c r="AL154" s="22">
        <f t="shared" ref="AL154:AL203" si="165">(AJ154+AK154)*0.475*44/12</f>
        <v>651.04128176433642</v>
      </c>
      <c r="AM154" s="62">
        <f t="shared" si="113"/>
        <v>944.37461509766968</v>
      </c>
      <c r="AN154" s="62">
        <f ca="1">AVERAGE(OFFSET($AM$3,0,0,'Données projet'!$E$10+1,1))-AVERAGE(OFFSET($H$3,0,0,'Données projet'!$E$10+1,1))</f>
        <v>564.84596170333884</v>
      </c>
      <c r="AO154" s="62">
        <f t="shared" si="144"/>
        <v>306.61893266146666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-1.8089849618263545E-13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370.79299728190904</v>
      </c>
      <c r="BJ154" s="62">
        <f t="shared" si="146"/>
        <v>404.95703400805775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-1.8089849618263545E-13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370.79299728190904</v>
      </c>
      <c r="CE154" s="62">
        <f t="shared" si="148"/>
        <v>404.95703400805775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-1.7053025658242404E-13</v>
      </c>
      <c r="CU154" s="18">
        <f>CT154*VLOOKUP('Données projet'!$B$13,Paramètres!$A$1:$I$89,3,0)*VLOOKUP('Données projet'!$B$13,Paramètres!$A$1:$I$89,5,0)</f>
        <v>-1.4897523215040567E-13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339.58437495284466</v>
      </c>
      <c r="CZ154" s="62">
        <f t="shared" si="150"/>
        <v>371.26234252426531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-2.2737367544323206E-13</v>
      </c>
      <c r="DP154" s="18">
        <f>DO154*VLOOKUP('Données projet'!$B$14,Paramètres!$A$1:$I$89,3,0)*VLOOKUP('Données projet'!$B$14,Paramètres!$A$1:$I$89,5,0)</f>
        <v>-1.6671037883497774E-13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344.63665697794022</v>
      </c>
      <c r="DU154" s="62">
        <f t="shared" si="152"/>
        <v>376.72762011188041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5.4092197387944907E-14</v>
      </c>
      <c r="EL154" s="14">
        <f t="shared" ref="EL154:EL203" si="179">EXP(-1.0587+0.8836*LN(EK154)+0.284)</f>
        <v>8.7287050538073676E-13</v>
      </c>
      <c r="EM154" s="22">
        <f t="shared" ref="EM154:EM203" si="180">(EK154+EL154)*0.475*44/12</f>
        <v>1.6144600406554537E-12</v>
      </c>
      <c r="EN154" s="62">
        <f t="shared" si="128"/>
        <v>293.33333333333491</v>
      </c>
      <c r="EO154" s="62">
        <f ca="1">AVERAGE(OFFSET($EN$3,0,0,'Données projet'!$E$15+1,1))-AVERAGE(OFFSET($H$3,0,0,'Données projet'!$E$15+1,1))</f>
        <v>406.24139966722936</v>
      </c>
      <c r="EP154" s="62">
        <f t="shared" si="154"/>
        <v>295.95724296920577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297.99999999999977</v>
      </c>
      <c r="FF154" s="18">
        <f>FE154*VLOOKUP('Données projet'!$B$16,Paramètres!$A$1:$I$89,3,0)*VLOOKUP('Données projet'!$B$16,Paramètres!$A$1:$I$89,5,0)</f>
        <v>288.22559999999976</v>
      </c>
      <c r="FG154" s="14">
        <f t="shared" ref="FG154:FG203" si="182">EXP(-1.0587+0.8836*LN(FF154)+0.284)</f>
        <v>68.702374546701833</v>
      </c>
      <c r="FH154" s="22">
        <f t="shared" ref="FH154:FH203" si="183">(FF154+FG154)*0.475*44/12</f>
        <v>621.64955566883862</v>
      </c>
      <c r="FI154" s="62">
        <f t="shared" si="131"/>
        <v>914.98288900217199</v>
      </c>
      <c r="FJ154" s="62">
        <f ca="1">AVERAGE(OFFSET($FI$3,0,0,'Données projet'!$E$16+1,1))-AVERAGE(OFFSET($H$3,0,0,'Données projet'!$E$16+1,1))</f>
        <v>540.83352418045502</v>
      </c>
      <c r="FK154" s="62">
        <f t="shared" si="156"/>
        <v>294.45557293177131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1.1368683772161603E-13</v>
      </c>
      <c r="GA154" s="18">
        <f>FZ154*VLOOKUP('Données projet'!$B$17,Paramètres!$A$1:$I$89,3,0)*VLOOKUP('Données projet'!$B$17,Paramètres!$A$1:$I$89,5,0)</f>
        <v>8.8675733422860506E-14</v>
      </c>
      <c r="GB154" s="14">
        <f t="shared" ref="GB154:GB203" si="185">EXP(-1.0587+0.8836*LN(GA154)+0.284)</f>
        <v>1.3509285393066301E-12</v>
      </c>
      <c r="GC154" s="22">
        <f t="shared" ref="GC154:GC203" si="186">(GA154+GB154)*0.475*44/12</f>
        <v>2.5073107750038623E-12</v>
      </c>
      <c r="GD154" s="62">
        <f t="shared" si="134"/>
        <v>293.33333333333582</v>
      </c>
      <c r="GE154" s="62">
        <f ca="1">AVERAGE(OFFSET($GD$3,0,0,'Données projet'!$E$17+1,1))-AVERAGE(OFFSET($H$3,0,0,'Données projet'!$E$17+1,1))</f>
        <v>292.57482726862594</v>
      </c>
      <c r="GF154" s="62">
        <f t="shared" si="158"/>
        <v>283.48738729114024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3.979039320256561E-13</v>
      </c>
      <c r="GV154" s="18">
        <f>GU154*VLOOKUP('Données projet'!$B$18,Paramètres!$A$1:$I$89,3,0)*VLOOKUP('Données projet'!$B$18,Paramètres!$A$1:$I$89,5,0)</f>
        <v>2.669139576028101E-13</v>
      </c>
      <c r="GW154" s="14">
        <f t="shared" ref="GW154:GW203" si="188">EXP(-1.0587+0.8836*LN(GV154)+0.284)</f>
        <v>3.5767923834585247E-12</v>
      </c>
      <c r="GX154" s="22">
        <f t="shared" ref="GX154:GX203" si="189">(GV154+GW154)*0.475*44/12</f>
        <v>6.6944552106818241E-12</v>
      </c>
      <c r="GY154" s="62">
        <f t="shared" si="137"/>
        <v>293.33333333334002</v>
      </c>
      <c r="GZ154" s="62">
        <f ca="1">AVERAGE(OFFSET($GY$3,0,0,'Données projet'!$E$18+1,1))-AVERAGE(OFFSET($H$3,0,0,'Données projet'!$E$18+1,1))</f>
        <v>343.33067866534634</v>
      </c>
      <c r="HA154" s="62">
        <f t="shared" si="160"/>
        <v>261.91036689641402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297.99999999999977</v>
      </c>
      <c r="O155" s="14">
        <f>N155*VLOOKUP('Données projet'!$B$9,Paramètres!$A$1:$I$89,3,0)*VLOOKUP('Données projet'!$B$9,Paramètres!$A$1:$I$89,5,0)</f>
        <v>269.63039999999978</v>
      </c>
      <c r="P155" s="14">
        <f t="shared" si="141"/>
        <v>64.770824587436081</v>
      </c>
      <c r="Q155" s="22">
        <f t="shared" si="162"/>
        <v>582.41546615645075</v>
      </c>
      <c r="R155" s="62">
        <f t="shared" si="109"/>
        <v>875.74879948978401</v>
      </c>
      <c r="S155" s="62">
        <f ca="1">AVERAGE(OFFSET($R$3,0,0,'Données projet'!$E$9+1,1))-AVERAGE(OFFSET($H$3,0,0,'Données projet'!$E$9+1,1))</f>
        <v>508.77990078889337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297.99999999999977</v>
      </c>
      <c r="AJ155" s="14">
        <f>AI155*VLOOKUP('Données projet'!$B$10,Paramètres!$A$1:$I$89,3,0)*VLOOKUP('Données projet'!$B$10,Paramètres!$A$1:$I$89,5,0)</f>
        <v>302.1719999999998</v>
      </c>
      <c r="AK155" s="14">
        <f t="shared" si="164"/>
        <v>71.631606754643158</v>
      </c>
      <c r="AL155" s="22">
        <f t="shared" si="165"/>
        <v>651.04128176433642</v>
      </c>
      <c r="AM155" s="62">
        <f t="shared" si="113"/>
        <v>944.37461509766968</v>
      </c>
      <c r="AN155" s="62">
        <f ca="1">AVERAGE(OFFSET($AM$3,0,0,'Données projet'!$E$10+1,1))-AVERAGE(OFFSET($H$3,0,0,'Données projet'!$E$10+1,1))</f>
        <v>564.84596170333884</v>
      </c>
      <c r="AO155" s="62">
        <f t="shared" si="144"/>
        <v>306.61893266146666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-1.8089849618263545E-13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370.79299728190904</v>
      </c>
      <c r="BJ155" s="62">
        <f t="shared" si="146"/>
        <v>404.95703400805775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-1.8089849618263545E-13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370.79299728190904</v>
      </c>
      <c r="CE155" s="62">
        <f t="shared" si="148"/>
        <v>404.95703400805775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-1.7053025658242404E-13</v>
      </c>
      <c r="CU155" s="18">
        <f>CT155*VLOOKUP('Données projet'!$B$13,Paramètres!$A$1:$I$89,3,0)*VLOOKUP('Données projet'!$B$13,Paramètres!$A$1:$I$89,5,0)</f>
        <v>-1.4897523215040567E-13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339.58437495284466</v>
      </c>
      <c r="CZ155" s="62">
        <f t="shared" si="150"/>
        <v>371.26234252426531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-2.2737367544323206E-13</v>
      </c>
      <c r="DP155" s="18">
        <f>DO155*VLOOKUP('Données projet'!$B$14,Paramètres!$A$1:$I$89,3,0)*VLOOKUP('Données projet'!$B$14,Paramètres!$A$1:$I$89,5,0)</f>
        <v>-1.6671037883497774E-13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344.63665697794022</v>
      </c>
      <c r="DU155" s="62">
        <f t="shared" si="152"/>
        <v>376.72762011188041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5.4092197387944907E-14</v>
      </c>
      <c r="EL155" s="14">
        <f t="shared" si="179"/>
        <v>8.7287050538073676E-13</v>
      </c>
      <c r="EM155" s="22">
        <f t="shared" si="180"/>
        <v>1.6144600406554537E-12</v>
      </c>
      <c r="EN155" s="62">
        <f t="shared" si="128"/>
        <v>293.33333333333491</v>
      </c>
      <c r="EO155" s="62">
        <f ca="1">AVERAGE(OFFSET($EN$3,0,0,'Données projet'!$E$15+1,1))-AVERAGE(OFFSET($H$3,0,0,'Données projet'!$E$15+1,1))</f>
        <v>406.24139966722936</v>
      </c>
      <c r="EP155" s="62">
        <f t="shared" si="154"/>
        <v>295.95724296920577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297.99999999999977</v>
      </c>
      <c r="FF155" s="18">
        <f>FE155*VLOOKUP('Données projet'!$B$16,Paramètres!$A$1:$I$89,3,0)*VLOOKUP('Données projet'!$B$16,Paramètres!$A$1:$I$89,5,0)</f>
        <v>288.22559999999976</v>
      </c>
      <c r="FG155" s="14">
        <f t="shared" si="182"/>
        <v>68.702374546701833</v>
      </c>
      <c r="FH155" s="22">
        <f t="shared" si="183"/>
        <v>621.64955566883862</v>
      </c>
      <c r="FI155" s="62">
        <f t="shared" si="131"/>
        <v>914.98288900217199</v>
      </c>
      <c r="FJ155" s="62">
        <f ca="1">AVERAGE(OFFSET($FI$3,0,0,'Données projet'!$E$16+1,1))-AVERAGE(OFFSET($H$3,0,0,'Données projet'!$E$16+1,1))</f>
        <v>540.83352418045502</v>
      </c>
      <c r="FK155" s="62">
        <f t="shared" si="156"/>
        <v>294.45557293177131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1.1368683772161603E-13</v>
      </c>
      <c r="GA155" s="18">
        <f>FZ155*VLOOKUP('Données projet'!$B$17,Paramètres!$A$1:$I$89,3,0)*VLOOKUP('Données projet'!$B$17,Paramètres!$A$1:$I$89,5,0)</f>
        <v>8.8675733422860506E-14</v>
      </c>
      <c r="GB155" s="14">
        <f t="shared" si="185"/>
        <v>1.3509285393066301E-12</v>
      </c>
      <c r="GC155" s="22">
        <f t="shared" si="186"/>
        <v>2.5073107750038623E-12</v>
      </c>
      <c r="GD155" s="62">
        <f t="shared" si="134"/>
        <v>293.33333333333582</v>
      </c>
      <c r="GE155" s="62">
        <f ca="1">AVERAGE(OFFSET($GD$3,0,0,'Données projet'!$E$17+1,1))-AVERAGE(OFFSET($H$3,0,0,'Données projet'!$E$17+1,1))</f>
        <v>292.57482726862594</v>
      </c>
      <c r="GF155" s="62">
        <f t="shared" si="158"/>
        <v>283.48738729114024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3.979039320256561E-13</v>
      </c>
      <c r="GV155" s="18">
        <f>GU155*VLOOKUP('Données projet'!$B$18,Paramètres!$A$1:$I$89,3,0)*VLOOKUP('Données projet'!$B$18,Paramètres!$A$1:$I$89,5,0)</f>
        <v>2.669139576028101E-13</v>
      </c>
      <c r="GW155" s="14">
        <f t="shared" si="188"/>
        <v>3.5767923834585247E-12</v>
      </c>
      <c r="GX155" s="22">
        <f t="shared" si="189"/>
        <v>6.6944552106818241E-12</v>
      </c>
      <c r="GY155" s="62">
        <f t="shared" si="137"/>
        <v>293.33333333334002</v>
      </c>
      <c r="GZ155" s="62">
        <f ca="1">AVERAGE(OFFSET($GY$3,0,0,'Données projet'!$E$18+1,1))-AVERAGE(OFFSET($H$3,0,0,'Données projet'!$E$18+1,1))</f>
        <v>343.33067866534634</v>
      </c>
      <c r="HA155" s="62">
        <f t="shared" si="160"/>
        <v>261.91036689641402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297.99999999999977</v>
      </c>
      <c r="O156" s="14">
        <f>N156*VLOOKUP('Données projet'!$B$9,Paramètres!$A$1:$I$89,3,0)*VLOOKUP('Données projet'!$B$9,Paramètres!$A$1:$I$89,5,0)</f>
        <v>269.63039999999978</v>
      </c>
      <c r="P156" s="14">
        <f t="shared" si="141"/>
        <v>64.770824587436081</v>
      </c>
      <c r="Q156" s="22">
        <f t="shared" si="162"/>
        <v>582.41546615645075</v>
      </c>
      <c r="R156" s="62">
        <f t="shared" si="109"/>
        <v>875.74879948978401</v>
      </c>
      <c r="S156" s="62">
        <f ca="1">AVERAGE(OFFSET($R$3,0,0,'Données projet'!$E$9+1,1))-AVERAGE(OFFSET($H$3,0,0,'Données projet'!$E$9+1,1))</f>
        <v>508.77990078889337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297.99999999999977</v>
      </c>
      <c r="AJ156" s="14">
        <f>AI156*VLOOKUP('Données projet'!$B$10,Paramètres!$A$1:$I$89,3,0)*VLOOKUP('Données projet'!$B$10,Paramètres!$A$1:$I$89,5,0)</f>
        <v>302.1719999999998</v>
      </c>
      <c r="AK156" s="14">
        <f t="shared" si="164"/>
        <v>71.631606754643158</v>
      </c>
      <c r="AL156" s="22">
        <f t="shared" si="165"/>
        <v>651.04128176433642</v>
      </c>
      <c r="AM156" s="62">
        <f t="shared" si="113"/>
        <v>944.37461509766968</v>
      </c>
      <c r="AN156" s="62">
        <f ca="1">AVERAGE(OFFSET($AM$3,0,0,'Données projet'!$E$10+1,1))-AVERAGE(OFFSET($H$3,0,0,'Données projet'!$E$10+1,1))</f>
        <v>564.84596170333884</v>
      </c>
      <c r="AO156" s="62">
        <f t="shared" si="144"/>
        <v>306.61893266146666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-1.8089849618263545E-13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370.79299728190904</v>
      </c>
      <c r="BJ156" s="62">
        <f t="shared" si="146"/>
        <v>404.95703400805775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-1.8089849618263545E-13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370.79299728190904</v>
      </c>
      <c r="CE156" s="62">
        <f t="shared" si="148"/>
        <v>404.95703400805775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-1.7053025658242404E-13</v>
      </c>
      <c r="CU156" s="18">
        <f>CT156*VLOOKUP('Données projet'!$B$13,Paramètres!$A$1:$I$89,3,0)*VLOOKUP('Données projet'!$B$13,Paramètres!$A$1:$I$89,5,0)</f>
        <v>-1.4897523215040567E-13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339.58437495284466</v>
      </c>
      <c r="CZ156" s="62">
        <f t="shared" si="150"/>
        <v>371.26234252426531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-2.2737367544323206E-13</v>
      </c>
      <c r="DP156" s="18">
        <f>DO156*VLOOKUP('Données projet'!$B$14,Paramètres!$A$1:$I$89,3,0)*VLOOKUP('Données projet'!$B$14,Paramètres!$A$1:$I$89,5,0)</f>
        <v>-1.6671037883497774E-13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344.63665697794022</v>
      </c>
      <c r="DU156" s="62">
        <f t="shared" si="152"/>
        <v>376.72762011188041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5.4092197387944907E-14</v>
      </c>
      <c r="EL156" s="14">
        <f t="shared" si="179"/>
        <v>8.7287050538073676E-13</v>
      </c>
      <c r="EM156" s="22">
        <f t="shared" si="180"/>
        <v>1.6144600406554537E-12</v>
      </c>
      <c r="EN156" s="62">
        <f t="shared" si="128"/>
        <v>293.33333333333491</v>
      </c>
      <c r="EO156" s="62">
        <f ca="1">AVERAGE(OFFSET($EN$3,0,0,'Données projet'!$E$15+1,1))-AVERAGE(OFFSET($H$3,0,0,'Données projet'!$E$15+1,1))</f>
        <v>406.24139966722936</v>
      </c>
      <c r="EP156" s="62">
        <f t="shared" si="154"/>
        <v>295.95724296920577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297.99999999999977</v>
      </c>
      <c r="FF156" s="18">
        <f>FE156*VLOOKUP('Données projet'!$B$16,Paramètres!$A$1:$I$89,3,0)*VLOOKUP('Données projet'!$B$16,Paramètres!$A$1:$I$89,5,0)</f>
        <v>288.22559999999976</v>
      </c>
      <c r="FG156" s="14">
        <f t="shared" si="182"/>
        <v>68.702374546701833</v>
      </c>
      <c r="FH156" s="22">
        <f t="shared" si="183"/>
        <v>621.64955566883862</v>
      </c>
      <c r="FI156" s="62">
        <f t="shared" si="131"/>
        <v>914.98288900217199</v>
      </c>
      <c r="FJ156" s="62">
        <f ca="1">AVERAGE(OFFSET($FI$3,0,0,'Données projet'!$E$16+1,1))-AVERAGE(OFFSET($H$3,0,0,'Données projet'!$E$16+1,1))</f>
        <v>540.83352418045502</v>
      </c>
      <c r="FK156" s="62">
        <f t="shared" si="156"/>
        <v>294.45557293177131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1.1368683772161603E-13</v>
      </c>
      <c r="GA156" s="18">
        <f>FZ156*VLOOKUP('Données projet'!$B$17,Paramètres!$A$1:$I$89,3,0)*VLOOKUP('Données projet'!$B$17,Paramètres!$A$1:$I$89,5,0)</f>
        <v>8.8675733422860506E-14</v>
      </c>
      <c r="GB156" s="14">
        <f t="shared" si="185"/>
        <v>1.3509285393066301E-12</v>
      </c>
      <c r="GC156" s="22">
        <f t="shared" si="186"/>
        <v>2.5073107750038623E-12</v>
      </c>
      <c r="GD156" s="62">
        <f t="shared" si="134"/>
        <v>293.33333333333582</v>
      </c>
      <c r="GE156" s="62">
        <f ca="1">AVERAGE(OFFSET($GD$3,0,0,'Données projet'!$E$17+1,1))-AVERAGE(OFFSET($H$3,0,0,'Données projet'!$E$17+1,1))</f>
        <v>292.57482726862594</v>
      </c>
      <c r="GF156" s="62">
        <f t="shared" si="158"/>
        <v>283.48738729114024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3.979039320256561E-13</v>
      </c>
      <c r="GV156" s="18">
        <f>GU156*VLOOKUP('Données projet'!$B$18,Paramètres!$A$1:$I$89,3,0)*VLOOKUP('Données projet'!$B$18,Paramètres!$A$1:$I$89,5,0)</f>
        <v>2.669139576028101E-13</v>
      </c>
      <c r="GW156" s="14">
        <f t="shared" si="188"/>
        <v>3.5767923834585247E-12</v>
      </c>
      <c r="GX156" s="22">
        <f t="shared" si="189"/>
        <v>6.6944552106818241E-12</v>
      </c>
      <c r="GY156" s="62">
        <f t="shared" si="137"/>
        <v>293.33333333334002</v>
      </c>
      <c r="GZ156" s="62">
        <f ca="1">AVERAGE(OFFSET($GY$3,0,0,'Données projet'!$E$18+1,1))-AVERAGE(OFFSET($H$3,0,0,'Données projet'!$E$18+1,1))</f>
        <v>343.33067866534634</v>
      </c>
      <c r="HA156" s="62">
        <f t="shared" si="160"/>
        <v>261.91036689641402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297.99999999999977</v>
      </c>
      <c r="O157" s="14">
        <f>N157*VLOOKUP('Données projet'!$B$9,Paramètres!$A$1:$I$89,3,0)*VLOOKUP('Données projet'!$B$9,Paramètres!$A$1:$I$89,5,0)</f>
        <v>269.63039999999978</v>
      </c>
      <c r="P157" s="14">
        <f t="shared" si="141"/>
        <v>64.770824587436081</v>
      </c>
      <c r="Q157" s="22">
        <f t="shared" si="162"/>
        <v>582.41546615645075</v>
      </c>
      <c r="R157" s="62">
        <f t="shared" si="109"/>
        <v>875.74879948978401</v>
      </c>
      <c r="S157" s="62">
        <f ca="1">AVERAGE(OFFSET($R$3,0,0,'Données projet'!$E$9+1,1))-AVERAGE(OFFSET($H$3,0,0,'Données projet'!$E$9+1,1))</f>
        <v>508.77990078889337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297.99999999999977</v>
      </c>
      <c r="AJ157" s="14">
        <f>AI157*VLOOKUP('Données projet'!$B$10,Paramètres!$A$1:$I$89,3,0)*VLOOKUP('Données projet'!$B$10,Paramètres!$A$1:$I$89,5,0)</f>
        <v>302.1719999999998</v>
      </c>
      <c r="AK157" s="14">
        <f t="shared" si="164"/>
        <v>71.631606754643158</v>
      </c>
      <c r="AL157" s="22">
        <f t="shared" si="165"/>
        <v>651.04128176433642</v>
      </c>
      <c r="AM157" s="62">
        <f t="shared" si="113"/>
        <v>944.37461509766968</v>
      </c>
      <c r="AN157" s="62">
        <f ca="1">AVERAGE(OFFSET($AM$3,0,0,'Données projet'!$E$10+1,1))-AVERAGE(OFFSET($H$3,0,0,'Données projet'!$E$10+1,1))</f>
        <v>564.84596170333884</v>
      </c>
      <c r="AO157" s="62">
        <f t="shared" si="144"/>
        <v>306.61893266146666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-1.8089849618263545E-13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370.79299728190904</v>
      </c>
      <c r="BJ157" s="62">
        <f t="shared" si="146"/>
        <v>404.95703400805775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-1.8089849618263545E-13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370.79299728190904</v>
      </c>
      <c r="CE157" s="62">
        <f t="shared" si="148"/>
        <v>404.95703400805775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-1.7053025658242404E-13</v>
      </c>
      <c r="CU157" s="18">
        <f>CT157*VLOOKUP('Données projet'!$B$13,Paramètres!$A$1:$I$89,3,0)*VLOOKUP('Données projet'!$B$13,Paramètres!$A$1:$I$89,5,0)</f>
        <v>-1.4897523215040567E-13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339.58437495284466</v>
      </c>
      <c r="CZ157" s="62">
        <f t="shared" si="150"/>
        <v>371.26234252426531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-2.2737367544323206E-13</v>
      </c>
      <c r="DP157" s="18">
        <f>DO157*VLOOKUP('Données projet'!$B$14,Paramètres!$A$1:$I$89,3,0)*VLOOKUP('Données projet'!$B$14,Paramètres!$A$1:$I$89,5,0)</f>
        <v>-1.6671037883497774E-13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344.63665697794022</v>
      </c>
      <c r="DU157" s="62">
        <f t="shared" si="152"/>
        <v>376.72762011188041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5.4092197387944907E-14</v>
      </c>
      <c r="EL157" s="14">
        <f t="shared" si="179"/>
        <v>8.7287050538073676E-13</v>
      </c>
      <c r="EM157" s="22">
        <f t="shared" si="180"/>
        <v>1.6144600406554537E-12</v>
      </c>
      <c r="EN157" s="62">
        <f t="shared" si="128"/>
        <v>293.33333333333491</v>
      </c>
      <c r="EO157" s="62">
        <f ca="1">AVERAGE(OFFSET($EN$3,0,0,'Données projet'!$E$15+1,1))-AVERAGE(OFFSET($H$3,0,0,'Données projet'!$E$15+1,1))</f>
        <v>406.24139966722936</v>
      </c>
      <c r="EP157" s="62">
        <f t="shared" si="154"/>
        <v>295.95724296920577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297.99999999999977</v>
      </c>
      <c r="FF157" s="18">
        <f>FE157*VLOOKUP('Données projet'!$B$16,Paramètres!$A$1:$I$89,3,0)*VLOOKUP('Données projet'!$B$16,Paramètres!$A$1:$I$89,5,0)</f>
        <v>288.22559999999976</v>
      </c>
      <c r="FG157" s="14">
        <f t="shared" si="182"/>
        <v>68.702374546701833</v>
      </c>
      <c r="FH157" s="22">
        <f t="shared" si="183"/>
        <v>621.64955566883862</v>
      </c>
      <c r="FI157" s="62">
        <f t="shared" si="131"/>
        <v>914.98288900217199</v>
      </c>
      <c r="FJ157" s="62">
        <f ca="1">AVERAGE(OFFSET($FI$3,0,0,'Données projet'!$E$16+1,1))-AVERAGE(OFFSET($H$3,0,0,'Données projet'!$E$16+1,1))</f>
        <v>540.83352418045502</v>
      </c>
      <c r="FK157" s="62">
        <f t="shared" si="156"/>
        <v>294.45557293177131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1.1368683772161603E-13</v>
      </c>
      <c r="GA157" s="18">
        <f>FZ157*VLOOKUP('Données projet'!$B$17,Paramètres!$A$1:$I$89,3,0)*VLOOKUP('Données projet'!$B$17,Paramètres!$A$1:$I$89,5,0)</f>
        <v>8.8675733422860506E-14</v>
      </c>
      <c r="GB157" s="14">
        <f t="shared" si="185"/>
        <v>1.3509285393066301E-12</v>
      </c>
      <c r="GC157" s="22">
        <f t="shared" si="186"/>
        <v>2.5073107750038623E-12</v>
      </c>
      <c r="GD157" s="62">
        <f t="shared" si="134"/>
        <v>293.33333333333582</v>
      </c>
      <c r="GE157" s="62">
        <f ca="1">AVERAGE(OFFSET($GD$3,0,0,'Données projet'!$E$17+1,1))-AVERAGE(OFFSET($H$3,0,0,'Données projet'!$E$17+1,1))</f>
        <v>292.57482726862594</v>
      </c>
      <c r="GF157" s="62">
        <f t="shared" si="158"/>
        <v>283.48738729114024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3.979039320256561E-13</v>
      </c>
      <c r="GV157" s="18">
        <f>GU157*VLOOKUP('Données projet'!$B$18,Paramètres!$A$1:$I$89,3,0)*VLOOKUP('Données projet'!$B$18,Paramètres!$A$1:$I$89,5,0)</f>
        <v>2.669139576028101E-13</v>
      </c>
      <c r="GW157" s="14">
        <f t="shared" si="188"/>
        <v>3.5767923834585247E-12</v>
      </c>
      <c r="GX157" s="22">
        <f t="shared" si="189"/>
        <v>6.6944552106818241E-12</v>
      </c>
      <c r="GY157" s="62">
        <f t="shared" si="137"/>
        <v>293.33333333334002</v>
      </c>
      <c r="GZ157" s="62">
        <f ca="1">AVERAGE(OFFSET($GY$3,0,0,'Données projet'!$E$18+1,1))-AVERAGE(OFFSET($H$3,0,0,'Données projet'!$E$18+1,1))</f>
        <v>343.33067866534634</v>
      </c>
      <c r="HA157" s="62">
        <f t="shared" si="160"/>
        <v>261.91036689641402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297.99999999999977</v>
      </c>
      <c r="O158" s="14">
        <f>N158*VLOOKUP('Données projet'!$B$9,Paramètres!$A$1:$I$89,3,0)*VLOOKUP('Données projet'!$B$9,Paramètres!$A$1:$I$89,5,0)</f>
        <v>269.63039999999978</v>
      </c>
      <c r="P158" s="14">
        <f t="shared" si="141"/>
        <v>64.770824587436081</v>
      </c>
      <c r="Q158" s="22">
        <f t="shared" si="162"/>
        <v>582.41546615645075</v>
      </c>
      <c r="R158" s="62">
        <f t="shared" si="109"/>
        <v>875.74879948978401</v>
      </c>
      <c r="S158" s="62">
        <f ca="1">AVERAGE(OFFSET($R$3,0,0,'Données projet'!$E$9+1,1))-AVERAGE(OFFSET($H$3,0,0,'Données projet'!$E$9+1,1))</f>
        <v>508.77990078889337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297.99999999999977</v>
      </c>
      <c r="AJ158" s="14">
        <f>AI158*VLOOKUP('Données projet'!$B$10,Paramètres!$A$1:$I$89,3,0)*VLOOKUP('Données projet'!$B$10,Paramètres!$A$1:$I$89,5,0)</f>
        <v>302.1719999999998</v>
      </c>
      <c r="AK158" s="14">
        <f t="shared" si="164"/>
        <v>71.631606754643158</v>
      </c>
      <c r="AL158" s="22">
        <f t="shared" si="165"/>
        <v>651.04128176433642</v>
      </c>
      <c r="AM158" s="62">
        <f t="shared" si="113"/>
        <v>944.37461509766968</v>
      </c>
      <c r="AN158" s="62">
        <f ca="1">AVERAGE(OFFSET($AM$3,0,0,'Données projet'!$E$10+1,1))-AVERAGE(OFFSET($H$3,0,0,'Données projet'!$E$10+1,1))</f>
        <v>564.84596170333884</v>
      </c>
      <c r="AO158" s="62">
        <f t="shared" si="144"/>
        <v>306.61893266146666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-1.8089849618263545E-13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370.79299728190904</v>
      </c>
      <c r="BJ158" s="62">
        <f t="shared" si="146"/>
        <v>404.95703400805775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-1.8089849618263545E-13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370.79299728190904</v>
      </c>
      <c r="CE158" s="62">
        <f t="shared" si="148"/>
        <v>404.95703400805775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-1.7053025658242404E-13</v>
      </c>
      <c r="CU158" s="18">
        <f>CT158*VLOOKUP('Données projet'!$B$13,Paramètres!$A$1:$I$89,3,0)*VLOOKUP('Données projet'!$B$13,Paramètres!$A$1:$I$89,5,0)</f>
        <v>-1.4897523215040567E-13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339.58437495284466</v>
      </c>
      <c r="CZ158" s="62">
        <f t="shared" si="150"/>
        <v>371.26234252426531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-2.2737367544323206E-13</v>
      </c>
      <c r="DP158" s="18">
        <f>DO158*VLOOKUP('Données projet'!$B$14,Paramètres!$A$1:$I$89,3,0)*VLOOKUP('Données projet'!$B$14,Paramètres!$A$1:$I$89,5,0)</f>
        <v>-1.6671037883497774E-13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344.63665697794022</v>
      </c>
      <c r="DU158" s="62">
        <f t="shared" si="152"/>
        <v>376.72762011188041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5.4092197387944907E-14</v>
      </c>
      <c r="EL158" s="14">
        <f t="shared" si="179"/>
        <v>8.7287050538073676E-13</v>
      </c>
      <c r="EM158" s="22">
        <f t="shared" si="180"/>
        <v>1.6144600406554537E-12</v>
      </c>
      <c r="EN158" s="62">
        <f t="shared" si="128"/>
        <v>293.33333333333491</v>
      </c>
      <c r="EO158" s="62">
        <f ca="1">AVERAGE(OFFSET($EN$3,0,0,'Données projet'!$E$15+1,1))-AVERAGE(OFFSET($H$3,0,0,'Données projet'!$E$15+1,1))</f>
        <v>406.24139966722936</v>
      </c>
      <c r="EP158" s="62">
        <f t="shared" si="154"/>
        <v>295.95724296920577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297.99999999999977</v>
      </c>
      <c r="FF158" s="18">
        <f>FE158*VLOOKUP('Données projet'!$B$16,Paramètres!$A$1:$I$89,3,0)*VLOOKUP('Données projet'!$B$16,Paramètres!$A$1:$I$89,5,0)</f>
        <v>288.22559999999976</v>
      </c>
      <c r="FG158" s="14">
        <f t="shared" si="182"/>
        <v>68.702374546701833</v>
      </c>
      <c r="FH158" s="22">
        <f t="shared" si="183"/>
        <v>621.64955566883862</v>
      </c>
      <c r="FI158" s="62">
        <f t="shared" si="131"/>
        <v>914.98288900217199</v>
      </c>
      <c r="FJ158" s="62">
        <f ca="1">AVERAGE(OFFSET($FI$3,0,0,'Données projet'!$E$16+1,1))-AVERAGE(OFFSET($H$3,0,0,'Données projet'!$E$16+1,1))</f>
        <v>540.83352418045502</v>
      </c>
      <c r="FK158" s="62">
        <f t="shared" si="156"/>
        <v>294.45557293177131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1.1368683772161603E-13</v>
      </c>
      <c r="GA158" s="18">
        <f>FZ158*VLOOKUP('Données projet'!$B$17,Paramètres!$A$1:$I$89,3,0)*VLOOKUP('Données projet'!$B$17,Paramètres!$A$1:$I$89,5,0)</f>
        <v>8.8675733422860506E-14</v>
      </c>
      <c r="GB158" s="14">
        <f t="shared" si="185"/>
        <v>1.3509285393066301E-12</v>
      </c>
      <c r="GC158" s="22">
        <f t="shared" si="186"/>
        <v>2.5073107750038623E-12</v>
      </c>
      <c r="GD158" s="62">
        <f t="shared" si="134"/>
        <v>293.33333333333582</v>
      </c>
      <c r="GE158" s="62">
        <f ca="1">AVERAGE(OFFSET($GD$3,0,0,'Données projet'!$E$17+1,1))-AVERAGE(OFFSET($H$3,0,0,'Données projet'!$E$17+1,1))</f>
        <v>292.57482726862594</v>
      </c>
      <c r="GF158" s="62">
        <f t="shared" si="158"/>
        <v>283.48738729114024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3.979039320256561E-13</v>
      </c>
      <c r="GV158" s="18">
        <f>GU158*VLOOKUP('Données projet'!$B$18,Paramètres!$A$1:$I$89,3,0)*VLOOKUP('Données projet'!$B$18,Paramètres!$A$1:$I$89,5,0)</f>
        <v>2.669139576028101E-13</v>
      </c>
      <c r="GW158" s="14">
        <f t="shared" si="188"/>
        <v>3.5767923834585247E-12</v>
      </c>
      <c r="GX158" s="22">
        <f t="shared" si="189"/>
        <v>6.6944552106818241E-12</v>
      </c>
      <c r="GY158" s="62">
        <f t="shared" si="137"/>
        <v>293.33333333334002</v>
      </c>
      <c r="GZ158" s="62">
        <f ca="1">AVERAGE(OFFSET($GY$3,0,0,'Données projet'!$E$18+1,1))-AVERAGE(OFFSET($H$3,0,0,'Données projet'!$E$18+1,1))</f>
        <v>343.33067866534634</v>
      </c>
      <c r="HA158" s="62">
        <f t="shared" si="160"/>
        <v>261.91036689641402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297.99999999999977</v>
      </c>
      <c r="O159" s="14">
        <f>N159*VLOOKUP('Données projet'!$B$9,Paramètres!$A$1:$I$89,3,0)*VLOOKUP('Données projet'!$B$9,Paramètres!$A$1:$I$89,5,0)</f>
        <v>269.63039999999978</v>
      </c>
      <c r="P159" s="14">
        <f t="shared" si="141"/>
        <v>64.770824587436081</v>
      </c>
      <c r="Q159" s="22">
        <f t="shared" si="162"/>
        <v>582.41546615645075</v>
      </c>
      <c r="R159" s="62">
        <f t="shared" si="109"/>
        <v>875.74879948978401</v>
      </c>
      <c r="S159" s="62">
        <f ca="1">AVERAGE(OFFSET($R$3,0,0,'Données projet'!$E$9+1,1))-AVERAGE(OFFSET($H$3,0,0,'Données projet'!$E$9+1,1))</f>
        <v>508.77990078889337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297.99999999999977</v>
      </c>
      <c r="AJ159" s="14">
        <f>AI159*VLOOKUP('Données projet'!$B$10,Paramètres!$A$1:$I$89,3,0)*VLOOKUP('Données projet'!$B$10,Paramètres!$A$1:$I$89,5,0)</f>
        <v>302.1719999999998</v>
      </c>
      <c r="AK159" s="14">
        <f t="shared" si="164"/>
        <v>71.631606754643158</v>
      </c>
      <c r="AL159" s="22">
        <f t="shared" si="165"/>
        <v>651.04128176433642</v>
      </c>
      <c r="AM159" s="62">
        <f t="shared" si="113"/>
        <v>944.37461509766968</v>
      </c>
      <c r="AN159" s="62">
        <f ca="1">AVERAGE(OFFSET($AM$3,0,0,'Données projet'!$E$10+1,1))-AVERAGE(OFFSET($H$3,0,0,'Données projet'!$E$10+1,1))</f>
        <v>564.84596170333884</v>
      </c>
      <c r="AO159" s="62">
        <f t="shared" si="144"/>
        <v>306.61893266146666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-1.8089849618263545E-13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370.79299728190904</v>
      </c>
      <c r="BJ159" s="62">
        <f t="shared" si="146"/>
        <v>404.95703400805775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-1.8089849618263545E-13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370.79299728190904</v>
      </c>
      <c r="CE159" s="62">
        <f t="shared" si="148"/>
        <v>404.95703400805775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-1.7053025658242404E-13</v>
      </c>
      <c r="CU159" s="18">
        <f>CT159*VLOOKUP('Données projet'!$B$13,Paramètres!$A$1:$I$89,3,0)*VLOOKUP('Données projet'!$B$13,Paramètres!$A$1:$I$89,5,0)</f>
        <v>-1.4897523215040567E-13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339.58437495284466</v>
      </c>
      <c r="CZ159" s="62">
        <f t="shared" si="150"/>
        <v>371.26234252426531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-2.2737367544323206E-13</v>
      </c>
      <c r="DP159" s="18">
        <f>DO159*VLOOKUP('Données projet'!$B$14,Paramètres!$A$1:$I$89,3,0)*VLOOKUP('Données projet'!$B$14,Paramètres!$A$1:$I$89,5,0)</f>
        <v>-1.6671037883497774E-13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344.63665697794022</v>
      </c>
      <c r="DU159" s="62">
        <f t="shared" si="152"/>
        <v>376.72762011188041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5.4092197387944907E-14</v>
      </c>
      <c r="EL159" s="14">
        <f t="shared" si="179"/>
        <v>8.7287050538073676E-13</v>
      </c>
      <c r="EM159" s="22">
        <f t="shared" si="180"/>
        <v>1.6144600406554537E-12</v>
      </c>
      <c r="EN159" s="62">
        <f t="shared" si="128"/>
        <v>293.33333333333491</v>
      </c>
      <c r="EO159" s="62">
        <f ca="1">AVERAGE(OFFSET($EN$3,0,0,'Données projet'!$E$15+1,1))-AVERAGE(OFFSET($H$3,0,0,'Données projet'!$E$15+1,1))</f>
        <v>406.24139966722936</v>
      </c>
      <c r="EP159" s="62">
        <f t="shared" si="154"/>
        <v>295.95724296920577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297.99999999999977</v>
      </c>
      <c r="FF159" s="18">
        <f>FE159*VLOOKUP('Données projet'!$B$16,Paramètres!$A$1:$I$89,3,0)*VLOOKUP('Données projet'!$B$16,Paramètres!$A$1:$I$89,5,0)</f>
        <v>288.22559999999976</v>
      </c>
      <c r="FG159" s="14">
        <f t="shared" si="182"/>
        <v>68.702374546701833</v>
      </c>
      <c r="FH159" s="22">
        <f t="shared" si="183"/>
        <v>621.64955566883862</v>
      </c>
      <c r="FI159" s="62">
        <f t="shared" si="131"/>
        <v>914.98288900217199</v>
      </c>
      <c r="FJ159" s="62">
        <f ca="1">AVERAGE(OFFSET($FI$3,0,0,'Données projet'!$E$16+1,1))-AVERAGE(OFFSET($H$3,0,0,'Données projet'!$E$16+1,1))</f>
        <v>540.83352418045502</v>
      </c>
      <c r="FK159" s="62">
        <f t="shared" si="156"/>
        <v>294.45557293177131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1.1368683772161603E-13</v>
      </c>
      <c r="GA159" s="18">
        <f>FZ159*VLOOKUP('Données projet'!$B$17,Paramètres!$A$1:$I$89,3,0)*VLOOKUP('Données projet'!$B$17,Paramètres!$A$1:$I$89,5,0)</f>
        <v>8.8675733422860506E-14</v>
      </c>
      <c r="GB159" s="14">
        <f t="shared" si="185"/>
        <v>1.3509285393066301E-12</v>
      </c>
      <c r="GC159" s="22">
        <f t="shared" si="186"/>
        <v>2.5073107750038623E-12</v>
      </c>
      <c r="GD159" s="62">
        <f t="shared" si="134"/>
        <v>293.33333333333582</v>
      </c>
      <c r="GE159" s="62">
        <f ca="1">AVERAGE(OFFSET($GD$3,0,0,'Données projet'!$E$17+1,1))-AVERAGE(OFFSET($H$3,0,0,'Données projet'!$E$17+1,1))</f>
        <v>292.57482726862594</v>
      </c>
      <c r="GF159" s="62">
        <f t="shared" si="158"/>
        <v>283.48738729114024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3.979039320256561E-13</v>
      </c>
      <c r="GV159" s="18">
        <f>GU159*VLOOKUP('Données projet'!$B$18,Paramètres!$A$1:$I$89,3,0)*VLOOKUP('Données projet'!$B$18,Paramètres!$A$1:$I$89,5,0)</f>
        <v>2.669139576028101E-13</v>
      </c>
      <c r="GW159" s="14">
        <f t="shared" si="188"/>
        <v>3.5767923834585247E-12</v>
      </c>
      <c r="GX159" s="22">
        <f t="shared" si="189"/>
        <v>6.6944552106818241E-12</v>
      </c>
      <c r="GY159" s="62">
        <f t="shared" si="137"/>
        <v>293.33333333334002</v>
      </c>
      <c r="GZ159" s="62">
        <f ca="1">AVERAGE(OFFSET($GY$3,0,0,'Données projet'!$E$18+1,1))-AVERAGE(OFFSET($H$3,0,0,'Données projet'!$E$18+1,1))</f>
        <v>343.33067866534634</v>
      </c>
      <c r="HA159" s="62">
        <f t="shared" si="160"/>
        <v>261.91036689641402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297.99999999999977</v>
      </c>
      <c r="O160" s="14">
        <f>N160*VLOOKUP('Données projet'!$B$9,Paramètres!$A$1:$I$89,3,0)*VLOOKUP('Données projet'!$B$9,Paramètres!$A$1:$I$89,5,0)</f>
        <v>269.63039999999978</v>
      </c>
      <c r="P160" s="14">
        <f t="shared" si="141"/>
        <v>64.770824587436081</v>
      </c>
      <c r="Q160" s="22">
        <f t="shared" si="162"/>
        <v>582.41546615645075</v>
      </c>
      <c r="R160" s="62">
        <f t="shared" si="109"/>
        <v>875.74879948978401</v>
      </c>
      <c r="S160" s="62">
        <f ca="1">AVERAGE(OFFSET($R$3,0,0,'Données projet'!$E$9+1,1))-AVERAGE(OFFSET($H$3,0,0,'Données projet'!$E$9+1,1))</f>
        <v>508.77990078889337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297.99999999999977</v>
      </c>
      <c r="AJ160" s="14">
        <f>AI160*VLOOKUP('Données projet'!$B$10,Paramètres!$A$1:$I$89,3,0)*VLOOKUP('Données projet'!$B$10,Paramètres!$A$1:$I$89,5,0)</f>
        <v>302.1719999999998</v>
      </c>
      <c r="AK160" s="14">
        <f t="shared" si="164"/>
        <v>71.631606754643158</v>
      </c>
      <c r="AL160" s="22">
        <f t="shared" si="165"/>
        <v>651.04128176433642</v>
      </c>
      <c r="AM160" s="62">
        <f t="shared" si="113"/>
        <v>944.37461509766968</v>
      </c>
      <c r="AN160" s="62">
        <f ca="1">AVERAGE(OFFSET($AM$3,0,0,'Données projet'!$E$10+1,1))-AVERAGE(OFFSET($H$3,0,0,'Données projet'!$E$10+1,1))</f>
        <v>564.84596170333884</v>
      </c>
      <c r="AO160" s="62">
        <f t="shared" si="144"/>
        <v>306.61893266146666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-1.8089849618263545E-13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370.79299728190904</v>
      </c>
      <c r="BJ160" s="62">
        <f t="shared" si="146"/>
        <v>404.95703400805775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-1.8089849618263545E-13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370.79299728190904</v>
      </c>
      <c r="CE160" s="62">
        <f t="shared" si="148"/>
        <v>404.95703400805775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-1.7053025658242404E-13</v>
      </c>
      <c r="CU160" s="18">
        <f>CT160*VLOOKUP('Données projet'!$B$13,Paramètres!$A$1:$I$89,3,0)*VLOOKUP('Données projet'!$B$13,Paramètres!$A$1:$I$89,5,0)</f>
        <v>-1.4897523215040567E-13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339.58437495284466</v>
      </c>
      <c r="CZ160" s="62">
        <f t="shared" si="150"/>
        <v>371.26234252426531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-2.2737367544323206E-13</v>
      </c>
      <c r="DP160" s="18">
        <f>DO160*VLOOKUP('Données projet'!$B$14,Paramètres!$A$1:$I$89,3,0)*VLOOKUP('Données projet'!$B$14,Paramètres!$A$1:$I$89,5,0)</f>
        <v>-1.6671037883497774E-13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344.63665697794022</v>
      </c>
      <c r="DU160" s="62">
        <f t="shared" si="152"/>
        <v>376.72762011188041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5.4092197387944907E-14</v>
      </c>
      <c r="EL160" s="14">
        <f t="shared" si="179"/>
        <v>8.7287050538073676E-13</v>
      </c>
      <c r="EM160" s="22">
        <f t="shared" si="180"/>
        <v>1.6144600406554537E-12</v>
      </c>
      <c r="EN160" s="62">
        <f t="shared" si="128"/>
        <v>293.33333333333491</v>
      </c>
      <c r="EO160" s="62">
        <f ca="1">AVERAGE(OFFSET($EN$3,0,0,'Données projet'!$E$15+1,1))-AVERAGE(OFFSET($H$3,0,0,'Données projet'!$E$15+1,1))</f>
        <v>406.24139966722936</v>
      </c>
      <c r="EP160" s="62">
        <f t="shared" si="154"/>
        <v>295.95724296920577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297.99999999999977</v>
      </c>
      <c r="FF160" s="18">
        <f>FE160*VLOOKUP('Données projet'!$B$16,Paramètres!$A$1:$I$89,3,0)*VLOOKUP('Données projet'!$B$16,Paramètres!$A$1:$I$89,5,0)</f>
        <v>288.22559999999976</v>
      </c>
      <c r="FG160" s="14">
        <f t="shared" si="182"/>
        <v>68.702374546701833</v>
      </c>
      <c r="FH160" s="22">
        <f t="shared" si="183"/>
        <v>621.64955566883862</v>
      </c>
      <c r="FI160" s="62">
        <f t="shared" si="131"/>
        <v>914.98288900217199</v>
      </c>
      <c r="FJ160" s="62">
        <f ca="1">AVERAGE(OFFSET($FI$3,0,0,'Données projet'!$E$16+1,1))-AVERAGE(OFFSET($H$3,0,0,'Données projet'!$E$16+1,1))</f>
        <v>540.83352418045502</v>
      </c>
      <c r="FK160" s="62">
        <f t="shared" si="156"/>
        <v>294.45557293177131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1.1368683772161603E-13</v>
      </c>
      <c r="GA160" s="18">
        <f>FZ160*VLOOKUP('Données projet'!$B$17,Paramètres!$A$1:$I$89,3,0)*VLOOKUP('Données projet'!$B$17,Paramètres!$A$1:$I$89,5,0)</f>
        <v>8.8675733422860506E-14</v>
      </c>
      <c r="GB160" s="14">
        <f t="shared" si="185"/>
        <v>1.3509285393066301E-12</v>
      </c>
      <c r="GC160" s="22">
        <f t="shared" si="186"/>
        <v>2.5073107750038623E-12</v>
      </c>
      <c r="GD160" s="62">
        <f t="shared" si="134"/>
        <v>293.33333333333582</v>
      </c>
      <c r="GE160" s="62">
        <f ca="1">AVERAGE(OFFSET($GD$3,0,0,'Données projet'!$E$17+1,1))-AVERAGE(OFFSET($H$3,0,0,'Données projet'!$E$17+1,1))</f>
        <v>292.57482726862594</v>
      </c>
      <c r="GF160" s="62">
        <f t="shared" si="158"/>
        <v>283.48738729114024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3.979039320256561E-13</v>
      </c>
      <c r="GV160" s="18">
        <f>GU160*VLOOKUP('Données projet'!$B$18,Paramètres!$A$1:$I$89,3,0)*VLOOKUP('Données projet'!$B$18,Paramètres!$A$1:$I$89,5,0)</f>
        <v>2.669139576028101E-13</v>
      </c>
      <c r="GW160" s="14">
        <f t="shared" si="188"/>
        <v>3.5767923834585247E-12</v>
      </c>
      <c r="GX160" s="22">
        <f t="shared" si="189"/>
        <v>6.6944552106818241E-12</v>
      </c>
      <c r="GY160" s="62">
        <f t="shared" si="137"/>
        <v>293.33333333334002</v>
      </c>
      <c r="GZ160" s="62">
        <f ca="1">AVERAGE(OFFSET($GY$3,0,0,'Données projet'!$E$18+1,1))-AVERAGE(OFFSET($H$3,0,0,'Données projet'!$E$18+1,1))</f>
        <v>343.33067866534634</v>
      </c>
      <c r="HA160" s="62">
        <f t="shared" si="160"/>
        <v>261.91036689641402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297.99999999999977</v>
      </c>
      <c r="O161" s="14">
        <f>N161*VLOOKUP('Données projet'!$B$9,Paramètres!$A$1:$I$89,3,0)*VLOOKUP('Données projet'!$B$9,Paramètres!$A$1:$I$89,5,0)</f>
        <v>269.63039999999978</v>
      </c>
      <c r="P161" s="14">
        <f t="shared" si="141"/>
        <v>64.770824587436081</v>
      </c>
      <c r="Q161" s="22">
        <f t="shared" si="162"/>
        <v>582.41546615645075</v>
      </c>
      <c r="R161" s="62">
        <f t="shared" si="109"/>
        <v>875.74879948978401</v>
      </c>
      <c r="S161" s="62">
        <f ca="1">AVERAGE(OFFSET($R$3,0,0,'Données projet'!$E$9+1,1))-AVERAGE(OFFSET($H$3,0,0,'Données projet'!$E$9+1,1))</f>
        <v>508.77990078889337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297.99999999999977</v>
      </c>
      <c r="AJ161" s="14">
        <f>AI161*VLOOKUP('Données projet'!$B$10,Paramètres!$A$1:$I$89,3,0)*VLOOKUP('Données projet'!$B$10,Paramètres!$A$1:$I$89,5,0)</f>
        <v>302.1719999999998</v>
      </c>
      <c r="AK161" s="14">
        <f t="shared" si="164"/>
        <v>71.631606754643158</v>
      </c>
      <c r="AL161" s="22">
        <f t="shared" si="165"/>
        <v>651.04128176433642</v>
      </c>
      <c r="AM161" s="62">
        <f t="shared" si="113"/>
        <v>944.37461509766968</v>
      </c>
      <c r="AN161" s="62">
        <f ca="1">AVERAGE(OFFSET($AM$3,0,0,'Données projet'!$E$10+1,1))-AVERAGE(OFFSET($H$3,0,0,'Données projet'!$E$10+1,1))</f>
        <v>564.84596170333884</v>
      </c>
      <c r="AO161" s="62">
        <f t="shared" si="144"/>
        <v>306.61893266146666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-1.8089849618263545E-13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370.79299728190904</v>
      </c>
      <c r="BJ161" s="62">
        <f t="shared" si="146"/>
        <v>404.95703400805775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-1.8089849618263545E-13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370.79299728190904</v>
      </c>
      <c r="CE161" s="62">
        <f t="shared" si="148"/>
        <v>404.95703400805775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-1.7053025658242404E-13</v>
      </c>
      <c r="CU161" s="18">
        <f>CT161*VLOOKUP('Données projet'!$B$13,Paramètres!$A$1:$I$89,3,0)*VLOOKUP('Données projet'!$B$13,Paramètres!$A$1:$I$89,5,0)</f>
        <v>-1.4897523215040567E-13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339.58437495284466</v>
      </c>
      <c r="CZ161" s="62">
        <f t="shared" si="150"/>
        <v>371.26234252426531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-2.2737367544323206E-13</v>
      </c>
      <c r="DP161" s="18">
        <f>DO161*VLOOKUP('Données projet'!$B$14,Paramètres!$A$1:$I$89,3,0)*VLOOKUP('Données projet'!$B$14,Paramètres!$A$1:$I$89,5,0)</f>
        <v>-1.6671037883497774E-13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344.63665697794022</v>
      </c>
      <c r="DU161" s="62">
        <f t="shared" si="152"/>
        <v>376.72762011188041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5.4092197387944907E-14</v>
      </c>
      <c r="EL161" s="14">
        <f t="shared" si="179"/>
        <v>8.7287050538073676E-13</v>
      </c>
      <c r="EM161" s="22">
        <f t="shared" si="180"/>
        <v>1.6144600406554537E-12</v>
      </c>
      <c r="EN161" s="62">
        <f t="shared" si="128"/>
        <v>293.33333333333491</v>
      </c>
      <c r="EO161" s="62">
        <f ca="1">AVERAGE(OFFSET($EN$3,0,0,'Données projet'!$E$15+1,1))-AVERAGE(OFFSET($H$3,0,0,'Données projet'!$E$15+1,1))</f>
        <v>406.24139966722936</v>
      </c>
      <c r="EP161" s="62">
        <f t="shared" si="154"/>
        <v>295.95724296920577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297.99999999999977</v>
      </c>
      <c r="FF161" s="18">
        <f>FE161*VLOOKUP('Données projet'!$B$16,Paramètres!$A$1:$I$89,3,0)*VLOOKUP('Données projet'!$B$16,Paramètres!$A$1:$I$89,5,0)</f>
        <v>288.22559999999976</v>
      </c>
      <c r="FG161" s="14">
        <f t="shared" si="182"/>
        <v>68.702374546701833</v>
      </c>
      <c r="FH161" s="22">
        <f t="shared" si="183"/>
        <v>621.64955566883862</v>
      </c>
      <c r="FI161" s="62">
        <f t="shared" si="131"/>
        <v>914.98288900217199</v>
      </c>
      <c r="FJ161" s="62">
        <f ca="1">AVERAGE(OFFSET($FI$3,0,0,'Données projet'!$E$16+1,1))-AVERAGE(OFFSET($H$3,0,0,'Données projet'!$E$16+1,1))</f>
        <v>540.83352418045502</v>
      </c>
      <c r="FK161" s="62">
        <f t="shared" si="156"/>
        <v>294.45557293177131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1.1368683772161603E-13</v>
      </c>
      <c r="GA161" s="18">
        <f>FZ161*VLOOKUP('Données projet'!$B$17,Paramètres!$A$1:$I$89,3,0)*VLOOKUP('Données projet'!$B$17,Paramètres!$A$1:$I$89,5,0)</f>
        <v>8.8675733422860506E-14</v>
      </c>
      <c r="GB161" s="14">
        <f t="shared" si="185"/>
        <v>1.3509285393066301E-12</v>
      </c>
      <c r="GC161" s="22">
        <f t="shared" si="186"/>
        <v>2.5073107750038623E-12</v>
      </c>
      <c r="GD161" s="62">
        <f t="shared" si="134"/>
        <v>293.33333333333582</v>
      </c>
      <c r="GE161" s="62">
        <f ca="1">AVERAGE(OFFSET($GD$3,0,0,'Données projet'!$E$17+1,1))-AVERAGE(OFFSET($H$3,0,0,'Données projet'!$E$17+1,1))</f>
        <v>292.57482726862594</v>
      </c>
      <c r="GF161" s="62">
        <f t="shared" si="158"/>
        <v>283.48738729114024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3.979039320256561E-13</v>
      </c>
      <c r="GV161" s="18">
        <f>GU161*VLOOKUP('Données projet'!$B$18,Paramètres!$A$1:$I$89,3,0)*VLOOKUP('Données projet'!$B$18,Paramètres!$A$1:$I$89,5,0)</f>
        <v>2.669139576028101E-13</v>
      </c>
      <c r="GW161" s="14">
        <f t="shared" si="188"/>
        <v>3.5767923834585247E-12</v>
      </c>
      <c r="GX161" s="22">
        <f t="shared" si="189"/>
        <v>6.6944552106818241E-12</v>
      </c>
      <c r="GY161" s="62">
        <f t="shared" si="137"/>
        <v>293.33333333334002</v>
      </c>
      <c r="GZ161" s="62">
        <f ca="1">AVERAGE(OFFSET($GY$3,0,0,'Données projet'!$E$18+1,1))-AVERAGE(OFFSET($H$3,0,0,'Données projet'!$E$18+1,1))</f>
        <v>343.33067866534634</v>
      </c>
      <c r="HA161" s="62">
        <f t="shared" si="160"/>
        <v>261.91036689641402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297.99999999999977</v>
      </c>
      <c r="O162" s="14">
        <f>N162*VLOOKUP('Données projet'!$B$9,Paramètres!$A$1:$I$89,3,0)*VLOOKUP('Données projet'!$B$9,Paramètres!$A$1:$I$89,5,0)</f>
        <v>269.63039999999978</v>
      </c>
      <c r="P162" s="14">
        <f t="shared" si="141"/>
        <v>64.770824587436081</v>
      </c>
      <c r="Q162" s="22">
        <f t="shared" si="162"/>
        <v>582.41546615645075</v>
      </c>
      <c r="R162" s="62">
        <f t="shared" si="109"/>
        <v>875.74879948978401</v>
      </c>
      <c r="S162" s="62">
        <f ca="1">AVERAGE(OFFSET($R$3,0,0,'Données projet'!$E$9+1,1))-AVERAGE(OFFSET($H$3,0,0,'Données projet'!$E$9+1,1))</f>
        <v>508.77990078889337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297.99999999999977</v>
      </c>
      <c r="AJ162" s="14">
        <f>AI162*VLOOKUP('Données projet'!$B$10,Paramètres!$A$1:$I$89,3,0)*VLOOKUP('Données projet'!$B$10,Paramètres!$A$1:$I$89,5,0)</f>
        <v>302.1719999999998</v>
      </c>
      <c r="AK162" s="14">
        <f t="shared" si="164"/>
        <v>71.631606754643158</v>
      </c>
      <c r="AL162" s="22">
        <f t="shared" si="165"/>
        <v>651.04128176433642</v>
      </c>
      <c r="AM162" s="62">
        <f t="shared" si="113"/>
        <v>944.37461509766968</v>
      </c>
      <c r="AN162" s="62">
        <f ca="1">AVERAGE(OFFSET($AM$3,0,0,'Données projet'!$E$10+1,1))-AVERAGE(OFFSET($H$3,0,0,'Données projet'!$E$10+1,1))</f>
        <v>564.84596170333884</v>
      </c>
      <c r="AO162" s="62">
        <f t="shared" si="144"/>
        <v>306.61893266146666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-1.8089849618263545E-13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370.79299728190904</v>
      </c>
      <c r="BJ162" s="62">
        <f t="shared" si="146"/>
        <v>404.95703400805775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-1.8089849618263545E-13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370.79299728190904</v>
      </c>
      <c r="CE162" s="62">
        <f t="shared" si="148"/>
        <v>404.95703400805775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-1.7053025658242404E-13</v>
      </c>
      <c r="CU162" s="18">
        <f>CT162*VLOOKUP('Données projet'!$B$13,Paramètres!$A$1:$I$89,3,0)*VLOOKUP('Données projet'!$B$13,Paramètres!$A$1:$I$89,5,0)</f>
        <v>-1.4897523215040567E-13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339.58437495284466</v>
      </c>
      <c r="CZ162" s="62">
        <f t="shared" si="150"/>
        <v>371.26234252426531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-2.2737367544323206E-13</v>
      </c>
      <c r="DP162" s="18">
        <f>DO162*VLOOKUP('Données projet'!$B$14,Paramètres!$A$1:$I$89,3,0)*VLOOKUP('Données projet'!$B$14,Paramètres!$A$1:$I$89,5,0)</f>
        <v>-1.6671037883497774E-13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344.63665697794022</v>
      </c>
      <c r="DU162" s="62">
        <f t="shared" si="152"/>
        <v>376.72762011188041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5.4092197387944907E-14</v>
      </c>
      <c r="EL162" s="14">
        <f t="shared" si="179"/>
        <v>8.7287050538073676E-13</v>
      </c>
      <c r="EM162" s="22">
        <f t="shared" si="180"/>
        <v>1.6144600406554537E-12</v>
      </c>
      <c r="EN162" s="62">
        <f t="shared" si="128"/>
        <v>293.33333333333491</v>
      </c>
      <c r="EO162" s="62">
        <f ca="1">AVERAGE(OFFSET($EN$3,0,0,'Données projet'!$E$15+1,1))-AVERAGE(OFFSET($H$3,0,0,'Données projet'!$E$15+1,1))</f>
        <v>406.24139966722936</v>
      </c>
      <c r="EP162" s="62">
        <f t="shared" si="154"/>
        <v>295.95724296920577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297.99999999999977</v>
      </c>
      <c r="FF162" s="18">
        <f>FE162*VLOOKUP('Données projet'!$B$16,Paramètres!$A$1:$I$89,3,0)*VLOOKUP('Données projet'!$B$16,Paramètres!$A$1:$I$89,5,0)</f>
        <v>288.22559999999976</v>
      </c>
      <c r="FG162" s="14">
        <f t="shared" si="182"/>
        <v>68.702374546701833</v>
      </c>
      <c r="FH162" s="22">
        <f t="shared" si="183"/>
        <v>621.64955566883862</v>
      </c>
      <c r="FI162" s="62">
        <f t="shared" si="131"/>
        <v>914.98288900217199</v>
      </c>
      <c r="FJ162" s="62">
        <f ca="1">AVERAGE(OFFSET($FI$3,0,0,'Données projet'!$E$16+1,1))-AVERAGE(OFFSET($H$3,0,0,'Données projet'!$E$16+1,1))</f>
        <v>540.83352418045502</v>
      </c>
      <c r="FK162" s="62">
        <f t="shared" si="156"/>
        <v>294.45557293177131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1.1368683772161603E-13</v>
      </c>
      <c r="GA162" s="18">
        <f>FZ162*VLOOKUP('Données projet'!$B$17,Paramètres!$A$1:$I$89,3,0)*VLOOKUP('Données projet'!$B$17,Paramètres!$A$1:$I$89,5,0)</f>
        <v>8.8675733422860506E-14</v>
      </c>
      <c r="GB162" s="14">
        <f t="shared" si="185"/>
        <v>1.3509285393066301E-12</v>
      </c>
      <c r="GC162" s="22">
        <f t="shared" si="186"/>
        <v>2.5073107750038623E-12</v>
      </c>
      <c r="GD162" s="62">
        <f t="shared" si="134"/>
        <v>293.33333333333582</v>
      </c>
      <c r="GE162" s="62">
        <f ca="1">AVERAGE(OFFSET($GD$3,0,0,'Données projet'!$E$17+1,1))-AVERAGE(OFFSET($H$3,0,0,'Données projet'!$E$17+1,1))</f>
        <v>292.57482726862594</v>
      </c>
      <c r="GF162" s="62">
        <f t="shared" si="158"/>
        <v>283.48738729114024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3.979039320256561E-13</v>
      </c>
      <c r="GV162" s="18">
        <f>GU162*VLOOKUP('Données projet'!$B$18,Paramètres!$A$1:$I$89,3,0)*VLOOKUP('Données projet'!$B$18,Paramètres!$A$1:$I$89,5,0)</f>
        <v>2.669139576028101E-13</v>
      </c>
      <c r="GW162" s="14">
        <f t="shared" si="188"/>
        <v>3.5767923834585247E-12</v>
      </c>
      <c r="GX162" s="22">
        <f t="shared" si="189"/>
        <v>6.6944552106818241E-12</v>
      </c>
      <c r="GY162" s="62">
        <f t="shared" si="137"/>
        <v>293.33333333334002</v>
      </c>
      <c r="GZ162" s="62">
        <f ca="1">AVERAGE(OFFSET($GY$3,0,0,'Données projet'!$E$18+1,1))-AVERAGE(OFFSET($H$3,0,0,'Données projet'!$E$18+1,1))</f>
        <v>343.33067866534634</v>
      </c>
      <c r="HA162" s="62">
        <f t="shared" si="160"/>
        <v>261.91036689641402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297.99999999999977</v>
      </c>
      <c r="O163" s="14">
        <f>N163*VLOOKUP('Données projet'!$B$9,Paramètres!$A$1:$I$89,3,0)*VLOOKUP('Données projet'!$B$9,Paramètres!$A$1:$I$89,5,0)</f>
        <v>269.63039999999978</v>
      </c>
      <c r="P163" s="14">
        <f t="shared" si="141"/>
        <v>64.770824587436081</v>
      </c>
      <c r="Q163" s="22">
        <f t="shared" si="162"/>
        <v>582.41546615645075</v>
      </c>
      <c r="R163" s="62">
        <f t="shared" si="109"/>
        <v>875.74879948978401</v>
      </c>
      <c r="S163" s="62">
        <f ca="1">AVERAGE(OFFSET($R$3,0,0,'Données projet'!$E$9+1,1))-AVERAGE(OFFSET($H$3,0,0,'Données projet'!$E$9+1,1))</f>
        <v>508.77990078889337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297.99999999999977</v>
      </c>
      <c r="AJ163" s="14">
        <f>AI163*VLOOKUP('Données projet'!$B$10,Paramètres!$A$1:$I$89,3,0)*VLOOKUP('Données projet'!$B$10,Paramètres!$A$1:$I$89,5,0)</f>
        <v>302.1719999999998</v>
      </c>
      <c r="AK163" s="14">
        <f t="shared" si="164"/>
        <v>71.631606754643158</v>
      </c>
      <c r="AL163" s="22">
        <f t="shared" si="165"/>
        <v>651.04128176433642</v>
      </c>
      <c r="AM163" s="62">
        <f t="shared" si="113"/>
        <v>944.37461509766968</v>
      </c>
      <c r="AN163" s="62">
        <f ca="1">AVERAGE(OFFSET($AM$3,0,0,'Données projet'!$E$10+1,1))-AVERAGE(OFFSET($H$3,0,0,'Données projet'!$E$10+1,1))</f>
        <v>564.84596170333884</v>
      </c>
      <c r="AO163" s="62">
        <f t="shared" si="144"/>
        <v>306.61893266146666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-1.8089849618263545E-13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370.79299728190904</v>
      </c>
      <c r="BJ163" s="62">
        <f t="shared" si="146"/>
        <v>404.95703400805775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-1.8089849618263545E-13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370.79299728190904</v>
      </c>
      <c r="CE163" s="62">
        <f t="shared" si="148"/>
        <v>404.95703400805775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-1.7053025658242404E-13</v>
      </c>
      <c r="CU163" s="18">
        <f>CT163*VLOOKUP('Données projet'!$B$13,Paramètres!$A$1:$I$89,3,0)*VLOOKUP('Données projet'!$B$13,Paramètres!$A$1:$I$89,5,0)</f>
        <v>-1.4897523215040567E-13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339.58437495284466</v>
      </c>
      <c r="CZ163" s="62">
        <f t="shared" si="150"/>
        <v>371.26234252426531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-2.2737367544323206E-13</v>
      </c>
      <c r="DP163" s="18">
        <f>DO163*VLOOKUP('Données projet'!$B$14,Paramètres!$A$1:$I$89,3,0)*VLOOKUP('Données projet'!$B$14,Paramètres!$A$1:$I$89,5,0)</f>
        <v>-1.6671037883497774E-13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344.63665697794022</v>
      </c>
      <c r="DU163" s="62">
        <f t="shared" si="152"/>
        <v>376.72762011188041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5.4092197387944907E-14</v>
      </c>
      <c r="EL163" s="14">
        <f t="shared" si="179"/>
        <v>8.7287050538073676E-13</v>
      </c>
      <c r="EM163" s="22">
        <f t="shared" si="180"/>
        <v>1.6144600406554537E-12</v>
      </c>
      <c r="EN163" s="62">
        <f t="shared" si="128"/>
        <v>293.33333333333491</v>
      </c>
      <c r="EO163" s="62">
        <f ca="1">AVERAGE(OFFSET($EN$3,0,0,'Données projet'!$E$15+1,1))-AVERAGE(OFFSET($H$3,0,0,'Données projet'!$E$15+1,1))</f>
        <v>406.24139966722936</v>
      </c>
      <c r="EP163" s="62">
        <f t="shared" si="154"/>
        <v>295.95724296920577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297.99999999999977</v>
      </c>
      <c r="FF163" s="18">
        <f>FE163*VLOOKUP('Données projet'!$B$16,Paramètres!$A$1:$I$89,3,0)*VLOOKUP('Données projet'!$B$16,Paramètres!$A$1:$I$89,5,0)</f>
        <v>288.22559999999976</v>
      </c>
      <c r="FG163" s="14">
        <f t="shared" si="182"/>
        <v>68.702374546701833</v>
      </c>
      <c r="FH163" s="22">
        <f t="shared" si="183"/>
        <v>621.64955566883862</v>
      </c>
      <c r="FI163" s="62">
        <f t="shared" si="131"/>
        <v>914.98288900217199</v>
      </c>
      <c r="FJ163" s="62">
        <f ca="1">AVERAGE(OFFSET($FI$3,0,0,'Données projet'!$E$16+1,1))-AVERAGE(OFFSET($H$3,0,0,'Données projet'!$E$16+1,1))</f>
        <v>540.83352418045502</v>
      </c>
      <c r="FK163" s="62">
        <f t="shared" si="156"/>
        <v>294.45557293177131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1.1368683772161603E-13</v>
      </c>
      <c r="GA163" s="18">
        <f>FZ163*VLOOKUP('Données projet'!$B$17,Paramètres!$A$1:$I$89,3,0)*VLOOKUP('Données projet'!$B$17,Paramètres!$A$1:$I$89,5,0)</f>
        <v>8.8675733422860506E-14</v>
      </c>
      <c r="GB163" s="14">
        <f t="shared" si="185"/>
        <v>1.3509285393066301E-12</v>
      </c>
      <c r="GC163" s="22">
        <f t="shared" si="186"/>
        <v>2.5073107750038623E-12</v>
      </c>
      <c r="GD163" s="62">
        <f t="shared" si="134"/>
        <v>293.33333333333582</v>
      </c>
      <c r="GE163" s="62">
        <f ca="1">AVERAGE(OFFSET($GD$3,0,0,'Données projet'!$E$17+1,1))-AVERAGE(OFFSET($H$3,0,0,'Données projet'!$E$17+1,1))</f>
        <v>292.57482726862594</v>
      </c>
      <c r="GF163" s="62">
        <f t="shared" si="158"/>
        <v>283.48738729114024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3.979039320256561E-13</v>
      </c>
      <c r="GV163" s="18">
        <f>GU163*VLOOKUP('Données projet'!$B$18,Paramètres!$A$1:$I$89,3,0)*VLOOKUP('Données projet'!$B$18,Paramètres!$A$1:$I$89,5,0)</f>
        <v>2.669139576028101E-13</v>
      </c>
      <c r="GW163" s="14">
        <f t="shared" si="188"/>
        <v>3.5767923834585247E-12</v>
      </c>
      <c r="GX163" s="22">
        <f t="shared" si="189"/>
        <v>6.6944552106818241E-12</v>
      </c>
      <c r="GY163" s="62">
        <f t="shared" si="137"/>
        <v>293.33333333334002</v>
      </c>
      <c r="GZ163" s="62">
        <f ca="1">AVERAGE(OFFSET($GY$3,0,0,'Données projet'!$E$18+1,1))-AVERAGE(OFFSET($H$3,0,0,'Données projet'!$E$18+1,1))</f>
        <v>343.33067866534634</v>
      </c>
      <c r="HA163" s="62">
        <f t="shared" si="160"/>
        <v>261.91036689641402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297.99999999999977</v>
      </c>
      <c r="O164" s="14">
        <f>N164*VLOOKUP('Données projet'!$B$9,Paramètres!$A$1:$I$89,3,0)*VLOOKUP('Données projet'!$B$9,Paramètres!$A$1:$I$89,5,0)</f>
        <v>269.63039999999978</v>
      </c>
      <c r="P164" s="14">
        <f t="shared" si="141"/>
        <v>64.770824587436081</v>
      </c>
      <c r="Q164" s="22">
        <f t="shared" si="162"/>
        <v>582.41546615645075</v>
      </c>
      <c r="R164" s="62">
        <f t="shared" si="109"/>
        <v>875.74879948978401</v>
      </c>
      <c r="S164" s="62">
        <f ca="1">AVERAGE(OFFSET($R$3,0,0,'Données projet'!$E$9+1,1))-AVERAGE(OFFSET($H$3,0,0,'Données projet'!$E$9+1,1))</f>
        <v>508.77990078889337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297.99999999999977</v>
      </c>
      <c r="AJ164" s="14">
        <f>AI164*VLOOKUP('Données projet'!$B$10,Paramètres!$A$1:$I$89,3,0)*VLOOKUP('Données projet'!$B$10,Paramètres!$A$1:$I$89,5,0)</f>
        <v>302.1719999999998</v>
      </c>
      <c r="AK164" s="14">
        <f t="shared" si="164"/>
        <v>71.631606754643158</v>
      </c>
      <c r="AL164" s="22">
        <f t="shared" si="165"/>
        <v>651.04128176433642</v>
      </c>
      <c r="AM164" s="62">
        <f t="shared" si="113"/>
        <v>944.37461509766968</v>
      </c>
      <c r="AN164" s="62">
        <f ca="1">AVERAGE(OFFSET($AM$3,0,0,'Données projet'!$E$10+1,1))-AVERAGE(OFFSET($H$3,0,0,'Données projet'!$E$10+1,1))</f>
        <v>564.84596170333884</v>
      </c>
      <c r="AO164" s="62">
        <f t="shared" si="144"/>
        <v>306.61893266146666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-1.8089849618263545E-13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370.79299728190904</v>
      </c>
      <c r="BJ164" s="62">
        <f t="shared" si="146"/>
        <v>404.95703400805775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-1.8089849618263545E-13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370.79299728190904</v>
      </c>
      <c r="CE164" s="62">
        <f t="shared" si="148"/>
        <v>404.95703400805775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-1.7053025658242404E-13</v>
      </c>
      <c r="CU164" s="18">
        <f>CT164*VLOOKUP('Données projet'!$B$13,Paramètres!$A$1:$I$89,3,0)*VLOOKUP('Données projet'!$B$13,Paramètres!$A$1:$I$89,5,0)</f>
        <v>-1.4897523215040567E-13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339.58437495284466</v>
      </c>
      <c r="CZ164" s="62">
        <f t="shared" si="150"/>
        <v>371.26234252426531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-2.2737367544323206E-13</v>
      </c>
      <c r="DP164" s="18">
        <f>DO164*VLOOKUP('Données projet'!$B$14,Paramètres!$A$1:$I$89,3,0)*VLOOKUP('Données projet'!$B$14,Paramètres!$A$1:$I$89,5,0)</f>
        <v>-1.6671037883497774E-13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344.63665697794022</v>
      </c>
      <c r="DU164" s="62">
        <f t="shared" si="152"/>
        <v>376.72762011188041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5.4092197387944907E-14</v>
      </c>
      <c r="EL164" s="14">
        <f t="shared" si="179"/>
        <v>8.7287050538073676E-13</v>
      </c>
      <c r="EM164" s="22">
        <f t="shared" si="180"/>
        <v>1.6144600406554537E-12</v>
      </c>
      <c r="EN164" s="62">
        <f t="shared" si="128"/>
        <v>293.33333333333491</v>
      </c>
      <c r="EO164" s="62">
        <f ca="1">AVERAGE(OFFSET($EN$3,0,0,'Données projet'!$E$15+1,1))-AVERAGE(OFFSET($H$3,0,0,'Données projet'!$E$15+1,1))</f>
        <v>406.24139966722936</v>
      </c>
      <c r="EP164" s="62">
        <f t="shared" si="154"/>
        <v>295.95724296920577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297.99999999999977</v>
      </c>
      <c r="FF164" s="18">
        <f>FE164*VLOOKUP('Données projet'!$B$16,Paramètres!$A$1:$I$89,3,0)*VLOOKUP('Données projet'!$B$16,Paramètres!$A$1:$I$89,5,0)</f>
        <v>288.22559999999976</v>
      </c>
      <c r="FG164" s="14">
        <f t="shared" si="182"/>
        <v>68.702374546701833</v>
      </c>
      <c r="FH164" s="22">
        <f t="shared" si="183"/>
        <v>621.64955566883862</v>
      </c>
      <c r="FI164" s="62">
        <f t="shared" si="131"/>
        <v>914.98288900217199</v>
      </c>
      <c r="FJ164" s="62">
        <f ca="1">AVERAGE(OFFSET($FI$3,0,0,'Données projet'!$E$16+1,1))-AVERAGE(OFFSET($H$3,0,0,'Données projet'!$E$16+1,1))</f>
        <v>540.83352418045502</v>
      </c>
      <c r="FK164" s="62">
        <f t="shared" si="156"/>
        <v>294.45557293177131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1.1368683772161603E-13</v>
      </c>
      <c r="GA164" s="18">
        <f>FZ164*VLOOKUP('Données projet'!$B$17,Paramètres!$A$1:$I$89,3,0)*VLOOKUP('Données projet'!$B$17,Paramètres!$A$1:$I$89,5,0)</f>
        <v>8.8675733422860506E-14</v>
      </c>
      <c r="GB164" s="14">
        <f t="shared" si="185"/>
        <v>1.3509285393066301E-12</v>
      </c>
      <c r="GC164" s="22">
        <f t="shared" si="186"/>
        <v>2.5073107750038623E-12</v>
      </c>
      <c r="GD164" s="62">
        <f t="shared" si="134"/>
        <v>293.33333333333582</v>
      </c>
      <c r="GE164" s="62">
        <f ca="1">AVERAGE(OFFSET($GD$3,0,0,'Données projet'!$E$17+1,1))-AVERAGE(OFFSET($H$3,0,0,'Données projet'!$E$17+1,1))</f>
        <v>292.57482726862594</v>
      </c>
      <c r="GF164" s="62">
        <f t="shared" si="158"/>
        <v>283.48738729114024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3.979039320256561E-13</v>
      </c>
      <c r="GV164" s="18">
        <f>GU164*VLOOKUP('Données projet'!$B$18,Paramètres!$A$1:$I$89,3,0)*VLOOKUP('Données projet'!$B$18,Paramètres!$A$1:$I$89,5,0)</f>
        <v>2.669139576028101E-13</v>
      </c>
      <c r="GW164" s="14">
        <f t="shared" si="188"/>
        <v>3.5767923834585247E-12</v>
      </c>
      <c r="GX164" s="22">
        <f t="shared" si="189"/>
        <v>6.6944552106818241E-12</v>
      </c>
      <c r="GY164" s="62">
        <f t="shared" si="137"/>
        <v>293.33333333334002</v>
      </c>
      <c r="GZ164" s="62">
        <f ca="1">AVERAGE(OFFSET($GY$3,0,0,'Données projet'!$E$18+1,1))-AVERAGE(OFFSET($H$3,0,0,'Données projet'!$E$18+1,1))</f>
        <v>343.33067866534634</v>
      </c>
      <c r="HA164" s="62">
        <f t="shared" si="160"/>
        <v>261.91036689641402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297.99999999999977</v>
      </c>
      <c r="O165" s="14">
        <f>N165*VLOOKUP('Données projet'!$B$9,Paramètres!$A$1:$I$89,3,0)*VLOOKUP('Données projet'!$B$9,Paramètres!$A$1:$I$89,5,0)</f>
        <v>269.63039999999978</v>
      </c>
      <c r="P165" s="14">
        <f t="shared" si="141"/>
        <v>64.770824587436081</v>
      </c>
      <c r="Q165" s="22">
        <f t="shared" si="162"/>
        <v>582.41546615645075</v>
      </c>
      <c r="R165" s="62">
        <f t="shared" si="109"/>
        <v>875.74879948978401</v>
      </c>
      <c r="S165" s="62">
        <f ca="1">AVERAGE(OFFSET($R$3,0,0,'Données projet'!$E$9+1,1))-AVERAGE(OFFSET($H$3,0,0,'Données projet'!$E$9+1,1))</f>
        <v>508.77990078889337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297.99999999999977</v>
      </c>
      <c r="AJ165" s="14">
        <f>AI165*VLOOKUP('Données projet'!$B$10,Paramètres!$A$1:$I$89,3,0)*VLOOKUP('Données projet'!$B$10,Paramètres!$A$1:$I$89,5,0)</f>
        <v>302.1719999999998</v>
      </c>
      <c r="AK165" s="14">
        <f t="shared" si="164"/>
        <v>71.631606754643158</v>
      </c>
      <c r="AL165" s="22">
        <f t="shared" si="165"/>
        <v>651.04128176433642</v>
      </c>
      <c r="AM165" s="62">
        <f t="shared" si="113"/>
        <v>944.37461509766968</v>
      </c>
      <c r="AN165" s="62">
        <f ca="1">AVERAGE(OFFSET($AM$3,0,0,'Données projet'!$E$10+1,1))-AVERAGE(OFFSET($H$3,0,0,'Données projet'!$E$10+1,1))</f>
        <v>564.84596170333884</v>
      </c>
      <c r="AO165" s="62">
        <f t="shared" si="144"/>
        <v>306.61893266146666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-1.8089849618263545E-13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370.79299728190904</v>
      </c>
      <c r="BJ165" s="62">
        <f t="shared" si="146"/>
        <v>404.95703400805775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-1.8089849618263545E-13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370.79299728190904</v>
      </c>
      <c r="CE165" s="62">
        <f t="shared" si="148"/>
        <v>404.95703400805775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-1.7053025658242404E-13</v>
      </c>
      <c r="CU165" s="18">
        <f>CT165*VLOOKUP('Données projet'!$B$13,Paramètres!$A$1:$I$89,3,0)*VLOOKUP('Données projet'!$B$13,Paramètres!$A$1:$I$89,5,0)</f>
        <v>-1.4897523215040567E-13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339.58437495284466</v>
      </c>
      <c r="CZ165" s="62">
        <f t="shared" si="150"/>
        <v>371.26234252426531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-2.2737367544323206E-13</v>
      </c>
      <c r="DP165" s="18">
        <f>DO165*VLOOKUP('Données projet'!$B$14,Paramètres!$A$1:$I$89,3,0)*VLOOKUP('Données projet'!$B$14,Paramètres!$A$1:$I$89,5,0)</f>
        <v>-1.6671037883497774E-13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344.63665697794022</v>
      </c>
      <c r="DU165" s="62">
        <f t="shared" si="152"/>
        <v>376.72762011188041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5.4092197387944907E-14</v>
      </c>
      <c r="EL165" s="14">
        <f t="shared" si="179"/>
        <v>8.7287050538073676E-13</v>
      </c>
      <c r="EM165" s="22">
        <f t="shared" si="180"/>
        <v>1.6144600406554537E-12</v>
      </c>
      <c r="EN165" s="62">
        <f t="shared" si="128"/>
        <v>293.33333333333491</v>
      </c>
      <c r="EO165" s="62">
        <f ca="1">AVERAGE(OFFSET($EN$3,0,0,'Données projet'!$E$15+1,1))-AVERAGE(OFFSET($H$3,0,0,'Données projet'!$E$15+1,1))</f>
        <v>406.24139966722936</v>
      </c>
      <c r="EP165" s="62">
        <f t="shared" si="154"/>
        <v>295.95724296920577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297.99999999999977</v>
      </c>
      <c r="FF165" s="18">
        <f>FE165*VLOOKUP('Données projet'!$B$16,Paramètres!$A$1:$I$89,3,0)*VLOOKUP('Données projet'!$B$16,Paramètres!$A$1:$I$89,5,0)</f>
        <v>288.22559999999976</v>
      </c>
      <c r="FG165" s="14">
        <f t="shared" si="182"/>
        <v>68.702374546701833</v>
      </c>
      <c r="FH165" s="22">
        <f t="shared" si="183"/>
        <v>621.64955566883862</v>
      </c>
      <c r="FI165" s="62">
        <f t="shared" si="131"/>
        <v>914.98288900217199</v>
      </c>
      <c r="FJ165" s="62">
        <f ca="1">AVERAGE(OFFSET($FI$3,0,0,'Données projet'!$E$16+1,1))-AVERAGE(OFFSET($H$3,0,0,'Données projet'!$E$16+1,1))</f>
        <v>540.83352418045502</v>
      </c>
      <c r="FK165" s="62">
        <f t="shared" si="156"/>
        <v>294.45557293177131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1.1368683772161603E-13</v>
      </c>
      <c r="GA165" s="18">
        <f>FZ165*VLOOKUP('Données projet'!$B$17,Paramètres!$A$1:$I$89,3,0)*VLOOKUP('Données projet'!$B$17,Paramètres!$A$1:$I$89,5,0)</f>
        <v>8.8675733422860506E-14</v>
      </c>
      <c r="GB165" s="14">
        <f t="shared" si="185"/>
        <v>1.3509285393066301E-12</v>
      </c>
      <c r="GC165" s="22">
        <f t="shared" si="186"/>
        <v>2.5073107750038623E-12</v>
      </c>
      <c r="GD165" s="62">
        <f t="shared" si="134"/>
        <v>293.33333333333582</v>
      </c>
      <c r="GE165" s="62">
        <f ca="1">AVERAGE(OFFSET($GD$3,0,0,'Données projet'!$E$17+1,1))-AVERAGE(OFFSET($H$3,0,0,'Données projet'!$E$17+1,1))</f>
        <v>292.57482726862594</v>
      </c>
      <c r="GF165" s="62">
        <f t="shared" si="158"/>
        <v>283.48738729114024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3.979039320256561E-13</v>
      </c>
      <c r="GV165" s="18">
        <f>GU165*VLOOKUP('Données projet'!$B$18,Paramètres!$A$1:$I$89,3,0)*VLOOKUP('Données projet'!$B$18,Paramètres!$A$1:$I$89,5,0)</f>
        <v>2.669139576028101E-13</v>
      </c>
      <c r="GW165" s="14">
        <f t="shared" si="188"/>
        <v>3.5767923834585247E-12</v>
      </c>
      <c r="GX165" s="22">
        <f t="shared" si="189"/>
        <v>6.6944552106818241E-12</v>
      </c>
      <c r="GY165" s="62">
        <f t="shared" si="137"/>
        <v>293.33333333334002</v>
      </c>
      <c r="GZ165" s="62">
        <f ca="1">AVERAGE(OFFSET($GY$3,0,0,'Données projet'!$E$18+1,1))-AVERAGE(OFFSET($H$3,0,0,'Données projet'!$E$18+1,1))</f>
        <v>343.33067866534634</v>
      </c>
      <c r="HA165" s="62">
        <f t="shared" si="160"/>
        <v>261.91036689641402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297.99999999999977</v>
      </c>
      <c r="O166" s="14">
        <f>N166*VLOOKUP('Données projet'!$B$9,Paramètres!$A$1:$I$89,3,0)*VLOOKUP('Données projet'!$B$9,Paramètres!$A$1:$I$89,5,0)</f>
        <v>269.63039999999978</v>
      </c>
      <c r="P166" s="14">
        <f t="shared" si="141"/>
        <v>64.770824587436081</v>
      </c>
      <c r="Q166" s="22">
        <f t="shared" si="162"/>
        <v>582.41546615645075</v>
      </c>
      <c r="R166" s="62">
        <f t="shared" si="109"/>
        <v>875.74879948978401</v>
      </c>
      <c r="S166" s="62">
        <f ca="1">AVERAGE(OFFSET($R$3,0,0,'Données projet'!$E$9+1,1))-AVERAGE(OFFSET($H$3,0,0,'Données projet'!$E$9+1,1))</f>
        <v>508.77990078889337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297.99999999999977</v>
      </c>
      <c r="AJ166" s="14">
        <f>AI166*VLOOKUP('Données projet'!$B$10,Paramètres!$A$1:$I$89,3,0)*VLOOKUP('Données projet'!$B$10,Paramètres!$A$1:$I$89,5,0)</f>
        <v>302.1719999999998</v>
      </c>
      <c r="AK166" s="14">
        <f t="shared" si="164"/>
        <v>71.631606754643158</v>
      </c>
      <c r="AL166" s="22">
        <f t="shared" si="165"/>
        <v>651.04128176433642</v>
      </c>
      <c r="AM166" s="62">
        <f t="shared" si="113"/>
        <v>944.37461509766968</v>
      </c>
      <c r="AN166" s="62">
        <f ca="1">AVERAGE(OFFSET($AM$3,0,0,'Données projet'!$E$10+1,1))-AVERAGE(OFFSET($H$3,0,0,'Données projet'!$E$10+1,1))</f>
        <v>564.84596170333884</v>
      </c>
      <c r="AO166" s="62">
        <f t="shared" si="144"/>
        <v>306.61893266146666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-1.8089849618263545E-13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370.79299728190904</v>
      </c>
      <c r="BJ166" s="62">
        <f t="shared" si="146"/>
        <v>404.95703400805775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-1.8089849618263545E-13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370.79299728190904</v>
      </c>
      <c r="CE166" s="62">
        <f t="shared" si="148"/>
        <v>404.95703400805775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-1.7053025658242404E-13</v>
      </c>
      <c r="CU166" s="18">
        <f>CT166*VLOOKUP('Données projet'!$B$13,Paramètres!$A$1:$I$89,3,0)*VLOOKUP('Données projet'!$B$13,Paramètres!$A$1:$I$89,5,0)</f>
        <v>-1.4897523215040567E-13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339.58437495284466</v>
      </c>
      <c r="CZ166" s="62">
        <f t="shared" si="150"/>
        <v>371.26234252426531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-2.2737367544323206E-13</v>
      </c>
      <c r="DP166" s="18">
        <f>DO166*VLOOKUP('Données projet'!$B$14,Paramètres!$A$1:$I$89,3,0)*VLOOKUP('Données projet'!$B$14,Paramètres!$A$1:$I$89,5,0)</f>
        <v>-1.6671037883497774E-13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344.63665697794022</v>
      </c>
      <c r="DU166" s="62">
        <f t="shared" si="152"/>
        <v>376.72762011188041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5.4092197387944907E-14</v>
      </c>
      <c r="EL166" s="14">
        <f t="shared" si="179"/>
        <v>8.7287050538073676E-13</v>
      </c>
      <c r="EM166" s="22">
        <f t="shared" si="180"/>
        <v>1.6144600406554537E-12</v>
      </c>
      <c r="EN166" s="62">
        <f t="shared" si="128"/>
        <v>293.33333333333491</v>
      </c>
      <c r="EO166" s="62">
        <f ca="1">AVERAGE(OFFSET($EN$3,0,0,'Données projet'!$E$15+1,1))-AVERAGE(OFFSET($H$3,0,0,'Données projet'!$E$15+1,1))</f>
        <v>406.24139966722936</v>
      </c>
      <c r="EP166" s="62">
        <f t="shared" si="154"/>
        <v>295.95724296920577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297.99999999999977</v>
      </c>
      <c r="FF166" s="18">
        <f>FE166*VLOOKUP('Données projet'!$B$16,Paramètres!$A$1:$I$89,3,0)*VLOOKUP('Données projet'!$B$16,Paramètres!$A$1:$I$89,5,0)</f>
        <v>288.22559999999976</v>
      </c>
      <c r="FG166" s="14">
        <f t="shared" si="182"/>
        <v>68.702374546701833</v>
      </c>
      <c r="FH166" s="22">
        <f t="shared" si="183"/>
        <v>621.64955566883862</v>
      </c>
      <c r="FI166" s="62">
        <f t="shared" si="131"/>
        <v>914.98288900217199</v>
      </c>
      <c r="FJ166" s="62">
        <f ca="1">AVERAGE(OFFSET($FI$3,0,0,'Données projet'!$E$16+1,1))-AVERAGE(OFFSET($H$3,0,0,'Données projet'!$E$16+1,1))</f>
        <v>540.83352418045502</v>
      </c>
      <c r="FK166" s="62">
        <f t="shared" si="156"/>
        <v>294.45557293177131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1.1368683772161603E-13</v>
      </c>
      <c r="GA166" s="18">
        <f>FZ166*VLOOKUP('Données projet'!$B$17,Paramètres!$A$1:$I$89,3,0)*VLOOKUP('Données projet'!$B$17,Paramètres!$A$1:$I$89,5,0)</f>
        <v>8.8675733422860506E-14</v>
      </c>
      <c r="GB166" s="14">
        <f t="shared" si="185"/>
        <v>1.3509285393066301E-12</v>
      </c>
      <c r="GC166" s="22">
        <f t="shared" si="186"/>
        <v>2.5073107750038623E-12</v>
      </c>
      <c r="GD166" s="62">
        <f t="shared" si="134"/>
        <v>293.33333333333582</v>
      </c>
      <c r="GE166" s="62">
        <f ca="1">AVERAGE(OFFSET($GD$3,0,0,'Données projet'!$E$17+1,1))-AVERAGE(OFFSET($H$3,0,0,'Données projet'!$E$17+1,1))</f>
        <v>292.57482726862594</v>
      </c>
      <c r="GF166" s="62">
        <f t="shared" si="158"/>
        <v>283.48738729114024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3.979039320256561E-13</v>
      </c>
      <c r="GV166" s="18">
        <f>GU166*VLOOKUP('Données projet'!$B$18,Paramètres!$A$1:$I$89,3,0)*VLOOKUP('Données projet'!$B$18,Paramètres!$A$1:$I$89,5,0)</f>
        <v>2.669139576028101E-13</v>
      </c>
      <c r="GW166" s="14">
        <f t="shared" si="188"/>
        <v>3.5767923834585247E-12</v>
      </c>
      <c r="GX166" s="22">
        <f t="shared" si="189"/>
        <v>6.6944552106818241E-12</v>
      </c>
      <c r="GY166" s="62">
        <f t="shared" si="137"/>
        <v>293.33333333334002</v>
      </c>
      <c r="GZ166" s="62">
        <f ca="1">AVERAGE(OFFSET($GY$3,0,0,'Données projet'!$E$18+1,1))-AVERAGE(OFFSET($H$3,0,0,'Données projet'!$E$18+1,1))</f>
        <v>343.33067866534634</v>
      </c>
      <c r="HA166" s="62">
        <f t="shared" si="160"/>
        <v>261.91036689641402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297.99999999999977</v>
      </c>
      <c r="O167" s="14">
        <f>N167*VLOOKUP('Données projet'!$B$9,Paramètres!$A$1:$I$89,3,0)*VLOOKUP('Données projet'!$B$9,Paramètres!$A$1:$I$89,5,0)</f>
        <v>269.63039999999978</v>
      </c>
      <c r="P167" s="14">
        <f t="shared" si="141"/>
        <v>64.770824587436081</v>
      </c>
      <c r="Q167" s="22">
        <f t="shared" si="162"/>
        <v>582.41546615645075</v>
      </c>
      <c r="R167" s="62">
        <f t="shared" si="109"/>
        <v>875.74879948978401</v>
      </c>
      <c r="S167" s="62">
        <f ca="1">AVERAGE(OFFSET($R$3,0,0,'Données projet'!$E$9+1,1))-AVERAGE(OFFSET($H$3,0,0,'Données projet'!$E$9+1,1))</f>
        <v>508.77990078889337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297.99999999999977</v>
      </c>
      <c r="AJ167" s="14">
        <f>AI167*VLOOKUP('Données projet'!$B$10,Paramètres!$A$1:$I$89,3,0)*VLOOKUP('Données projet'!$B$10,Paramètres!$A$1:$I$89,5,0)</f>
        <v>302.1719999999998</v>
      </c>
      <c r="AK167" s="14">
        <f t="shared" si="164"/>
        <v>71.631606754643158</v>
      </c>
      <c r="AL167" s="22">
        <f t="shared" si="165"/>
        <v>651.04128176433642</v>
      </c>
      <c r="AM167" s="62">
        <f t="shared" si="113"/>
        <v>944.37461509766968</v>
      </c>
      <c r="AN167" s="62">
        <f ca="1">AVERAGE(OFFSET($AM$3,0,0,'Données projet'!$E$10+1,1))-AVERAGE(OFFSET($H$3,0,0,'Données projet'!$E$10+1,1))</f>
        <v>564.84596170333884</v>
      </c>
      <c r="AO167" s="62">
        <f t="shared" si="144"/>
        <v>306.61893266146666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-1.8089849618263545E-13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370.79299728190904</v>
      </c>
      <c r="BJ167" s="62">
        <f t="shared" si="146"/>
        <v>404.95703400805775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-1.8089849618263545E-13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370.79299728190904</v>
      </c>
      <c r="CE167" s="62">
        <f t="shared" si="148"/>
        <v>404.95703400805775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-1.7053025658242404E-13</v>
      </c>
      <c r="CU167" s="18">
        <f>CT167*VLOOKUP('Données projet'!$B$13,Paramètres!$A$1:$I$89,3,0)*VLOOKUP('Données projet'!$B$13,Paramètres!$A$1:$I$89,5,0)</f>
        <v>-1.4897523215040567E-13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339.58437495284466</v>
      </c>
      <c r="CZ167" s="62">
        <f t="shared" si="150"/>
        <v>371.26234252426531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-2.2737367544323206E-13</v>
      </c>
      <c r="DP167" s="18">
        <f>DO167*VLOOKUP('Données projet'!$B$14,Paramètres!$A$1:$I$89,3,0)*VLOOKUP('Données projet'!$B$14,Paramètres!$A$1:$I$89,5,0)</f>
        <v>-1.6671037883497774E-13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344.63665697794022</v>
      </c>
      <c r="DU167" s="62">
        <f t="shared" si="152"/>
        <v>376.72762011188041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5.4092197387944907E-14</v>
      </c>
      <c r="EL167" s="14">
        <f t="shared" si="179"/>
        <v>8.7287050538073676E-13</v>
      </c>
      <c r="EM167" s="22">
        <f t="shared" si="180"/>
        <v>1.6144600406554537E-12</v>
      </c>
      <c r="EN167" s="62">
        <f t="shared" si="128"/>
        <v>293.33333333333491</v>
      </c>
      <c r="EO167" s="62">
        <f ca="1">AVERAGE(OFFSET($EN$3,0,0,'Données projet'!$E$15+1,1))-AVERAGE(OFFSET($H$3,0,0,'Données projet'!$E$15+1,1))</f>
        <v>406.24139966722936</v>
      </c>
      <c r="EP167" s="62">
        <f t="shared" si="154"/>
        <v>295.95724296920577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297.99999999999977</v>
      </c>
      <c r="FF167" s="18">
        <f>FE167*VLOOKUP('Données projet'!$B$16,Paramètres!$A$1:$I$89,3,0)*VLOOKUP('Données projet'!$B$16,Paramètres!$A$1:$I$89,5,0)</f>
        <v>288.22559999999976</v>
      </c>
      <c r="FG167" s="14">
        <f t="shared" si="182"/>
        <v>68.702374546701833</v>
      </c>
      <c r="FH167" s="22">
        <f t="shared" si="183"/>
        <v>621.64955566883862</v>
      </c>
      <c r="FI167" s="62">
        <f t="shared" si="131"/>
        <v>914.98288900217199</v>
      </c>
      <c r="FJ167" s="62">
        <f ca="1">AVERAGE(OFFSET($FI$3,0,0,'Données projet'!$E$16+1,1))-AVERAGE(OFFSET($H$3,0,0,'Données projet'!$E$16+1,1))</f>
        <v>540.83352418045502</v>
      </c>
      <c r="FK167" s="62">
        <f t="shared" si="156"/>
        <v>294.45557293177131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1.1368683772161603E-13</v>
      </c>
      <c r="GA167" s="18">
        <f>FZ167*VLOOKUP('Données projet'!$B$17,Paramètres!$A$1:$I$89,3,0)*VLOOKUP('Données projet'!$B$17,Paramètres!$A$1:$I$89,5,0)</f>
        <v>8.8675733422860506E-14</v>
      </c>
      <c r="GB167" s="14">
        <f t="shared" si="185"/>
        <v>1.3509285393066301E-12</v>
      </c>
      <c r="GC167" s="22">
        <f t="shared" si="186"/>
        <v>2.5073107750038623E-12</v>
      </c>
      <c r="GD167" s="62">
        <f t="shared" si="134"/>
        <v>293.33333333333582</v>
      </c>
      <c r="GE167" s="62">
        <f ca="1">AVERAGE(OFFSET($GD$3,0,0,'Données projet'!$E$17+1,1))-AVERAGE(OFFSET($H$3,0,0,'Données projet'!$E$17+1,1))</f>
        <v>292.57482726862594</v>
      </c>
      <c r="GF167" s="62">
        <f t="shared" si="158"/>
        <v>283.48738729114024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3.979039320256561E-13</v>
      </c>
      <c r="GV167" s="18">
        <f>GU167*VLOOKUP('Données projet'!$B$18,Paramètres!$A$1:$I$89,3,0)*VLOOKUP('Données projet'!$B$18,Paramètres!$A$1:$I$89,5,0)</f>
        <v>2.669139576028101E-13</v>
      </c>
      <c r="GW167" s="14">
        <f t="shared" si="188"/>
        <v>3.5767923834585247E-12</v>
      </c>
      <c r="GX167" s="22">
        <f t="shared" si="189"/>
        <v>6.6944552106818241E-12</v>
      </c>
      <c r="GY167" s="62">
        <f t="shared" si="137"/>
        <v>293.33333333334002</v>
      </c>
      <c r="GZ167" s="62">
        <f ca="1">AVERAGE(OFFSET($GY$3,0,0,'Données projet'!$E$18+1,1))-AVERAGE(OFFSET($H$3,0,0,'Données projet'!$E$18+1,1))</f>
        <v>343.33067866534634</v>
      </c>
      <c r="HA167" s="62">
        <f t="shared" si="160"/>
        <v>261.91036689641402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297.99999999999977</v>
      </c>
      <c r="O168" s="14">
        <f>N168*VLOOKUP('Données projet'!$B$9,Paramètres!$A$1:$I$89,3,0)*VLOOKUP('Données projet'!$B$9,Paramètres!$A$1:$I$89,5,0)</f>
        <v>269.63039999999978</v>
      </c>
      <c r="P168" s="14">
        <f t="shared" si="141"/>
        <v>64.770824587436081</v>
      </c>
      <c r="Q168" s="22">
        <f t="shared" si="162"/>
        <v>582.41546615645075</v>
      </c>
      <c r="R168" s="62">
        <f t="shared" si="109"/>
        <v>875.74879948978401</v>
      </c>
      <c r="S168" s="62">
        <f ca="1">AVERAGE(OFFSET($R$3,0,0,'Données projet'!$E$9+1,1))-AVERAGE(OFFSET($H$3,0,0,'Données projet'!$E$9+1,1))</f>
        <v>508.77990078889337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297.99999999999977</v>
      </c>
      <c r="AJ168" s="14">
        <f>AI168*VLOOKUP('Données projet'!$B$10,Paramètres!$A$1:$I$89,3,0)*VLOOKUP('Données projet'!$B$10,Paramètres!$A$1:$I$89,5,0)</f>
        <v>302.1719999999998</v>
      </c>
      <c r="AK168" s="14">
        <f t="shared" si="164"/>
        <v>71.631606754643158</v>
      </c>
      <c r="AL168" s="22">
        <f t="shared" si="165"/>
        <v>651.04128176433642</v>
      </c>
      <c r="AM168" s="62">
        <f t="shared" si="113"/>
        <v>944.37461509766968</v>
      </c>
      <c r="AN168" s="62">
        <f ca="1">AVERAGE(OFFSET($AM$3,0,0,'Données projet'!$E$10+1,1))-AVERAGE(OFFSET($H$3,0,0,'Données projet'!$E$10+1,1))</f>
        <v>564.84596170333884</v>
      </c>
      <c r="AO168" s="62">
        <f t="shared" si="144"/>
        <v>306.61893266146666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-1.8089849618263545E-13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370.79299728190904</v>
      </c>
      <c r="BJ168" s="62">
        <f t="shared" si="146"/>
        <v>404.95703400805775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-1.8089849618263545E-13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370.79299728190904</v>
      </c>
      <c r="CE168" s="62">
        <f t="shared" si="148"/>
        <v>404.95703400805775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-1.7053025658242404E-13</v>
      </c>
      <c r="CU168" s="18">
        <f>CT168*VLOOKUP('Données projet'!$B$13,Paramètres!$A$1:$I$89,3,0)*VLOOKUP('Données projet'!$B$13,Paramètres!$A$1:$I$89,5,0)</f>
        <v>-1.4897523215040567E-13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339.58437495284466</v>
      </c>
      <c r="CZ168" s="62">
        <f t="shared" si="150"/>
        <v>371.26234252426531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-2.2737367544323206E-13</v>
      </c>
      <c r="DP168" s="18">
        <f>DO168*VLOOKUP('Données projet'!$B$14,Paramètres!$A$1:$I$89,3,0)*VLOOKUP('Données projet'!$B$14,Paramètres!$A$1:$I$89,5,0)</f>
        <v>-1.6671037883497774E-13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344.63665697794022</v>
      </c>
      <c r="DU168" s="62">
        <f t="shared" si="152"/>
        <v>376.72762011188041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5.4092197387944907E-14</v>
      </c>
      <c r="EL168" s="14">
        <f t="shared" si="179"/>
        <v>8.7287050538073676E-13</v>
      </c>
      <c r="EM168" s="22">
        <f t="shared" si="180"/>
        <v>1.6144600406554537E-12</v>
      </c>
      <c r="EN168" s="62">
        <f t="shared" si="128"/>
        <v>293.33333333333491</v>
      </c>
      <c r="EO168" s="62">
        <f ca="1">AVERAGE(OFFSET($EN$3,0,0,'Données projet'!$E$15+1,1))-AVERAGE(OFFSET($H$3,0,0,'Données projet'!$E$15+1,1))</f>
        <v>406.24139966722936</v>
      </c>
      <c r="EP168" s="62">
        <f t="shared" si="154"/>
        <v>295.95724296920577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297.99999999999977</v>
      </c>
      <c r="FF168" s="18">
        <f>FE168*VLOOKUP('Données projet'!$B$16,Paramètres!$A$1:$I$89,3,0)*VLOOKUP('Données projet'!$B$16,Paramètres!$A$1:$I$89,5,0)</f>
        <v>288.22559999999976</v>
      </c>
      <c r="FG168" s="14">
        <f t="shared" si="182"/>
        <v>68.702374546701833</v>
      </c>
      <c r="FH168" s="22">
        <f t="shared" si="183"/>
        <v>621.64955566883862</v>
      </c>
      <c r="FI168" s="62">
        <f t="shared" si="131"/>
        <v>914.98288900217199</v>
      </c>
      <c r="FJ168" s="62">
        <f ca="1">AVERAGE(OFFSET($FI$3,0,0,'Données projet'!$E$16+1,1))-AVERAGE(OFFSET($H$3,0,0,'Données projet'!$E$16+1,1))</f>
        <v>540.83352418045502</v>
      </c>
      <c r="FK168" s="62">
        <f t="shared" si="156"/>
        <v>294.45557293177131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1.1368683772161603E-13</v>
      </c>
      <c r="GA168" s="18">
        <f>FZ168*VLOOKUP('Données projet'!$B$17,Paramètres!$A$1:$I$89,3,0)*VLOOKUP('Données projet'!$B$17,Paramètres!$A$1:$I$89,5,0)</f>
        <v>8.8675733422860506E-14</v>
      </c>
      <c r="GB168" s="14">
        <f t="shared" si="185"/>
        <v>1.3509285393066301E-12</v>
      </c>
      <c r="GC168" s="22">
        <f t="shared" si="186"/>
        <v>2.5073107750038623E-12</v>
      </c>
      <c r="GD168" s="62">
        <f t="shared" si="134"/>
        <v>293.33333333333582</v>
      </c>
      <c r="GE168" s="62">
        <f ca="1">AVERAGE(OFFSET($GD$3,0,0,'Données projet'!$E$17+1,1))-AVERAGE(OFFSET($H$3,0,0,'Données projet'!$E$17+1,1))</f>
        <v>292.57482726862594</v>
      </c>
      <c r="GF168" s="62">
        <f t="shared" si="158"/>
        <v>283.48738729114024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3.979039320256561E-13</v>
      </c>
      <c r="GV168" s="18">
        <f>GU168*VLOOKUP('Données projet'!$B$18,Paramètres!$A$1:$I$89,3,0)*VLOOKUP('Données projet'!$B$18,Paramètres!$A$1:$I$89,5,0)</f>
        <v>2.669139576028101E-13</v>
      </c>
      <c r="GW168" s="14">
        <f t="shared" si="188"/>
        <v>3.5767923834585247E-12</v>
      </c>
      <c r="GX168" s="22">
        <f t="shared" si="189"/>
        <v>6.6944552106818241E-12</v>
      </c>
      <c r="GY168" s="62">
        <f t="shared" si="137"/>
        <v>293.33333333334002</v>
      </c>
      <c r="GZ168" s="62">
        <f ca="1">AVERAGE(OFFSET($GY$3,0,0,'Données projet'!$E$18+1,1))-AVERAGE(OFFSET($H$3,0,0,'Données projet'!$E$18+1,1))</f>
        <v>343.33067866534634</v>
      </c>
      <c r="HA168" s="62">
        <f t="shared" si="160"/>
        <v>261.91036689641402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297.99999999999977</v>
      </c>
      <c r="O169" s="14">
        <f>N169*VLOOKUP('Données projet'!$B$9,Paramètres!$A$1:$I$89,3,0)*VLOOKUP('Données projet'!$B$9,Paramètres!$A$1:$I$89,5,0)</f>
        <v>269.63039999999978</v>
      </c>
      <c r="P169" s="14">
        <f t="shared" si="141"/>
        <v>64.770824587436081</v>
      </c>
      <c r="Q169" s="22">
        <f t="shared" si="162"/>
        <v>582.41546615645075</v>
      </c>
      <c r="R169" s="62">
        <f t="shared" si="109"/>
        <v>875.74879948978401</v>
      </c>
      <c r="S169" s="62">
        <f ca="1">AVERAGE(OFFSET($R$3,0,0,'Données projet'!$E$9+1,1))-AVERAGE(OFFSET($H$3,0,0,'Données projet'!$E$9+1,1))</f>
        <v>508.77990078889337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297.99999999999977</v>
      </c>
      <c r="AJ169" s="14">
        <f>AI169*VLOOKUP('Données projet'!$B$10,Paramètres!$A$1:$I$89,3,0)*VLOOKUP('Données projet'!$B$10,Paramètres!$A$1:$I$89,5,0)</f>
        <v>302.1719999999998</v>
      </c>
      <c r="AK169" s="14">
        <f t="shared" si="164"/>
        <v>71.631606754643158</v>
      </c>
      <c r="AL169" s="22">
        <f t="shared" si="165"/>
        <v>651.04128176433642</v>
      </c>
      <c r="AM169" s="62">
        <f t="shared" si="113"/>
        <v>944.37461509766968</v>
      </c>
      <c r="AN169" s="62">
        <f ca="1">AVERAGE(OFFSET($AM$3,0,0,'Données projet'!$E$10+1,1))-AVERAGE(OFFSET($H$3,0,0,'Données projet'!$E$10+1,1))</f>
        <v>564.84596170333884</v>
      </c>
      <c r="AO169" s="62">
        <f t="shared" si="144"/>
        <v>306.61893266146666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-1.8089849618263545E-13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370.79299728190904</v>
      </c>
      <c r="BJ169" s="62">
        <f t="shared" si="146"/>
        <v>404.95703400805775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-1.8089849618263545E-13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370.79299728190904</v>
      </c>
      <c r="CE169" s="62">
        <f t="shared" si="148"/>
        <v>404.95703400805775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-1.7053025658242404E-13</v>
      </c>
      <c r="CU169" s="18">
        <f>CT169*VLOOKUP('Données projet'!$B$13,Paramètres!$A$1:$I$89,3,0)*VLOOKUP('Données projet'!$B$13,Paramètres!$A$1:$I$89,5,0)</f>
        <v>-1.4897523215040567E-13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339.58437495284466</v>
      </c>
      <c r="CZ169" s="62">
        <f t="shared" si="150"/>
        <v>371.26234252426531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-2.2737367544323206E-13</v>
      </c>
      <c r="DP169" s="18">
        <f>DO169*VLOOKUP('Données projet'!$B$14,Paramètres!$A$1:$I$89,3,0)*VLOOKUP('Données projet'!$B$14,Paramètres!$A$1:$I$89,5,0)</f>
        <v>-1.6671037883497774E-13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344.63665697794022</v>
      </c>
      <c r="DU169" s="62">
        <f t="shared" si="152"/>
        <v>376.72762011188041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5.4092197387944907E-14</v>
      </c>
      <c r="EL169" s="14">
        <f t="shared" si="179"/>
        <v>8.7287050538073676E-13</v>
      </c>
      <c r="EM169" s="22">
        <f t="shared" si="180"/>
        <v>1.6144600406554537E-12</v>
      </c>
      <c r="EN169" s="62">
        <f t="shared" si="128"/>
        <v>293.33333333333491</v>
      </c>
      <c r="EO169" s="62">
        <f ca="1">AVERAGE(OFFSET($EN$3,0,0,'Données projet'!$E$15+1,1))-AVERAGE(OFFSET($H$3,0,0,'Données projet'!$E$15+1,1))</f>
        <v>406.24139966722936</v>
      </c>
      <c r="EP169" s="62">
        <f t="shared" si="154"/>
        <v>295.95724296920577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297.99999999999977</v>
      </c>
      <c r="FF169" s="18">
        <f>FE169*VLOOKUP('Données projet'!$B$16,Paramètres!$A$1:$I$89,3,0)*VLOOKUP('Données projet'!$B$16,Paramètres!$A$1:$I$89,5,0)</f>
        <v>288.22559999999976</v>
      </c>
      <c r="FG169" s="14">
        <f t="shared" si="182"/>
        <v>68.702374546701833</v>
      </c>
      <c r="FH169" s="22">
        <f t="shared" si="183"/>
        <v>621.64955566883862</v>
      </c>
      <c r="FI169" s="62">
        <f t="shared" si="131"/>
        <v>914.98288900217199</v>
      </c>
      <c r="FJ169" s="62">
        <f ca="1">AVERAGE(OFFSET($FI$3,0,0,'Données projet'!$E$16+1,1))-AVERAGE(OFFSET($H$3,0,0,'Données projet'!$E$16+1,1))</f>
        <v>540.83352418045502</v>
      </c>
      <c r="FK169" s="62">
        <f t="shared" si="156"/>
        <v>294.45557293177131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1.1368683772161603E-13</v>
      </c>
      <c r="GA169" s="18">
        <f>FZ169*VLOOKUP('Données projet'!$B$17,Paramètres!$A$1:$I$89,3,0)*VLOOKUP('Données projet'!$B$17,Paramètres!$A$1:$I$89,5,0)</f>
        <v>8.8675733422860506E-14</v>
      </c>
      <c r="GB169" s="14">
        <f t="shared" si="185"/>
        <v>1.3509285393066301E-12</v>
      </c>
      <c r="GC169" s="22">
        <f t="shared" si="186"/>
        <v>2.5073107750038623E-12</v>
      </c>
      <c r="GD169" s="62">
        <f t="shared" si="134"/>
        <v>293.33333333333582</v>
      </c>
      <c r="GE169" s="62">
        <f ca="1">AVERAGE(OFFSET($GD$3,0,0,'Données projet'!$E$17+1,1))-AVERAGE(OFFSET($H$3,0,0,'Données projet'!$E$17+1,1))</f>
        <v>292.57482726862594</v>
      </c>
      <c r="GF169" s="62">
        <f t="shared" si="158"/>
        <v>283.48738729114024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3.979039320256561E-13</v>
      </c>
      <c r="GV169" s="18">
        <f>GU169*VLOOKUP('Données projet'!$B$18,Paramètres!$A$1:$I$89,3,0)*VLOOKUP('Données projet'!$B$18,Paramètres!$A$1:$I$89,5,0)</f>
        <v>2.669139576028101E-13</v>
      </c>
      <c r="GW169" s="14">
        <f t="shared" si="188"/>
        <v>3.5767923834585247E-12</v>
      </c>
      <c r="GX169" s="22">
        <f t="shared" si="189"/>
        <v>6.6944552106818241E-12</v>
      </c>
      <c r="GY169" s="62">
        <f t="shared" si="137"/>
        <v>293.33333333334002</v>
      </c>
      <c r="GZ169" s="62">
        <f ca="1">AVERAGE(OFFSET($GY$3,0,0,'Données projet'!$E$18+1,1))-AVERAGE(OFFSET($H$3,0,0,'Données projet'!$E$18+1,1))</f>
        <v>343.33067866534634</v>
      </c>
      <c r="HA169" s="62">
        <f t="shared" si="160"/>
        <v>261.91036689641402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297.99999999999977</v>
      </c>
      <c r="O170" s="14">
        <f>N170*VLOOKUP('Données projet'!$B$9,Paramètres!$A$1:$I$89,3,0)*VLOOKUP('Données projet'!$B$9,Paramètres!$A$1:$I$89,5,0)</f>
        <v>269.63039999999978</v>
      </c>
      <c r="P170" s="14">
        <f t="shared" si="141"/>
        <v>64.770824587436081</v>
      </c>
      <c r="Q170" s="22">
        <f t="shared" si="162"/>
        <v>582.41546615645075</v>
      </c>
      <c r="R170" s="62">
        <f t="shared" si="109"/>
        <v>875.74879948978401</v>
      </c>
      <c r="S170" s="62">
        <f ca="1">AVERAGE(OFFSET($R$3,0,0,'Données projet'!$E$9+1,1))-AVERAGE(OFFSET($H$3,0,0,'Données projet'!$E$9+1,1))</f>
        <v>508.77990078889337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297.99999999999977</v>
      </c>
      <c r="AJ170" s="14">
        <f>AI170*VLOOKUP('Données projet'!$B$10,Paramètres!$A$1:$I$89,3,0)*VLOOKUP('Données projet'!$B$10,Paramètres!$A$1:$I$89,5,0)</f>
        <v>302.1719999999998</v>
      </c>
      <c r="AK170" s="14">
        <f t="shared" si="164"/>
        <v>71.631606754643158</v>
      </c>
      <c r="AL170" s="22">
        <f t="shared" si="165"/>
        <v>651.04128176433642</v>
      </c>
      <c r="AM170" s="62">
        <f t="shared" si="113"/>
        <v>944.37461509766968</v>
      </c>
      <c r="AN170" s="62">
        <f ca="1">AVERAGE(OFFSET($AM$3,0,0,'Données projet'!$E$10+1,1))-AVERAGE(OFFSET($H$3,0,0,'Données projet'!$E$10+1,1))</f>
        <v>564.84596170333884</v>
      </c>
      <c r="AO170" s="62">
        <f t="shared" si="144"/>
        <v>306.61893266146666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-1.8089849618263545E-13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370.79299728190904</v>
      </c>
      <c r="BJ170" s="62">
        <f t="shared" si="146"/>
        <v>404.95703400805775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-1.8089849618263545E-13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370.79299728190904</v>
      </c>
      <c r="CE170" s="62">
        <f t="shared" si="148"/>
        <v>404.95703400805775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-1.7053025658242404E-13</v>
      </c>
      <c r="CU170" s="18">
        <f>CT170*VLOOKUP('Données projet'!$B$13,Paramètres!$A$1:$I$89,3,0)*VLOOKUP('Données projet'!$B$13,Paramètres!$A$1:$I$89,5,0)</f>
        <v>-1.4897523215040567E-13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339.58437495284466</v>
      </c>
      <c r="CZ170" s="62">
        <f t="shared" si="150"/>
        <v>371.26234252426531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-2.2737367544323206E-13</v>
      </c>
      <c r="DP170" s="18">
        <f>DO170*VLOOKUP('Données projet'!$B$14,Paramètres!$A$1:$I$89,3,0)*VLOOKUP('Données projet'!$B$14,Paramètres!$A$1:$I$89,5,0)</f>
        <v>-1.6671037883497774E-13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344.63665697794022</v>
      </c>
      <c r="DU170" s="62">
        <f t="shared" si="152"/>
        <v>376.72762011188041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5.4092197387944907E-14</v>
      </c>
      <c r="EL170" s="14">
        <f t="shared" si="179"/>
        <v>8.7287050538073676E-13</v>
      </c>
      <c r="EM170" s="22">
        <f t="shared" si="180"/>
        <v>1.6144600406554537E-12</v>
      </c>
      <c r="EN170" s="62">
        <f t="shared" si="128"/>
        <v>293.33333333333491</v>
      </c>
      <c r="EO170" s="62">
        <f ca="1">AVERAGE(OFFSET($EN$3,0,0,'Données projet'!$E$15+1,1))-AVERAGE(OFFSET($H$3,0,0,'Données projet'!$E$15+1,1))</f>
        <v>406.24139966722936</v>
      </c>
      <c r="EP170" s="62">
        <f t="shared" si="154"/>
        <v>295.95724296920577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297.99999999999977</v>
      </c>
      <c r="FF170" s="18">
        <f>FE170*VLOOKUP('Données projet'!$B$16,Paramètres!$A$1:$I$89,3,0)*VLOOKUP('Données projet'!$B$16,Paramètres!$A$1:$I$89,5,0)</f>
        <v>288.22559999999976</v>
      </c>
      <c r="FG170" s="14">
        <f t="shared" si="182"/>
        <v>68.702374546701833</v>
      </c>
      <c r="FH170" s="22">
        <f t="shared" si="183"/>
        <v>621.64955566883862</v>
      </c>
      <c r="FI170" s="62">
        <f t="shared" si="131"/>
        <v>914.98288900217199</v>
      </c>
      <c r="FJ170" s="62">
        <f ca="1">AVERAGE(OFFSET($FI$3,0,0,'Données projet'!$E$16+1,1))-AVERAGE(OFFSET($H$3,0,0,'Données projet'!$E$16+1,1))</f>
        <v>540.83352418045502</v>
      </c>
      <c r="FK170" s="62">
        <f t="shared" si="156"/>
        <v>294.45557293177131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1.1368683772161603E-13</v>
      </c>
      <c r="GA170" s="18">
        <f>FZ170*VLOOKUP('Données projet'!$B$17,Paramètres!$A$1:$I$89,3,0)*VLOOKUP('Données projet'!$B$17,Paramètres!$A$1:$I$89,5,0)</f>
        <v>8.8675733422860506E-14</v>
      </c>
      <c r="GB170" s="14">
        <f t="shared" si="185"/>
        <v>1.3509285393066301E-12</v>
      </c>
      <c r="GC170" s="22">
        <f t="shared" si="186"/>
        <v>2.5073107750038623E-12</v>
      </c>
      <c r="GD170" s="62">
        <f t="shared" si="134"/>
        <v>293.33333333333582</v>
      </c>
      <c r="GE170" s="62">
        <f ca="1">AVERAGE(OFFSET($GD$3,0,0,'Données projet'!$E$17+1,1))-AVERAGE(OFFSET($H$3,0,0,'Données projet'!$E$17+1,1))</f>
        <v>292.57482726862594</v>
      </c>
      <c r="GF170" s="62">
        <f t="shared" si="158"/>
        <v>283.48738729114024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3.979039320256561E-13</v>
      </c>
      <c r="GV170" s="18">
        <f>GU170*VLOOKUP('Données projet'!$B$18,Paramètres!$A$1:$I$89,3,0)*VLOOKUP('Données projet'!$B$18,Paramètres!$A$1:$I$89,5,0)</f>
        <v>2.669139576028101E-13</v>
      </c>
      <c r="GW170" s="14">
        <f t="shared" si="188"/>
        <v>3.5767923834585247E-12</v>
      </c>
      <c r="GX170" s="22">
        <f t="shared" si="189"/>
        <v>6.6944552106818241E-12</v>
      </c>
      <c r="GY170" s="62">
        <f t="shared" si="137"/>
        <v>293.33333333334002</v>
      </c>
      <c r="GZ170" s="62">
        <f ca="1">AVERAGE(OFFSET($GY$3,0,0,'Données projet'!$E$18+1,1))-AVERAGE(OFFSET($H$3,0,0,'Données projet'!$E$18+1,1))</f>
        <v>343.33067866534634</v>
      </c>
      <c r="HA170" s="62">
        <f t="shared" si="160"/>
        <v>261.91036689641402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297.99999999999977</v>
      </c>
      <c r="O171" s="14">
        <f>N171*VLOOKUP('Données projet'!$B$9,Paramètres!$A$1:$I$89,3,0)*VLOOKUP('Données projet'!$B$9,Paramètres!$A$1:$I$89,5,0)</f>
        <v>269.63039999999978</v>
      </c>
      <c r="P171" s="14">
        <f t="shared" si="141"/>
        <v>64.770824587436081</v>
      </c>
      <c r="Q171" s="22">
        <f t="shared" si="162"/>
        <v>582.41546615645075</v>
      </c>
      <c r="R171" s="62">
        <f t="shared" si="109"/>
        <v>875.74879948978401</v>
      </c>
      <c r="S171" s="62">
        <f ca="1">AVERAGE(OFFSET($R$3,0,0,'Données projet'!$E$9+1,1))-AVERAGE(OFFSET($H$3,0,0,'Données projet'!$E$9+1,1))</f>
        <v>508.77990078889337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297.99999999999977</v>
      </c>
      <c r="AJ171" s="14">
        <f>AI171*VLOOKUP('Données projet'!$B$10,Paramètres!$A$1:$I$89,3,0)*VLOOKUP('Données projet'!$B$10,Paramètres!$A$1:$I$89,5,0)</f>
        <v>302.1719999999998</v>
      </c>
      <c r="AK171" s="14">
        <f t="shared" si="164"/>
        <v>71.631606754643158</v>
      </c>
      <c r="AL171" s="22">
        <f t="shared" si="165"/>
        <v>651.04128176433642</v>
      </c>
      <c r="AM171" s="62">
        <f t="shared" si="113"/>
        <v>944.37461509766968</v>
      </c>
      <c r="AN171" s="62">
        <f ca="1">AVERAGE(OFFSET($AM$3,0,0,'Données projet'!$E$10+1,1))-AVERAGE(OFFSET($H$3,0,0,'Données projet'!$E$10+1,1))</f>
        <v>564.84596170333884</v>
      </c>
      <c r="AO171" s="62">
        <f t="shared" si="144"/>
        <v>306.61893266146666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-1.8089849618263545E-13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370.79299728190904</v>
      </c>
      <c r="BJ171" s="62">
        <f t="shared" si="146"/>
        <v>404.95703400805775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-1.8089849618263545E-13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370.79299728190904</v>
      </c>
      <c r="CE171" s="62">
        <f t="shared" si="148"/>
        <v>404.95703400805775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-1.7053025658242404E-13</v>
      </c>
      <c r="CU171" s="18">
        <f>CT171*VLOOKUP('Données projet'!$B$13,Paramètres!$A$1:$I$89,3,0)*VLOOKUP('Données projet'!$B$13,Paramètres!$A$1:$I$89,5,0)</f>
        <v>-1.4897523215040567E-13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339.58437495284466</v>
      </c>
      <c r="CZ171" s="62">
        <f t="shared" si="150"/>
        <v>371.26234252426531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-2.2737367544323206E-13</v>
      </c>
      <c r="DP171" s="18">
        <f>DO171*VLOOKUP('Données projet'!$B$14,Paramètres!$A$1:$I$89,3,0)*VLOOKUP('Données projet'!$B$14,Paramètres!$A$1:$I$89,5,0)</f>
        <v>-1.6671037883497774E-13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344.63665697794022</v>
      </c>
      <c r="DU171" s="62">
        <f t="shared" si="152"/>
        <v>376.72762011188041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5.4092197387944907E-14</v>
      </c>
      <c r="EL171" s="14">
        <f t="shared" si="179"/>
        <v>8.7287050538073676E-13</v>
      </c>
      <c r="EM171" s="22">
        <f t="shared" si="180"/>
        <v>1.6144600406554537E-12</v>
      </c>
      <c r="EN171" s="62">
        <f t="shared" si="128"/>
        <v>293.33333333333491</v>
      </c>
      <c r="EO171" s="62">
        <f ca="1">AVERAGE(OFFSET($EN$3,0,0,'Données projet'!$E$15+1,1))-AVERAGE(OFFSET($H$3,0,0,'Données projet'!$E$15+1,1))</f>
        <v>406.24139966722936</v>
      </c>
      <c r="EP171" s="62">
        <f t="shared" si="154"/>
        <v>295.95724296920577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297.99999999999977</v>
      </c>
      <c r="FF171" s="18">
        <f>FE171*VLOOKUP('Données projet'!$B$16,Paramètres!$A$1:$I$89,3,0)*VLOOKUP('Données projet'!$B$16,Paramètres!$A$1:$I$89,5,0)</f>
        <v>288.22559999999976</v>
      </c>
      <c r="FG171" s="14">
        <f t="shared" si="182"/>
        <v>68.702374546701833</v>
      </c>
      <c r="FH171" s="22">
        <f t="shared" si="183"/>
        <v>621.64955566883862</v>
      </c>
      <c r="FI171" s="62">
        <f t="shared" si="131"/>
        <v>914.98288900217199</v>
      </c>
      <c r="FJ171" s="62">
        <f ca="1">AVERAGE(OFFSET($FI$3,0,0,'Données projet'!$E$16+1,1))-AVERAGE(OFFSET($H$3,0,0,'Données projet'!$E$16+1,1))</f>
        <v>540.83352418045502</v>
      </c>
      <c r="FK171" s="62">
        <f t="shared" si="156"/>
        <v>294.45557293177131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1.1368683772161603E-13</v>
      </c>
      <c r="GA171" s="18">
        <f>FZ171*VLOOKUP('Données projet'!$B$17,Paramètres!$A$1:$I$89,3,0)*VLOOKUP('Données projet'!$B$17,Paramètres!$A$1:$I$89,5,0)</f>
        <v>8.8675733422860506E-14</v>
      </c>
      <c r="GB171" s="14">
        <f t="shared" si="185"/>
        <v>1.3509285393066301E-12</v>
      </c>
      <c r="GC171" s="22">
        <f t="shared" si="186"/>
        <v>2.5073107750038623E-12</v>
      </c>
      <c r="GD171" s="62">
        <f t="shared" si="134"/>
        <v>293.33333333333582</v>
      </c>
      <c r="GE171" s="62">
        <f ca="1">AVERAGE(OFFSET($GD$3,0,0,'Données projet'!$E$17+1,1))-AVERAGE(OFFSET($H$3,0,0,'Données projet'!$E$17+1,1))</f>
        <v>292.57482726862594</v>
      </c>
      <c r="GF171" s="62">
        <f t="shared" si="158"/>
        <v>283.48738729114024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3.979039320256561E-13</v>
      </c>
      <c r="GV171" s="18">
        <f>GU171*VLOOKUP('Données projet'!$B$18,Paramètres!$A$1:$I$89,3,0)*VLOOKUP('Données projet'!$B$18,Paramètres!$A$1:$I$89,5,0)</f>
        <v>2.669139576028101E-13</v>
      </c>
      <c r="GW171" s="14">
        <f t="shared" si="188"/>
        <v>3.5767923834585247E-12</v>
      </c>
      <c r="GX171" s="22">
        <f t="shared" si="189"/>
        <v>6.6944552106818241E-12</v>
      </c>
      <c r="GY171" s="62">
        <f t="shared" si="137"/>
        <v>293.33333333334002</v>
      </c>
      <c r="GZ171" s="62">
        <f ca="1">AVERAGE(OFFSET($GY$3,0,0,'Données projet'!$E$18+1,1))-AVERAGE(OFFSET($H$3,0,0,'Données projet'!$E$18+1,1))</f>
        <v>343.33067866534634</v>
      </c>
      <c r="HA171" s="62">
        <f t="shared" si="160"/>
        <v>261.91036689641402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297.99999999999977</v>
      </c>
      <c r="O172" s="14">
        <f>N172*VLOOKUP('Données projet'!$B$9,Paramètres!$A$1:$I$89,3,0)*VLOOKUP('Données projet'!$B$9,Paramètres!$A$1:$I$89,5,0)</f>
        <v>269.63039999999978</v>
      </c>
      <c r="P172" s="14">
        <f t="shared" si="141"/>
        <v>64.770824587436081</v>
      </c>
      <c r="Q172" s="22">
        <f t="shared" si="162"/>
        <v>582.41546615645075</v>
      </c>
      <c r="R172" s="62">
        <f t="shared" si="109"/>
        <v>875.74879948978401</v>
      </c>
      <c r="S172" s="62">
        <f ca="1">AVERAGE(OFFSET($R$3,0,0,'Données projet'!$E$9+1,1))-AVERAGE(OFFSET($H$3,0,0,'Données projet'!$E$9+1,1))</f>
        <v>508.77990078889337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297.99999999999977</v>
      </c>
      <c r="AJ172" s="14">
        <f>AI172*VLOOKUP('Données projet'!$B$10,Paramètres!$A$1:$I$89,3,0)*VLOOKUP('Données projet'!$B$10,Paramètres!$A$1:$I$89,5,0)</f>
        <v>302.1719999999998</v>
      </c>
      <c r="AK172" s="14">
        <f t="shared" si="164"/>
        <v>71.631606754643158</v>
      </c>
      <c r="AL172" s="22">
        <f t="shared" si="165"/>
        <v>651.04128176433642</v>
      </c>
      <c r="AM172" s="62">
        <f t="shared" si="113"/>
        <v>944.37461509766968</v>
      </c>
      <c r="AN172" s="62">
        <f ca="1">AVERAGE(OFFSET($AM$3,0,0,'Données projet'!$E$10+1,1))-AVERAGE(OFFSET($H$3,0,0,'Données projet'!$E$10+1,1))</f>
        <v>564.84596170333884</v>
      </c>
      <c r="AO172" s="62">
        <f t="shared" si="144"/>
        <v>306.61893266146666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-1.8089849618263545E-13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370.79299728190904</v>
      </c>
      <c r="BJ172" s="62">
        <f t="shared" si="146"/>
        <v>404.95703400805775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-1.8089849618263545E-13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370.79299728190904</v>
      </c>
      <c r="CE172" s="62">
        <f t="shared" si="148"/>
        <v>404.95703400805775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-1.7053025658242404E-13</v>
      </c>
      <c r="CU172" s="18">
        <f>CT172*VLOOKUP('Données projet'!$B$13,Paramètres!$A$1:$I$89,3,0)*VLOOKUP('Données projet'!$B$13,Paramètres!$A$1:$I$89,5,0)</f>
        <v>-1.4897523215040567E-13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339.58437495284466</v>
      </c>
      <c r="CZ172" s="62">
        <f t="shared" si="150"/>
        <v>371.26234252426531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-2.2737367544323206E-13</v>
      </c>
      <c r="DP172" s="18">
        <f>DO172*VLOOKUP('Données projet'!$B$14,Paramètres!$A$1:$I$89,3,0)*VLOOKUP('Données projet'!$B$14,Paramètres!$A$1:$I$89,5,0)</f>
        <v>-1.6671037883497774E-13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344.63665697794022</v>
      </c>
      <c r="DU172" s="62">
        <f t="shared" si="152"/>
        <v>376.72762011188041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5.4092197387944907E-14</v>
      </c>
      <c r="EL172" s="14">
        <f t="shared" si="179"/>
        <v>8.7287050538073676E-13</v>
      </c>
      <c r="EM172" s="22">
        <f t="shared" si="180"/>
        <v>1.6144600406554537E-12</v>
      </c>
      <c r="EN172" s="62">
        <f t="shared" si="128"/>
        <v>293.33333333333491</v>
      </c>
      <c r="EO172" s="62">
        <f ca="1">AVERAGE(OFFSET($EN$3,0,0,'Données projet'!$E$15+1,1))-AVERAGE(OFFSET($H$3,0,0,'Données projet'!$E$15+1,1))</f>
        <v>406.24139966722936</v>
      </c>
      <c r="EP172" s="62">
        <f t="shared" si="154"/>
        <v>295.95724296920577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297.99999999999977</v>
      </c>
      <c r="FF172" s="18">
        <f>FE172*VLOOKUP('Données projet'!$B$16,Paramètres!$A$1:$I$89,3,0)*VLOOKUP('Données projet'!$B$16,Paramètres!$A$1:$I$89,5,0)</f>
        <v>288.22559999999976</v>
      </c>
      <c r="FG172" s="14">
        <f t="shared" si="182"/>
        <v>68.702374546701833</v>
      </c>
      <c r="FH172" s="22">
        <f t="shared" si="183"/>
        <v>621.64955566883862</v>
      </c>
      <c r="FI172" s="62">
        <f t="shared" si="131"/>
        <v>914.98288900217199</v>
      </c>
      <c r="FJ172" s="62">
        <f ca="1">AVERAGE(OFFSET($FI$3,0,0,'Données projet'!$E$16+1,1))-AVERAGE(OFFSET($H$3,0,0,'Données projet'!$E$16+1,1))</f>
        <v>540.83352418045502</v>
      </c>
      <c r="FK172" s="62">
        <f t="shared" si="156"/>
        <v>294.45557293177131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1.1368683772161603E-13</v>
      </c>
      <c r="GA172" s="18">
        <f>FZ172*VLOOKUP('Données projet'!$B$17,Paramètres!$A$1:$I$89,3,0)*VLOOKUP('Données projet'!$B$17,Paramètres!$A$1:$I$89,5,0)</f>
        <v>8.8675733422860506E-14</v>
      </c>
      <c r="GB172" s="14">
        <f t="shared" si="185"/>
        <v>1.3509285393066301E-12</v>
      </c>
      <c r="GC172" s="22">
        <f t="shared" si="186"/>
        <v>2.5073107750038623E-12</v>
      </c>
      <c r="GD172" s="62">
        <f t="shared" si="134"/>
        <v>293.33333333333582</v>
      </c>
      <c r="GE172" s="62">
        <f ca="1">AVERAGE(OFFSET($GD$3,0,0,'Données projet'!$E$17+1,1))-AVERAGE(OFFSET($H$3,0,0,'Données projet'!$E$17+1,1))</f>
        <v>292.57482726862594</v>
      </c>
      <c r="GF172" s="62">
        <f t="shared" si="158"/>
        <v>283.48738729114024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3.979039320256561E-13</v>
      </c>
      <c r="GV172" s="18">
        <f>GU172*VLOOKUP('Données projet'!$B$18,Paramètres!$A$1:$I$89,3,0)*VLOOKUP('Données projet'!$B$18,Paramètres!$A$1:$I$89,5,0)</f>
        <v>2.669139576028101E-13</v>
      </c>
      <c r="GW172" s="14">
        <f t="shared" si="188"/>
        <v>3.5767923834585247E-12</v>
      </c>
      <c r="GX172" s="22">
        <f t="shared" si="189"/>
        <v>6.6944552106818241E-12</v>
      </c>
      <c r="GY172" s="62">
        <f t="shared" si="137"/>
        <v>293.33333333334002</v>
      </c>
      <c r="GZ172" s="62">
        <f ca="1">AVERAGE(OFFSET($GY$3,0,0,'Données projet'!$E$18+1,1))-AVERAGE(OFFSET($H$3,0,0,'Données projet'!$E$18+1,1))</f>
        <v>343.33067866534634</v>
      </c>
      <c r="HA172" s="62">
        <f t="shared" si="160"/>
        <v>261.91036689641402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297.99999999999977</v>
      </c>
      <c r="O173" s="14">
        <f>N173*VLOOKUP('Données projet'!$B$9,Paramètres!$A$1:$I$89,3,0)*VLOOKUP('Données projet'!$B$9,Paramètres!$A$1:$I$89,5,0)</f>
        <v>269.63039999999978</v>
      </c>
      <c r="P173" s="14">
        <f t="shared" si="141"/>
        <v>64.770824587436081</v>
      </c>
      <c r="Q173" s="22">
        <f t="shared" si="162"/>
        <v>582.41546615645075</v>
      </c>
      <c r="R173" s="62">
        <f t="shared" si="109"/>
        <v>875.74879948978401</v>
      </c>
      <c r="S173" s="62">
        <f ca="1">AVERAGE(OFFSET($R$3,0,0,'Données projet'!$E$9+1,1))-AVERAGE(OFFSET($H$3,0,0,'Données projet'!$E$9+1,1))</f>
        <v>508.77990078889337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297.99999999999977</v>
      </c>
      <c r="AJ173" s="14">
        <f>AI173*VLOOKUP('Données projet'!$B$10,Paramètres!$A$1:$I$89,3,0)*VLOOKUP('Données projet'!$B$10,Paramètres!$A$1:$I$89,5,0)</f>
        <v>302.1719999999998</v>
      </c>
      <c r="AK173" s="14">
        <f t="shared" si="164"/>
        <v>71.631606754643158</v>
      </c>
      <c r="AL173" s="22">
        <f t="shared" si="165"/>
        <v>651.04128176433642</v>
      </c>
      <c r="AM173" s="62">
        <f t="shared" si="113"/>
        <v>944.37461509766968</v>
      </c>
      <c r="AN173" s="62">
        <f ca="1">AVERAGE(OFFSET($AM$3,0,0,'Données projet'!$E$10+1,1))-AVERAGE(OFFSET($H$3,0,0,'Données projet'!$E$10+1,1))</f>
        <v>564.84596170333884</v>
      </c>
      <c r="AO173" s="62">
        <f t="shared" si="144"/>
        <v>306.61893266146666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-1.8089849618263545E-13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370.79299728190904</v>
      </c>
      <c r="BJ173" s="62">
        <f t="shared" si="146"/>
        <v>404.95703400805775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-1.8089849618263545E-13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370.79299728190904</v>
      </c>
      <c r="CE173" s="62">
        <f t="shared" si="148"/>
        <v>404.95703400805775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-1.7053025658242404E-13</v>
      </c>
      <c r="CU173" s="18">
        <f>CT173*VLOOKUP('Données projet'!$B$13,Paramètres!$A$1:$I$89,3,0)*VLOOKUP('Données projet'!$B$13,Paramètres!$A$1:$I$89,5,0)</f>
        <v>-1.4897523215040567E-13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339.58437495284466</v>
      </c>
      <c r="CZ173" s="62">
        <f t="shared" si="150"/>
        <v>371.26234252426531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-2.2737367544323206E-13</v>
      </c>
      <c r="DP173" s="18">
        <f>DO173*VLOOKUP('Données projet'!$B$14,Paramètres!$A$1:$I$89,3,0)*VLOOKUP('Données projet'!$B$14,Paramètres!$A$1:$I$89,5,0)</f>
        <v>-1.6671037883497774E-13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344.63665697794022</v>
      </c>
      <c r="DU173" s="62">
        <f t="shared" si="152"/>
        <v>376.72762011188041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5.4092197387944907E-14</v>
      </c>
      <c r="EL173" s="14">
        <f t="shared" si="179"/>
        <v>8.7287050538073676E-13</v>
      </c>
      <c r="EM173" s="22">
        <f t="shared" si="180"/>
        <v>1.6144600406554537E-12</v>
      </c>
      <c r="EN173" s="62">
        <f t="shared" si="128"/>
        <v>293.33333333333491</v>
      </c>
      <c r="EO173" s="62">
        <f ca="1">AVERAGE(OFFSET($EN$3,0,0,'Données projet'!$E$15+1,1))-AVERAGE(OFFSET($H$3,0,0,'Données projet'!$E$15+1,1))</f>
        <v>406.24139966722936</v>
      </c>
      <c r="EP173" s="62">
        <f t="shared" si="154"/>
        <v>295.95724296920577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297.99999999999977</v>
      </c>
      <c r="FF173" s="18">
        <f>FE173*VLOOKUP('Données projet'!$B$16,Paramètres!$A$1:$I$89,3,0)*VLOOKUP('Données projet'!$B$16,Paramètres!$A$1:$I$89,5,0)</f>
        <v>288.22559999999976</v>
      </c>
      <c r="FG173" s="14">
        <f t="shared" si="182"/>
        <v>68.702374546701833</v>
      </c>
      <c r="FH173" s="22">
        <f t="shared" si="183"/>
        <v>621.64955566883862</v>
      </c>
      <c r="FI173" s="62">
        <f t="shared" si="131"/>
        <v>914.98288900217199</v>
      </c>
      <c r="FJ173" s="62">
        <f ca="1">AVERAGE(OFFSET($FI$3,0,0,'Données projet'!$E$16+1,1))-AVERAGE(OFFSET($H$3,0,0,'Données projet'!$E$16+1,1))</f>
        <v>540.83352418045502</v>
      </c>
      <c r="FK173" s="62">
        <f t="shared" si="156"/>
        <v>294.45557293177131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1.1368683772161603E-13</v>
      </c>
      <c r="GA173" s="18">
        <f>FZ173*VLOOKUP('Données projet'!$B$17,Paramètres!$A$1:$I$89,3,0)*VLOOKUP('Données projet'!$B$17,Paramètres!$A$1:$I$89,5,0)</f>
        <v>8.8675733422860506E-14</v>
      </c>
      <c r="GB173" s="14">
        <f t="shared" si="185"/>
        <v>1.3509285393066301E-12</v>
      </c>
      <c r="GC173" s="22">
        <f t="shared" si="186"/>
        <v>2.5073107750038623E-12</v>
      </c>
      <c r="GD173" s="62">
        <f t="shared" si="134"/>
        <v>293.33333333333582</v>
      </c>
      <c r="GE173" s="62">
        <f ca="1">AVERAGE(OFFSET($GD$3,0,0,'Données projet'!$E$17+1,1))-AVERAGE(OFFSET($H$3,0,0,'Données projet'!$E$17+1,1))</f>
        <v>292.57482726862594</v>
      </c>
      <c r="GF173" s="62">
        <f t="shared" si="158"/>
        <v>283.48738729114024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3.979039320256561E-13</v>
      </c>
      <c r="GV173" s="18">
        <f>GU173*VLOOKUP('Données projet'!$B$18,Paramètres!$A$1:$I$89,3,0)*VLOOKUP('Données projet'!$B$18,Paramètres!$A$1:$I$89,5,0)</f>
        <v>2.669139576028101E-13</v>
      </c>
      <c r="GW173" s="14">
        <f t="shared" si="188"/>
        <v>3.5767923834585247E-12</v>
      </c>
      <c r="GX173" s="22">
        <f t="shared" si="189"/>
        <v>6.6944552106818241E-12</v>
      </c>
      <c r="GY173" s="62">
        <f t="shared" si="137"/>
        <v>293.33333333334002</v>
      </c>
      <c r="GZ173" s="62">
        <f ca="1">AVERAGE(OFFSET($GY$3,0,0,'Données projet'!$E$18+1,1))-AVERAGE(OFFSET($H$3,0,0,'Données projet'!$E$18+1,1))</f>
        <v>343.33067866534634</v>
      </c>
      <c r="HA173" s="62">
        <f t="shared" si="160"/>
        <v>261.91036689641402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297.99999999999977</v>
      </c>
      <c r="O174" s="14">
        <f>N174*VLOOKUP('Données projet'!$B$9,Paramètres!$A$1:$I$89,3,0)*VLOOKUP('Données projet'!$B$9,Paramètres!$A$1:$I$89,5,0)</f>
        <v>269.63039999999978</v>
      </c>
      <c r="P174" s="14">
        <f t="shared" si="141"/>
        <v>64.770824587436081</v>
      </c>
      <c r="Q174" s="22">
        <f t="shared" si="162"/>
        <v>582.41546615645075</v>
      </c>
      <c r="R174" s="62">
        <f t="shared" si="109"/>
        <v>875.74879948978401</v>
      </c>
      <c r="S174" s="62">
        <f ca="1">AVERAGE(OFFSET($R$3,0,0,'Données projet'!$E$9+1,1))-AVERAGE(OFFSET($H$3,0,0,'Données projet'!$E$9+1,1))</f>
        <v>508.77990078889337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297.99999999999977</v>
      </c>
      <c r="AJ174" s="14">
        <f>AI174*VLOOKUP('Données projet'!$B$10,Paramètres!$A$1:$I$89,3,0)*VLOOKUP('Données projet'!$B$10,Paramètres!$A$1:$I$89,5,0)</f>
        <v>302.1719999999998</v>
      </c>
      <c r="AK174" s="14">
        <f t="shared" si="164"/>
        <v>71.631606754643158</v>
      </c>
      <c r="AL174" s="22">
        <f t="shared" si="165"/>
        <v>651.04128176433642</v>
      </c>
      <c r="AM174" s="62">
        <f t="shared" si="113"/>
        <v>944.37461509766968</v>
      </c>
      <c r="AN174" s="62">
        <f ca="1">AVERAGE(OFFSET($AM$3,0,0,'Données projet'!$E$10+1,1))-AVERAGE(OFFSET($H$3,0,0,'Données projet'!$E$10+1,1))</f>
        <v>564.84596170333884</v>
      </c>
      <c r="AO174" s="62">
        <f t="shared" si="144"/>
        <v>306.61893266146666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-1.8089849618263545E-13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370.79299728190904</v>
      </c>
      <c r="BJ174" s="62">
        <f t="shared" si="146"/>
        <v>404.95703400805775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-1.8089849618263545E-13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370.79299728190904</v>
      </c>
      <c r="CE174" s="62">
        <f t="shared" si="148"/>
        <v>404.95703400805775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-1.7053025658242404E-13</v>
      </c>
      <c r="CU174" s="18">
        <f>CT174*VLOOKUP('Données projet'!$B$13,Paramètres!$A$1:$I$89,3,0)*VLOOKUP('Données projet'!$B$13,Paramètres!$A$1:$I$89,5,0)</f>
        <v>-1.4897523215040567E-13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339.58437495284466</v>
      </c>
      <c r="CZ174" s="62">
        <f t="shared" si="150"/>
        <v>371.26234252426531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-2.2737367544323206E-13</v>
      </c>
      <c r="DP174" s="18">
        <f>DO174*VLOOKUP('Données projet'!$B$14,Paramètres!$A$1:$I$89,3,0)*VLOOKUP('Données projet'!$B$14,Paramètres!$A$1:$I$89,5,0)</f>
        <v>-1.6671037883497774E-13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344.63665697794022</v>
      </c>
      <c r="DU174" s="62">
        <f t="shared" si="152"/>
        <v>376.72762011188041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5.4092197387944907E-14</v>
      </c>
      <c r="EL174" s="14">
        <f t="shared" si="179"/>
        <v>8.7287050538073676E-13</v>
      </c>
      <c r="EM174" s="22">
        <f t="shared" si="180"/>
        <v>1.6144600406554537E-12</v>
      </c>
      <c r="EN174" s="62">
        <f t="shared" si="128"/>
        <v>293.33333333333491</v>
      </c>
      <c r="EO174" s="62">
        <f ca="1">AVERAGE(OFFSET($EN$3,0,0,'Données projet'!$E$15+1,1))-AVERAGE(OFFSET($H$3,0,0,'Données projet'!$E$15+1,1))</f>
        <v>406.24139966722936</v>
      </c>
      <c r="EP174" s="62">
        <f t="shared" si="154"/>
        <v>295.95724296920577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297.99999999999977</v>
      </c>
      <c r="FF174" s="18">
        <f>FE174*VLOOKUP('Données projet'!$B$16,Paramètres!$A$1:$I$89,3,0)*VLOOKUP('Données projet'!$B$16,Paramètres!$A$1:$I$89,5,0)</f>
        <v>288.22559999999976</v>
      </c>
      <c r="FG174" s="14">
        <f t="shared" si="182"/>
        <v>68.702374546701833</v>
      </c>
      <c r="FH174" s="22">
        <f t="shared" si="183"/>
        <v>621.64955566883862</v>
      </c>
      <c r="FI174" s="62">
        <f t="shared" si="131"/>
        <v>914.98288900217199</v>
      </c>
      <c r="FJ174" s="62">
        <f ca="1">AVERAGE(OFFSET($FI$3,0,0,'Données projet'!$E$16+1,1))-AVERAGE(OFFSET($H$3,0,0,'Données projet'!$E$16+1,1))</f>
        <v>540.83352418045502</v>
      </c>
      <c r="FK174" s="62">
        <f t="shared" si="156"/>
        <v>294.45557293177131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1.1368683772161603E-13</v>
      </c>
      <c r="GA174" s="18">
        <f>FZ174*VLOOKUP('Données projet'!$B$17,Paramètres!$A$1:$I$89,3,0)*VLOOKUP('Données projet'!$B$17,Paramètres!$A$1:$I$89,5,0)</f>
        <v>8.8675733422860506E-14</v>
      </c>
      <c r="GB174" s="14">
        <f t="shared" si="185"/>
        <v>1.3509285393066301E-12</v>
      </c>
      <c r="GC174" s="22">
        <f t="shared" si="186"/>
        <v>2.5073107750038623E-12</v>
      </c>
      <c r="GD174" s="62">
        <f t="shared" si="134"/>
        <v>293.33333333333582</v>
      </c>
      <c r="GE174" s="62">
        <f ca="1">AVERAGE(OFFSET($GD$3,0,0,'Données projet'!$E$17+1,1))-AVERAGE(OFFSET($H$3,0,0,'Données projet'!$E$17+1,1))</f>
        <v>292.57482726862594</v>
      </c>
      <c r="GF174" s="62">
        <f t="shared" si="158"/>
        <v>283.48738729114024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3.979039320256561E-13</v>
      </c>
      <c r="GV174" s="18">
        <f>GU174*VLOOKUP('Données projet'!$B$18,Paramètres!$A$1:$I$89,3,0)*VLOOKUP('Données projet'!$B$18,Paramètres!$A$1:$I$89,5,0)</f>
        <v>2.669139576028101E-13</v>
      </c>
      <c r="GW174" s="14">
        <f t="shared" si="188"/>
        <v>3.5767923834585247E-12</v>
      </c>
      <c r="GX174" s="22">
        <f t="shared" si="189"/>
        <v>6.6944552106818241E-12</v>
      </c>
      <c r="GY174" s="62">
        <f t="shared" si="137"/>
        <v>293.33333333334002</v>
      </c>
      <c r="GZ174" s="62">
        <f ca="1">AVERAGE(OFFSET($GY$3,0,0,'Données projet'!$E$18+1,1))-AVERAGE(OFFSET($H$3,0,0,'Données projet'!$E$18+1,1))</f>
        <v>343.33067866534634</v>
      </c>
      <c r="HA174" s="62">
        <f t="shared" si="160"/>
        <v>261.91036689641402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297.99999999999977</v>
      </c>
      <c r="O175" s="14">
        <f>N175*VLOOKUP('Données projet'!$B$9,Paramètres!$A$1:$I$89,3,0)*VLOOKUP('Données projet'!$B$9,Paramètres!$A$1:$I$89,5,0)</f>
        <v>269.63039999999978</v>
      </c>
      <c r="P175" s="14">
        <f t="shared" si="141"/>
        <v>64.770824587436081</v>
      </c>
      <c r="Q175" s="22">
        <f t="shared" si="162"/>
        <v>582.41546615645075</v>
      </c>
      <c r="R175" s="62">
        <f t="shared" si="109"/>
        <v>875.74879948978401</v>
      </c>
      <c r="S175" s="62">
        <f ca="1">AVERAGE(OFFSET($R$3,0,0,'Données projet'!$E$9+1,1))-AVERAGE(OFFSET($H$3,0,0,'Données projet'!$E$9+1,1))</f>
        <v>508.77990078889337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297.99999999999977</v>
      </c>
      <c r="AJ175" s="14">
        <f>AI175*VLOOKUP('Données projet'!$B$10,Paramètres!$A$1:$I$89,3,0)*VLOOKUP('Données projet'!$B$10,Paramètres!$A$1:$I$89,5,0)</f>
        <v>302.1719999999998</v>
      </c>
      <c r="AK175" s="14">
        <f t="shared" si="164"/>
        <v>71.631606754643158</v>
      </c>
      <c r="AL175" s="22">
        <f t="shared" si="165"/>
        <v>651.04128176433642</v>
      </c>
      <c r="AM175" s="62">
        <f t="shared" si="113"/>
        <v>944.37461509766968</v>
      </c>
      <c r="AN175" s="62">
        <f ca="1">AVERAGE(OFFSET($AM$3,0,0,'Données projet'!$E$10+1,1))-AVERAGE(OFFSET($H$3,0,0,'Données projet'!$E$10+1,1))</f>
        <v>564.84596170333884</v>
      </c>
      <c r="AO175" s="62">
        <f t="shared" si="144"/>
        <v>306.61893266146666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-1.8089849618263545E-13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370.79299728190904</v>
      </c>
      <c r="BJ175" s="62">
        <f t="shared" si="146"/>
        <v>404.95703400805775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-1.8089849618263545E-13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370.79299728190904</v>
      </c>
      <c r="CE175" s="62">
        <f t="shared" si="148"/>
        <v>404.95703400805775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-1.7053025658242404E-13</v>
      </c>
      <c r="CU175" s="18">
        <f>CT175*VLOOKUP('Données projet'!$B$13,Paramètres!$A$1:$I$89,3,0)*VLOOKUP('Données projet'!$B$13,Paramètres!$A$1:$I$89,5,0)</f>
        <v>-1.4897523215040567E-13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339.58437495284466</v>
      </c>
      <c r="CZ175" s="62">
        <f t="shared" si="150"/>
        <v>371.26234252426531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-2.2737367544323206E-13</v>
      </c>
      <c r="DP175" s="18">
        <f>DO175*VLOOKUP('Données projet'!$B$14,Paramètres!$A$1:$I$89,3,0)*VLOOKUP('Données projet'!$B$14,Paramètres!$A$1:$I$89,5,0)</f>
        <v>-1.6671037883497774E-13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344.63665697794022</v>
      </c>
      <c r="DU175" s="62">
        <f t="shared" si="152"/>
        <v>376.72762011188041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5.4092197387944907E-14</v>
      </c>
      <c r="EL175" s="14">
        <f t="shared" si="179"/>
        <v>8.7287050538073676E-13</v>
      </c>
      <c r="EM175" s="22">
        <f t="shared" si="180"/>
        <v>1.6144600406554537E-12</v>
      </c>
      <c r="EN175" s="62">
        <f t="shared" si="128"/>
        <v>293.33333333333491</v>
      </c>
      <c r="EO175" s="62">
        <f ca="1">AVERAGE(OFFSET($EN$3,0,0,'Données projet'!$E$15+1,1))-AVERAGE(OFFSET($H$3,0,0,'Données projet'!$E$15+1,1))</f>
        <v>406.24139966722936</v>
      </c>
      <c r="EP175" s="62">
        <f t="shared" si="154"/>
        <v>295.95724296920577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297.99999999999977</v>
      </c>
      <c r="FF175" s="18">
        <f>FE175*VLOOKUP('Données projet'!$B$16,Paramètres!$A$1:$I$89,3,0)*VLOOKUP('Données projet'!$B$16,Paramètres!$A$1:$I$89,5,0)</f>
        <v>288.22559999999976</v>
      </c>
      <c r="FG175" s="14">
        <f t="shared" si="182"/>
        <v>68.702374546701833</v>
      </c>
      <c r="FH175" s="22">
        <f t="shared" si="183"/>
        <v>621.64955566883862</v>
      </c>
      <c r="FI175" s="62">
        <f t="shared" si="131"/>
        <v>914.98288900217199</v>
      </c>
      <c r="FJ175" s="62">
        <f ca="1">AVERAGE(OFFSET($FI$3,0,0,'Données projet'!$E$16+1,1))-AVERAGE(OFFSET($H$3,0,0,'Données projet'!$E$16+1,1))</f>
        <v>540.83352418045502</v>
      </c>
      <c r="FK175" s="62">
        <f t="shared" si="156"/>
        <v>294.45557293177131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1.1368683772161603E-13</v>
      </c>
      <c r="GA175" s="18">
        <f>FZ175*VLOOKUP('Données projet'!$B$17,Paramètres!$A$1:$I$89,3,0)*VLOOKUP('Données projet'!$B$17,Paramètres!$A$1:$I$89,5,0)</f>
        <v>8.8675733422860506E-14</v>
      </c>
      <c r="GB175" s="14">
        <f t="shared" si="185"/>
        <v>1.3509285393066301E-12</v>
      </c>
      <c r="GC175" s="22">
        <f t="shared" si="186"/>
        <v>2.5073107750038623E-12</v>
      </c>
      <c r="GD175" s="62">
        <f t="shared" si="134"/>
        <v>293.33333333333582</v>
      </c>
      <c r="GE175" s="62">
        <f ca="1">AVERAGE(OFFSET($GD$3,0,0,'Données projet'!$E$17+1,1))-AVERAGE(OFFSET($H$3,0,0,'Données projet'!$E$17+1,1))</f>
        <v>292.57482726862594</v>
      </c>
      <c r="GF175" s="62">
        <f t="shared" si="158"/>
        <v>283.48738729114024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3.979039320256561E-13</v>
      </c>
      <c r="GV175" s="18">
        <f>GU175*VLOOKUP('Données projet'!$B$18,Paramètres!$A$1:$I$89,3,0)*VLOOKUP('Données projet'!$B$18,Paramètres!$A$1:$I$89,5,0)</f>
        <v>2.669139576028101E-13</v>
      </c>
      <c r="GW175" s="14">
        <f t="shared" si="188"/>
        <v>3.5767923834585247E-12</v>
      </c>
      <c r="GX175" s="22">
        <f t="shared" si="189"/>
        <v>6.6944552106818241E-12</v>
      </c>
      <c r="GY175" s="62">
        <f t="shared" si="137"/>
        <v>293.33333333334002</v>
      </c>
      <c r="GZ175" s="62">
        <f ca="1">AVERAGE(OFFSET($GY$3,0,0,'Données projet'!$E$18+1,1))-AVERAGE(OFFSET($H$3,0,0,'Données projet'!$E$18+1,1))</f>
        <v>343.33067866534634</v>
      </c>
      <c r="HA175" s="62">
        <f t="shared" si="160"/>
        <v>261.91036689641402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297.99999999999977</v>
      </c>
      <c r="O176" s="14">
        <f>N176*VLOOKUP('Données projet'!$B$9,Paramètres!$A$1:$I$89,3,0)*VLOOKUP('Données projet'!$B$9,Paramètres!$A$1:$I$89,5,0)</f>
        <v>269.63039999999978</v>
      </c>
      <c r="P176" s="14">
        <f t="shared" si="141"/>
        <v>64.770824587436081</v>
      </c>
      <c r="Q176" s="22">
        <f t="shared" si="162"/>
        <v>582.41546615645075</v>
      </c>
      <c r="R176" s="62">
        <f t="shared" si="109"/>
        <v>875.74879948978401</v>
      </c>
      <c r="S176" s="62">
        <f ca="1">AVERAGE(OFFSET($R$3,0,0,'Données projet'!$E$9+1,1))-AVERAGE(OFFSET($H$3,0,0,'Données projet'!$E$9+1,1))</f>
        <v>508.77990078889337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297.99999999999977</v>
      </c>
      <c r="AJ176" s="14">
        <f>AI176*VLOOKUP('Données projet'!$B$10,Paramètres!$A$1:$I$89,3,0)*VLOOKUP('Données projet'!$B$10,Paramètres!$A$1:$I$89,5,0)</f>
        <v>302.1719999999998</v>
      </c>
      <c r="AK176" s="14">
        <f t="shared" si="164"/>
        <v>71.631606754643158</v>
      </c>
      <c r="AL176" s="22">
        <f t="shared" si="165"/>
        <v>651.04128176433642</v>
      </c>
      <c r="AM176" s="62">
        <f t="shared" si="113"/>
        <v>944.37461509766968</v>
      </c>
      <c r="AN176" s="62">
        <f ca="1">AVERAGE(OFFSET($AM$3,0,0,'Données projet'!$E$10+1,1))-AVERAGE(OFFSET($H$3,0,0,'Données projet'!$E$10+1,1))</f>
        <v>564.84596170333884</v>
      </c>
      <c r="AO176" s="62">
        <f t="shared" si="144"/>
        <v>306.61893266146666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-1.8089849618263545E-13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370.79299728190904</v>
      </c>
      <c r="BJ176" s="62">
        <f t="shared" si="146"/>
        <v>404.95703400805775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-1.8089849618263545E-13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370.79299728190904</v>
      </c>
      <c r="CE176" s="62">
        <f t="shared" si="148"/>
        <v>404.95703400805775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-1.7053025658242404E-13</v>
      </c>
      <c r="CU176" s="18">
        <f>CT176*VLOOKUP('Données projet'!$B$13,Paramètres!$A$1:$I$89,3,0)*VLOOKUP('Données projet'!$B$13,Paramètres!$A$1:$I$89,5,0)</f>
        <v>-1.4897523215040567E-13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339.58437495284466</v>
      </c>
      <c r="CZ176" s="62">
        <f t="shared" si="150"/>
        <v>371.26234252426531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-2.2737367544323206E-13</v>
      </c>
      <c r="DP176" s="18">
        <f>DO176*VLOOKUP('Données projet'!$B$14,Paramètres!$A$1:$I$89,3,0)*VLOOKUP('Données projet'!$B$14,Paramètres!$A$1:$I$89,5,0)</f>
        <v>-1.6671037883497774E-13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344.63665697794022</v>
      </c>
      <c r="DU176" s="62">
        <f t="shared" si="152"/>
        <v>376.72762011188041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5.4092197387944907E-14</v>
      </c>
      <c r="EL176" s="14">
        <f t="shared" si="179"/>
        <v>8.7287050538073676E-13</v>
      </c>
      <c r="EM176" s="22">
        <f t="shared" si="180"/>
        <v>1.6144600406554537E-12</v>
      </c>
      <c r="EN176" s="62">
        <f t="shared" si="128"/>
        <v>293.33333333333491</v>
      </c>
      <c r="EO176" s="62">
        <f ca="1">AVERAGE(OFFSET($EN$3,0,0,'Données projet'!$E$15+1,1))-AVERAGE(OFFSET($H$3,0,0,'Données projet'!$E$15+1,1))</f>
        <v>406.24139966722936</v>
      </c>
      <c r="EP176" s="62">
        <f t="shared" si="154"/>
        <v>295.95724296920577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297.99999999999977</v>
      </c>
      <c r="FF176" s="18">
        <f>FE176*VLOOKUP('Données projet'!$B$16,Paramètres!$A$1:$I$89,3,0)*VLOOKUP('Données projet'!$B$16,Paramètres!$A$1:$I$89,5,0)</f>
        <v>288.22559999999976</v>
      </c>
      <c r="FG176" s="14">
        <f t="shared" si="182"/>
        <v>68.702374546701833</v>
      </c>
      <c r="FH176" s="22">
        <f t="shared" si="183"/>
        <v>621.64955566883862</v>
      </c>
      <c r="FI176" s="62">
        <f t="shared" si="131"/>
        <v>914.98288900217199</v>
      </c>
      <c r="FJ176" s="62">
        <f ca="1">AVERAGE(OFFSET($FI$3,0,0,'Données projet'!$E$16+1,1))-AVERAGE(OFFSET($H$3,0,0,'Données projet'!$E$16+1,1))</f>
        <v>540.83352418045502</v>
      </c>
      <c r="FK176" s="62">
        <f t="shared" si="156"/>
        <v>294.45557293177131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1.1368683772161603E-13</v>
      </c>
      <c r="GA176" s="18">
        <f>FZ176*VLOOKUP('Données projet'!$B$17,Paramètres!$A$1:$I$89,3,0)*VLOOKUP('Données projet'!$B$17,Paramètres!$A$1:$I$89,5,0)</f>
        <v>8.8675733422860506E-14</v>
      </c>
      <c r="GB176" s="14">
        <f t="shared" si="185"/>
        <v>1.3509285393066301E-12</v>
      </c>
      <c r="GC176" s="22">
        <f t="shared" si="186"/>
        <v>2.5073107750038623E-12</v>
      </c>
      <c r="GD176" s="62">
        <f t="shared" si="134"/>
        <v>293.33333333333582</v>
      </c>
      <c r="GE176" s="62">
        <f ca="1">AVERAGE(OFFSET($GD$3,0,0,'Données projet'!$E$17+1,1))-AVERAGE(OFFSET($H$3,0,0,'Données projet'!$E$17+1,1))</f>
        <v>292.57482726862594</v>
      </c>
      <c r="GF176" s="62">
        <f t="shared" si="158"/>
        <v>283.48738729114024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3.979039320256561E-13</v>
      </c>
      <c r="GV176" s="18">
        <f>GU176*VLOOKUP('Données projet'!$B$18,Paramètres!$A$1:$I$89,3,0)*VLOOKUP('Données projet'!$B$18,Paramètres!$A$1:$I$89,5,0)</f>
        <v>2.669139576028101E-13</v>
      </c>
      <c r="GW176" s="14">
        <f t="shared" si="188"/>
        <v>3.5767923834585247E-12</v>
      </c>
      <c r="GX176" s="22">
        <f t="shared" si="189"/>
        <v>6.6944552106818241E-12</v>
      </c>
      <c r="GY176" s="62">
        <f t="shared" si="137"/>
        <v>293.33333333334002</v>
      </c>
      <c r="GZ176" s="62">
        <f ca="1">AVERAGE(OFFSET($GY$3,0,0,'Données projet'!$E$18+1,1))-AVERAGE(OFFSET($H$3,0,0,'Données projet'!$E$18+1,1))</f>
        <v>343.33067866534634</v>
      </c>
      <c r="HA176" s="62">
        <f t="shared" si="160"/>
        <v>261.91036689641402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297.99999999999977</v>
      </c>
      <c r="O177" s="14">
        <f>N177*VLOOKUP('Données projet'!$B$9,Paramètres!$A$1:$I$89,3,0)*VLOOKUP('Données projet'!$B$9,Paramètres!$A$1:$I$89,5,0)</f>
        <v>269.63039999999978</v>
      </c>
      <c r="P177" s="14">
        <f t="shared" si="141"/>
        <v>64.770824587436081</v>
      </c>
      <c r="Q177" s="22">
        <f t="shared" si="162"/>
        <v>582.41546615645075</v>
      </c>
      <c r="R177" s="62">
        <f t="shared" si="109"/>
        <v>875.74879948978401</v>
      </c>
      <c r="S177" s="62">
        <f ca="1">AVERAGE(OFFSET($R$3,0,0,'Données projet'!$E$9+1,1))-AVERAGE(OFFSET($H$3,0,0,'Données projet'!$E$9+1,1))</f>
        <v>508.77990078889337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297.99999999999977</v>
      </c>
      <c r="AJ177" s="14">
        <f>AI177*VLOOKUP('Données projet'!$B$10,Paramètres!$A$1:$I$89,3,0)*VLOOKUP('Données projet'!$B$10,Paramètres!$A$1:$I$89,5,0)</f>
        <v>302.1719999999998</v>
      </c>
      <c r="AK177" s="14">
        <f t="shared" si="164"/>
        <v>71.631606754643158</v>
      </c>
      <c r="AL177" s="22">
        <f t="shared" si="165"/>
        <v>651.04128176433642</v>
      </c>
      <c r="AM177" s="62">
        <f t="shared" si="113"/>
        <v>944.37461509766968</v>
      </c>
      <c r="AN177" s="62">
        <f ca="1">AVERAGE(OFFSET($AM$3,0,0,'Données projet'!$E$10+1,1))-AVERAGE(OFFSET($H$3,0,0,'Données projet'!$E$10+1,1))</f>
        <v>564.84596170333884</v>
      </c>
      <c r="AO177" s="62">
        <f t="shared" si="144"/>
        <v>306.61893266146666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-1.8089849618263545E-13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370.79299728190904</v>
      </c>
      <c r="BJ177" s="62">
        <f t="shared" si="146"/>
        <v>404.95703400805775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-1.8089849618263545E-13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370.79299728190904</v>
      </c>
      <c r="CE177" s="62">
        <f t="shared" si="148"/>
        <v>404.95703400805775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-1.7053025658242404E-13</v>
      </c>
      <c r="CU177" s="18">
        <f>CT177*VLOOKUP('Données projet'!$B$13,Paramètres!$A$1:$I$89,3,0)*VLOOKUP('Données projet'!$B$13,Paramètres!$A$1:$I$89,5,0)</f>
        <v>-1.4897523215040567E-13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339.58437495284466</v>
      </c>
      <c r="CZ177" s="62">
        <f t="shared" si="150"/>
        <v>371.26234252426531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-2.2737367544323206E-13</v>
      </c>
      <c r="DP177" s="18">
        <f>DO177*VLOOKUP('Données projet'!$B$14,Paramètres!$A$1:$I$89,3,0)*VLOOKUP('Données projet'!$B$14,Paramètres!$A$1:$I$89,5,0)</f>
        <v>-1.6671037883497774E-13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344.63665697794022</v>
      </c>
      <c r="DU177" s="62">
        <f t="shared" si="152"/>
        <v>376.72762011188041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5.4092197387944907E-14</v>
      </c>
      <c r="EL177" s="14">
        <f t="shared" si="179"/>
        <v>8.7287050538073676E-13</v>
      </c>
      <c r="EM177" s="22">
        <f t="shared" si="180"/>
        <v>1.6144600406554537E-12</v>
      </c>
      <c r="EN177" s="62">
        <f t="shared" si="128"/>
        <v>293.33333333333491</v>
      </c>
      <c r="EO177" s="62">
        <f ca="1">AVERAGE(OFFSET($EN$3,0,0,'Données projet'!$E$15+1,1))-AVERAGE(OFFSET($H$3,0,0,'Données projet'!$E$15+1,1))</f>
        <v>406.24139966722936</v>
      </c>
      <c r="EP177" s="62">
        <f t="shared" si="154"/>
        <v>295.95724296920577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297.99999999999977</v>
      </c>
      <c r="FF177" s="18">
        <f>FE177*VLOOKUP('Données projet'!$B$16,Paramètres!$A$1:$I$89,3,0)*VLOOKUP('Données projet'!$B$16,Paramètres!$A$1:$I$89,5,0)</f>
        <v>288.22559999999976</v>
      </c>
      <c r="FG177" s="14">
        <f t="shared" si="182"/>
        <v>68.702374546701833</v>
      </c>
      <c r="FH177" s="22">
        <f t="shared" si="183"/>
        <v>621.64955566883862</v>
      </c>
      <c r="FI177" s="62">
        <f t="shared" si="131"/>
        <v>914.98288900217199</v>
      </c>
      <c r="FJ177" s="62">
        <f ca="1">AVERAGE(OFFSET($FI$3,0,0,'Données projet'!$E$16+1,1))-AVERAGE(OFFSET($H$3,0,0,'Données projet'!$E$16+1,1))</f>
        <v>540.83352418045502</v>
      </c>
      <c r="FK177" s="62">
        <f t="shared" si="156"/>
        <v>294.45557293177131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1.1368683772161603E-13</v>
      </c>
      <c r="GA177" s="18">
        <f>FZ177*VLOOKUP('Données projet'!$B$17,Paramètres!$A$1:$I$89,3,0)*VLOOKUP('Données projet'!$B$17,Paramètres!$A$1:$I$89,5,0)</f>
        <v>8.8675733422860506E-14</v>
      </c>
      <c r="GB177" s="14">
        <f t="shared" si="185"/>
        <v>1.3509285393066301E-12</v>
      </c>
      <c r="GC177" s="22">
        <f t="shared" si="186"/>
        <v>2.5073107750038623E-12</v>
      </c>
      <c r="GD177" s="62">
        <f t="shared" si="134"/>
        <v>293.33333333333582</v>
      </c>
      <c r="GE177" s="62">
        <f ca="1">AVERAGE(OFFSET($GD$3,0,0,'Données projet'!$E$17+1,1))-AVERAGE(OFFSET($H$3,0,0,'Données projet'!$E$17+1,1))</f>
        <v>292.57482726862594</v>
      </c>
      <c r="GF177" s="62">
        <f t="shared" si="158"/>
        <v>283.48738729114024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3.979039320256561E-13</v>
      </c>
      <c r="GV177" s="18">
        <f>GU177*VLOOKUP('Données projet'!$B$18,Paramètres!$A$1:$I$89,3,0)*VLOOKUP('Données projet'!$B$18,Paramètres!$A$1:$I$89,5,0)</f>
        <v>2.669139576028101E-13</v>
      </c>
      <c r="GW177" s="14">
        <f t="shared" si="188"/>
        <v>3.5767923834585247E-12</v>
      </c>
      <c r="GX177" s="22">
        <f t="shared" si="189"/>
        <v>6.6944552106818241E-12</v>
      </c>
      <c r="GY177" s="62">
        <f t="shared" si="137"/>
        <v>293.33333333334002</v>
      </c>
      <c r="GZ177" s="62">
        <f ca="1">AVERAGE(OFFSET($GY$3,0,0,'Données projet'!$E$18+1,1))-AVERAGE(OFFSET($H$3,0,0,'Données projet'!$E$18+1,1))</f>
        <v>343.33067866534634</v>
      </c>
      <c r="HA177" s="62">
        <f t="shared" si="160"/>
        <v>261.91036689641402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297.99999999999977</v>
      </c>
      <c r="O178" s="14">
        <f>N178*VLOOKUP('Données projet'!$B$9,Paramètres!$A$1:$I$89,3,0)*VLOOKUP('Données projet'!$B$9,Paramètres!$A$1:$I$89,5,0)</f>
        <v>269.63039999999978</v>
      </c>
      <c r="P178" s="14">
        <f t="shared" si="141"/>
        <v>64.770824587436081</v>
      </c>
      <c r="Q178" s="22">
        <f t="shared" si="162"/>
        <v>582.41546615645075</v>
      </c>
      <c r="R178" s="62">
        <f t="shared" si="109"/>
        <v>875.74879948978401</v>
      </c>
      <c r="S178" s="62">
        <f ca="1">AVERAGE(OFFSET($R$3,0,0,'Données projet'!$E$9+1,1))-AVERAGE(OFFSET($H$3,0,0,'Données projet'!$E$9+1,1))</f>
        <v>508.77990078889337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297.99999999999977</v>
      </c>
      <c r="AJ178" s="14">
        <f>AI178*VLOOKUP('Données projet'!$B$10,Paramètres!$A$1:$I$89,3,0)*VLOOKUP('Données projet'!$B$10,Paramètres!$A$1:$I$89,5,0)</f>
        <v>302.1719999999998</v>
      </c>
      <c r="AK178" s="14">
        <f t="shared" si="164"/>
        <v>71.631606754643158</v>
      </c>
      <c r="AL178" s="22">
        <f t="shared" si="165"/>
        <v>651.04128176433642</v>
      </c>
      <c r="AM178" s="62">
        <f t="shared" si="113"/>
        <v>944.37461509766968</v>
      </c>
      <c r="AN178" s="62">
        <f ca="1">AVERAGE(OFFSET($AM$3,0,0,'Données projet'!$E$10+1,1))-AVERAGE(OFFSET($H$3,0,0,'Données projet'!$E$10+1,1))</f>
        <v>564.84596170333884</v>
      </c>
      <c r="AO178" s="62">
        <f t="shared" si="144"/>
        <v>306.61893266146666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-1.8089849618263545E-13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370.79299728190904</v>
      </c>
      <c r="BJ178" s="62">
        <f t="shared" si="146"/>
        <v>404.95703400805775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-1.8089849618263545E-13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370.79299728190904</v>
      </c>
      <c r="CE178" s="62">
        <f t="shared" si="148"/>
        <v>404.95703400805775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-1.7053025658242404E-13</v>
      </c>
      <c r="CU178" s="18">
        <f>CT178*VLOOKUP('Données projet'!$B$13,Paramètres!$A$1:$I$89,3,0)*VLOOKUP('Données projet'!$B$13,Paramètres!$A$1:$I$89,5,0)</f>
        <v>-1.4897523215040567E-13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339.58437495284466</v>
      </c>
      <c r="CZ178" s="62">
        <f t="shared" si="150"/>
        <v>371.26234252426531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-2.2737367544323206E-13</v>
      </c>
      <c r="DP178" s="18">
        <f>DO178*VLOOKUP('Données projet'!$B$14,Paramètres!$A$1:$I$89,3,0)*VLOOKUP('Données projet'!$B$14,Paramètres!$A$1:$I$89,5,0)</f>
        <v>-1.6671037883497774E-13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344.63665697794022</v>
      </c>
      <c r="DU178" s="62">
        <f t="shared" si="152"/>
        <v>376.72762011188041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5.4092197387944907E-14</v>
      </c>
      <c r="EL178" s="14">
        <f t="shared" si="179"/>
        <v>8.7287050538073676E-13</v>
      </c>
      <c r="EM178" s="22">
        <f t="shared" si="180"/>
        <v>1.6144600406554537E-12</v>
      </c>
      <c r="EN178" s="62">
        <f t="shared" si="128"/>
        <v>293.33333333333491</v>
      </c>
      <c r="EO178" s="62">
        <f ca="1">AVERAGE(OFFSET($EN$3,0,0,'Données projet'!$E$15+1,1))-AVERAGE(OFFSET($H$3,0,0,'Données projet'!$E$15+1,1))</f>
        <v>406.24139966722936</v>
      </c>
      <c r="EP178" s="62">
        <f t="shared" si="154"/>
        <v>295.95724296920577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297.99999999999977</v>
      </c>
      <c r="FF178" s="18">
        <f>FE178*VLOOKUP('Données projet'!$B$16,Paramètres!$A$1:$I$89,3,0)*VLOOKUP('Données projet'!$B$16,Paramètres!$A$1:$I$89,5,0)</f>
        <v>288.22559999999976</v>
      </c>
      <c r="FG178" s="14">
        <f t="shared" si="182"/>
        <v>68.702374546701833</v>
      </c>
      <c r="FH178" s="22">
        <f t="shared" si="183"/>
        <v>621.64955566883862</v>
      </c>
      <c r="FI178" s="62">
        <f t="shared" si="131"/>
        <v>914.98288900217199</v>
      </c>
      <c r="FJ178" s="62">
        <f ca="1">AVERAGE(OFFSET($FI$3,0,0,'Données projet'!$E$16+1,1))-AVERAGE(OFFSET($H$3,0,0,'Données projet'!$E$16+1,1))</f>
        <v>540.83352418045502</v>
      </c>
      <c r="FK178" s="62">
        <f t="shared" si="156"/>
        <v>294.45557293177131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1.1368683772161603E-13</v>
      </c>
      <c r="GA178" s="18">
        <f>FZ178*VLOOKUP('Données projet'!$B$17,Paramètres!$A$1:$I$89,3,0)*VLOOKUP('Données projet'!$B$17,Paramètres!$A$1:$I$89,5,0)</f>
        <v>8.8675733422860506E-14</v>
      </c>
      <c r="GB178" s="14">
        <f t="shared" si="185"/>
        <v>1.3509285393066301E-12</v>
      </c>
      <c r="GC178" s="22">
        <f t="shared" si="186"/>
        <v>2.5073107750038623E-12</v>
      </c>
      <c r="GD178" s="62">
        <f t="shared" si="134"/>
        <v>293.33333333333582</v>
      </c>
      <c r="GE178" s="62">
        <f ca="1">AVERAGE(OFFSET($GD$3,0,0,'Données projet'!$E$17+1,1))-AVERAGE(OFFSET($H$3,0,0,'Données projet'!$E$17+1,1))</f>
        <v>292.57482726862594</v>
      </c>
      <c r="GF178" s="62">
        <f t="shared" si="158"/>
        <v>283.48738729114024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3.979039320256561E-13</v>
      </c>
      <c r="GV178" s="18">
        <f>GU178*VLOOKUP('Données projet'!$B$18,Paramètres!$A$1:$I$89,3,0)*VLOOKUP('Données projet'!$B$18,Paramètres!$A$1:$I$89,5,0)</f>
        <v>2.669139576028101E-13</v>
      </c>
      <c r="GW178" s="14">
        <f t="shared" si="188"/>
        <v>3.5767923834585247E-12</v>
      </c>
      <c r="GX178" s="22">
        <f t="shared" si="189"/>
        <v>6.6944552106818241E-12</v>
      </c>
      <c r="GY178" s="62">
        <f t="shared" si="137"/>
        <v>293.33333333334002</v>
      </c>
      <c r="GZ178" s="62">
        <f ca="1">AVERAGE(OFFSET($GY$3,0,0,'Données projet'!$E$18+1,1))-AVERAGE(OFFSET($H$3,0,0,'Données projet'!$E$18+1,1))</f>
        <v>343.33067866534634</v>
      </c>
      <c r="HA178" s="62">
        <f t="shared" si="160"/>
        <v>261.91036689641402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297.99999999999977</v>
      </c>
      <c r="O179" s="14">
        <f>N179*VLOOKUP('Données projet'!$B$9,Paramètres!$A$1:$I$89,3,0)*VLOOKUP('Données projet'!$B$9,Paramètres!$A$1:$I$89,5,0)</f>
        <v>269.63039999999978</v>
      </c>
      <c r="P179" s="14">
        <f t="shared" si="141"/>
        <v>64.770824587436081</v>
      </c>
      <c r="Q179" s="22">
        <f t="shared" si="162"/>
        <v>582.41546615645075</v>
      </c>
      <c r="R179" s="62">
        <f t="shared" si="109"/>
        <v>875.74879948978401</v>
      </c>
      <c r="S179" s="62">
        <f ca="1">AVERAGE(OFFSET($R$3,0,0,'Données projet'!$E$9+1,1))-AVERAGE(OFFSET($H$3,0,0,'Données projet'!$E$9+1,1))</f>
        <v>508.77990078889337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297.99999999999977</v>
      </c>
      <c r="AJ179" s="14">
        <f>AI179*VLOOKUP('Données projet'!$B$10,Paramètres!$A$1:$I$89,3,0)*VLOOKUP('Données projet'!$B$10,Paramètres!$A$1:$I$89,5,0)</f>
        <v>302.1719999999998</v>
      </c>
      <c r="AK179" s="14">
        <f t="shared" si="164"/>
        <v>71.631606754643158</v>
      </c>
      <c r="AL179" s="22">
        <f t="shared" si="165"/>
        <v>651.04128176433642</v>
      </c>
      <c r="AM179" s="62">
        <f t="shared" si="113"/>
        <v>944.37461509766968</v>
      </c>
      <c r="AN179" s="62">
        <f ca="1">AVERAGE(OFFSET($AM$3,0,0,'Données projet'!$E$10+1,1))-AVERAGE(OFFSET($H$3,0,0,'Données projet'!$E$10+1,1))</f>
        <v>564.84596170333884</v>
      </c>
      <c r="AO179" s="62">
        <f t="shared" si="144"/>
        <v>306.61893266146666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-1.8089849618263545E-13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370.79299728190904</v>
      </c>
      <c r="BJ179" s="62">
        <f t="shared" si="146"/>
        <v>404.95703400805775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-1.8089849618263545E-13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370.79299728190904</v>
      </c>
      <c r="CE179" s="62">
        <f t="shared" si="148"/>
        <v>404.95703400805775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-1.7053025658242404E-13</v>
      </c>
      <c r="CU179" s="18">
        <f>CT179*VLOOKUP('Données projet'!$B$13,Paramètres!$A$1:$I$89,3,0)*VLOOKUP('Données projet'!$B$13,Paramètres!$A$1:$I$89,5,0)</f>
        <v>-1.4897523215040567E-13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339.58437495284466</v>
      </c>
      <c r="CZ179" s="62">
        <f t="shared" si="150"/>
        <v>371.26234252426531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-2.2737367544323206E-13</v>
      </c>
      <c r="DP179" s="18">
        <f>DO179*VLOOKUP('Données projet'!$B$14,Paramètres!$A$1:$I$89,3,0)*VLOOKUP('Données projet'!$B$14,Paramètres!$A$1:$I$89,5,0)</f>
        <v>-1.6671037883497774E-13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344.63665697794022</v>
      </c>
      <c r="DU179" s="62">
        <f t="shared" si="152"/>
        <v>376.72762011188041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5.4092197387944907E-14</v>
      </c>
      <c r="EL179" s="14">
        <f t="shared" si="179"/>
        <v>8.7287050538073676E-13</v>
      </c>
      <c r="EM179" s="22">
        <f t="shared" si="180"/>
        <v>1.6144600406554537E-12</v>
      </c>
      <c r="EN179" s="62">
        <f t="shared" si="128"/>
        <v>293.33333333333491</v>
      </c>
      <c r="EO179" s="62">
        <f ca="1">AVERAGE(OFFSET($EN$3,0,0,'Données projet'!$E$15+1,1))-AVERAGE(OFFSET($H$3,0,0,'Données projet'!$E$15+1,1))</f>
        <v>406.24139966722936</v>
      </c>
      <c r="EP179" s="62">
        <f t="shared" si="154"/>
        <v>295.95724296920577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297.99999999999977</v>
      </c>
      <c r="FF179" s="18">
        <f>FE179*VLOOKUP('Données projet'!$B$16,Paramètres!$A$1:$I$89,3,0)*VLOOKUP('Données projet'!$B$16,Paramètres!$A$1:$I$89,5,0)</f>
        <v>288.22559999999976</v>
      </c>
      <c r="FG179" s="14">
        <f t="shared" si="182"/>
        <v>68.702374546701833</v>
      </c>
      <c r="FH179" s="22">
        <f t="shared" si="183"/>
        <v>621.64955566883862</v>
      </c>
      <c r="FI179" s="62">
        <f t="shared" si="131"/>
        <v>914.98288900217199</v>
      </c>
      <c r="FJ179" s="62">
        <f ca="1">AVERAGE(OFFSET($FI$3,0,0,'Données projet'!$E$16+1,1))-AVERAGE(OFFSET($H$3,0,0,'Données projet'!$E$16+1,1))</f>
        <v>540.83352418045502</v>
      </c>
      <c r="FK179" s="62">
        <f t="shared" si="156"/>
        <v>294.45557293177131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1.1368683772161603E-13</v>
      </c>
      <c r="GA179" s="18">
        <f>FZ179*VLOOKUP('Données projet'!$B$17,Paramètres!$A$1:$I$89,3,0)*VLOOKUP('Données projet'!$B$17,Paramètres!$A$1:$I$89,5,0)</f>
        <v>8.8675733422860506E-14</v>
      </c>
      <c r="GB179" s="14">
        <f t="shared" si="185"/>
        <v>1.3509285393066301E-12</v>
      </c>
      <c r="GC179" s="22">
        <f t="shared" si="186"/>
        <v>2.5073107750038623E-12</v>
      </c>
      <c r="GD179" s="62">
        <f t="shared" si="134"/>
        <v>293.33333333333582</v>
      </c>
      <c r="GE179" s="62">
        <f ca="1">AVERAGE(OFFSET($GD$3,0,0,'Données projet'!$E$17+1,1))-AVERAGE(OFFSET($H$3,0,0,'Données projet'!$E$17+1,1))</f>
        <v>292.57482726862594</v>
      </c>
      <c r="GF179" s="62">
        <f t="shared" si="158"/>
        <v>283.48738729114024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3.979039320256561E-13</v>
      </c>
      <c r="GV179" s="18">
        <f>GU179*VLOOKUP('Données projet'!$B$18,Paramètres!$A$1:$I$89,3,0)*VLOOKUP('Données projet'!$B$18,Paramètres!$A$1:$I$89,5,0)</f>
        <v>2.669139576028101E-13</v>
      </c>
      <c r="GW179" s="14">
        <f t="shared" si="188"/>
        <v>3.5767923834585247E-12</v>
      </c>
      <c r="GX179" s="22">
        <f t="shared" si="189"/>
        <v>6.6944552106818241E-12</v>
      </c>
      <c r="GY179" s="62">
        <f t="shared" si="137"/>
        <v>293.33333333334002</v>
      </c>
      <c r="GZ179" s="62">
        <f ca="1">AVERAGE(OFFSET($GY$3,0,0,'Données projet'!$E$18+1,1))-AVERAGE(OFFSET($H$3,0,0,'Données projet'!$E$18+1,1))</f>
        <v>343.33067866534634</v>
      </c>
      <c r="HA179" s="62">
        <f t="shared" si="160"/>
        <v>261.91036689641402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297.99999999999977</v>
      </c>
      <c r="O180" s="14">
        <f>N180*VLOOKUP('Données projet'!$B$9,Paramètres!$A$1:$I$89,3,0)*VLOOKUP('Données projet'!$B$9,Paramètres!$A$1:$I$89,5,0)</f>
        <v>269.63039999999978</v>
      </c>
      <c r="P180" s="14">
        <f t="shared" si="141"/>
        <v>64.770824587436081</v>
      </c>
      <c r="Q180" s="22">
        <f t="shared" si="162"/>
        <v>582.41546615645075</v>
      </c>
      <c r="R180" s="62">
        <f t="shared" si="109"/>
        <v>875.74879948978401</v>
      </c>
      <c r="S180" s="62">
        <f ca="1">AVERAGE(OFFSET($R$3,0,0,'Données projet'!$E$9+1,1))-AVERAGE(OFFSET($H$3,0,0,'Données projet'!$E$9+1,1))</f>
        <v>508.77990078889337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297.99999999999977</v>
      </c>
      <c r="AJ180" s="14">
        <f>AI180*VLOOKUP('Données projet'!$B$10,Paramètres!$A$1:$I$89,3,0)*VLOOKUP('Données projet'!$B$10,Paramètres!$A$1:$I$89,5,0)</f>
        <v>302.1719999999998</v>
      </c>
      <c r="AK180" s="14">
        <f t="shared" si="164"/>
        <v>71.631606754643158</v>
      </c>
      <c r="AL180" s="22">
        <f t="shared" si="165"/>
        <v>651.04128176433642</v>
      </c>
      <c r="AM180" s="62">
        <f t="shared" si="113"/>
        <v>944.37461509766968</v>
      </c>
      <c r="AN180" s="62">
        <f ca="1">AVERAGE(OFFSET($AM$3,0,0,'Données projet'!$E$10+1,1))-AVERAGE(OFFSET($H$3,0,0,'Données projet'!$E$10+1,1))</f>
        <v>564.84596170333884</v>
      </c>
      <c r="AO180" s="62">
        <f t="shared" si="144"/>
        <v>306.61893266146666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-1.8089849618263545E-13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370.79299728190904</v>
      </c>
      <c r="BJ180" s="62">
        <f t="shared" si="146"/>
        <v>404.95703400805775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-1.8089849618263545E-13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370.79299728190904</v>
      </c>
      <c r="CE180" s="62">
        <f t="shared" si="148"/>
        <v>404.95703400805775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-1.7053025658242404E-13</v>
      </c>
      <c r="CU180" s="18">
        <f>CT180*VLOOKUP('Données projet'!$B$13,Paramètres!$A$1:$I$89,3,0)*VLOOKUP('Données projet'!$B$13,Paramètres!$A$1:$I$89,5,0)</f>
        <v>-1.4897523215040567E-13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339.58437495284466</v>
      </c>
      <c r="CZ180" s="62">
        <f t="shared" si="150"/>
        <v>371.26234252426531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-2.2737367544323206E-13</v>
      </c>
      <c r="DP180" s="18">
        <f>DO180*VLOOKUP('Données projet'!$B$14,Paramètres!$A$1:$I$89,3,0)*VLOOKUP('Données projet'!$B$14,Paramètres!$A$1:$I$89,5,0)</f>
        <v>-1.6671037883497774E-13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344.63665697794022</v>
      </c>
      <c r="DU180" s="62">
        <f t="shared" si="152"/>
        <v>376.72762011188041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5.4092197387944907E-14</v>
      </c>
      <c r="EL180" s="14">
        <f t="shared" si="179"/>
        <v>8.7287050538073676E-13</v>
      </c>
      <c r="EM180" s="22">
        <f t="shared" si="180"/>
        <v>1.6144600406554537E-12</v>
      </c>
      <c r="EN180" s="62">
        <f t="shared" si="128"/>
        <v>293.33333333333491</v>
      </c>
      <c r="EO180" s="62">
        <f ca="1">AVERAGE(OFFSET($EN$3,0,0,'Données projet'!$E$15+1,1))-AVERAGE(OFFSET($H$3,0,0,'Données projet'!$E$15+1,1))</f>
        <v>406.24139966722936</v>
      </c>
      <c r="EP180" s="62">
        <f t="shared" si="154"/>
        <v>295.95724296920577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297.99999999999977</v>
      </c>
      <c r="FF180" s="18">
        <f>FE180*VLOOKUP('Données projet'!$B$16,Paramètres!$A$1:$I$89,3,0)*VLOOKUP('Données projet'!$B$16,Paramètres!$A$1:$I$89,5,0)</f>
        <v>288.22559999999976</v>
      </c>
      <c r="FG180" s="14">
        <f t="shared" si="182"/>
        <v>68.702374546701833</v>
      </c>
      <c r="FH180" s="22">
        <f t="shared" si="183"/>
        <v>621.64955566883862</v>
      </c>
      <c r="FI180" s="62">
        <f t="shared" si="131"/>
        <v>914.98288900217199</v>
      </c>
      <c r="FJ180" s="62">
        <f ca="1">AVERAGE(OFFSET($FI$3,0,0,'Données projet'!$E$16+1,1))-AVERAGE(OFFSET($H$3,0,0,'Données projet'!$E$16+1,1))</f>
        <v>540.83352418045502</v>
      </c>
      <c r="FK180" s="62">
        <f t="shared" si="156"/>
        <v>294.45557293177131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1.1368683772161603E-13</v>
      </c>
      <c r="GA180" s="18">
        <f>FZ180*VLOOKUP('Données projet'!$B$17,Paramètres!$A$1:$I$89,3,0)*VLOOKUP('Données projet'!$B$17,Paramètres!$A$1:$I$89,5,0)</f>
        <v>8.8675733422860506E-14</v>
      </c>
      <c r="GB180" s="14">
        <f t="shared" si="185"/>
        <v>1.3509285393066301E-12</v>
      </c>
      <c r="GC180" s="22">
        <f t="shared" si="186"/>
        <v>2.5073107750038623E-12</v>
      </c>
      <c r="GD180" s="62">
        <f t="shared" si="134"/>
        <v>293.33333333333582</v>
      </c>
      <c r="GE180" s="62">
        <f ca="1">AVERAGE(OFFSET($GD$3,0,0,'Données projet'!$E$17+1,1))-AVERAGE(OFFSET($H$3,0,0,'Données projet'!$E$17+1,1))</f>
        <v>292.57482726862594</v>
      </c>
      <c r="GF180" s="62">
        <f t="shared" si="158"/>
        <v>283.48738729114024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3.979039320256561E-13</v>
      </c>
      <c r="GV180" s="18">
        <f>GU180*VLOOKUP('Données projet'!$B$18,Paramètres!$A$1:$I$89,3,0)*VLOOKUP('Données projet'!$B$18,Paramètres!$A$1:$I$89,5,0)</f>
        <v>2.669139576028101E-13</v>
      </c>
      <c r="GW180" s="14">
        <f t="shared" si="188"/>
        <v>3.5767923834585247E-12</v>
      </c>
      <c r="GX180" s="22">
        <f t="shared" si="189"/>
        <v>6.6944552106818241E-12</v>
      </c>
      <c r="GY180" s="62">
        <f t="shared" si="137"/>
        <v>293.33333333334002</v>
      </c>
      <c r="GZ180" s="62">
        <f ca="1">AVERAGE(OFFSET($GY$3,0,0,'Données projet'!$E$18+1,1))-AVERAGE(OFFSET($H$3,0,0,'Données projet'!$E$18+1,1))</f>
        <v>343.33067866534634</v>
      </c>
      <c r="HA180" s="62">
        <f t="shared" si="160"/>
        <v>261.91036689641402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297.99999999999977</v>
      </c>
      <c r="O181" s="14">
        <f>N181*VLOOKUP('Données projet'!$B$9,Paramètres!$A$1:$I$89,3,0)*VLOOKUP('Données projet'!$B$9,Paramètres!$A$1:$I$89,5,0)</f>
        <v>269.63039999999978</v>
      </c>
      <c r="P181" s="14">
        <f t="shared" si="141"/>
        <v>64.770824587436081</v>
      </c>
      <c r="Q181" s="22">
        <f t="shared" si="162"/>
        <v>582.41546615645075</v>
      </c>
      <c r="R181" s="62">
        <f t="shared" si="109"/>
        <v>875.74879948978401</v>
      </c>
      <c r="S181" s="62">
        <f ca="1">AVERAGE(OFFSET($R$3,0,0,'Données projet'!$E$9+1,1))-AVERAGE(OFFSET($H$3,0,0,'Données projet'!$E$9+1,1))</f>
        <v>508.77990078889337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297.99999999999977</v>
      </c>
      <c r="AJ181" s="14">
        <f>AI181*VLOOKUP('Données projet'!$B$10,Paramètres!$A$1:$I$89,3,0)*VLOOKUP('Données projet'!$B$10,Paramètres!$A$1:$I$89,5,0)</f>
        <v>302.1719999999998</v>
      </c>
      <c r="AK181" s="14">
        <f t="shared" si="164"/>
        <v>71.631606754643158</v>
      </c>
      <c r="AL181" s="22">
        <f t="shared" si="165"/>
        <v>651.04128176433642</v>
      </c>
      <c r="AM181" s="62">
        <f t="shared" si="113"/>
        <v>944.37461509766968</v>
      </c>
      <c r="AN181" s="62">
        <f ca="1">AVERAGE(OFFSET($AM$3,0,0,'Données projet'!$E$10+1,1))-AVERAGE(OFFSET($H$3,0,0,'Données projet'!$E$10+1,1))</f>
        <v>564.84596170333884</v>
      </c>
      <c r="AO181" s="62">
        <f t="shared" si="144"/>
        <v>306.61893266146666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-1.8089849618263545E-13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370.79299728190904</v>
      </c>
      <c r="BJ181" s="62">
        <f t="shared" si="146"/>
        <v>404.95703400805775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-1.8089849618263545E-13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370.79299728190904</v>
      </c>
      <c r="CE181" s="62">
        <f t="shared" si="148"/>
        <v>404.95703400805775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-1.7053025658242404E-13</v>
      </c>
      <c r="CU181" s="18">
        <f>CT181*VLOOKUP('Données projet'!$B$13,Paramètres!$A$1:$I$89,3,0)*VLOOKUP('Données projet'!$B$13,Paramètres!$A$1:$I$89,5,0)</f>
        <v>-1.4897523215040567E-13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339.58437495284466</v>
      </c>
      <c r="CZ181" s="62">
        <f t="shared" si="150"/>
        <v>371.26234252426531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-2.2737367544323206E-13</v>
      </c>
      <c r="DP181" s="18">
        <f>DO181*VLOOKUP('Données projet'!$B$14,Paramètres!$A$1:$I$89,3,0)*VLOOKUP('Données projet'!$B$14,Paramètres!$A$1:$I$89,5,0)</f>
        <v>-1.6671037883497774E-13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344.63665697794022</v>
      </c>
      <c r="DU181" s="62">
        <f t="shared" si="152"/>
        <v>376.72762011188041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5.4092197387944907E-14</v>
      </c>
      <c r="EL181" s="14">
        <f t="shared" si="179"/>
        <v>8.7287050538073676E-13</v>
      </c>
      <c r="EM181" s="22">
        <f t="shared" si="180"/>
        <v>1.6144600406554537E-12</v>
      </c>
      <c r="EN181" s="62">
        <f t="shared" si="128"/>
        <v>293.33333333333491</v>
      </c>
      <c r="EO181" s="62">
        <f ca="1">AVERAGE(OFFSET($EN$3,0,0,'Données projet'!$E$15+1,1))-AVERAGE(OFFSET($H$3,0,0,'Données projet'!$E$15+1,1))</f>
        <v>406.24139966722936</v>
      </c>
      <c r="EP181" s="62">
        <f t="shared" si="154"/>
        <v>295.95724296920577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297.99999999999977</v>
      </c>
      <c r="FF181" s="18">
        <f>FE181*VLOOKUP('Données projet'!$B$16,Paramètres!$A$1:$I$89,3,0)*VLOOKUP('Données projet'!$B$16,Paramètres!$A$1:$I$89,5,0)</f>
        <v>288.22559999999976</v>
      </c>
      <c r="FG181" s="14">
        <f t="shared" si="182"/>
        <v>68.702374546701833</v>
      </c>
      <c r="FH181" s="22">
        <f t="shared" si="183"/>
        <v>621.64955566883862</v>
      </c>
      <c r="FI181" s="62">
        <f t="shared" si="131"/>
        <v>914.98288900217199</v>
      </c>
      <c r="FJ181" s="62">
        <f ca="1">AVERAGE(OFFSET($FI$3,0,0,'Données projet'!$E$16+1,1))-AVERAGE(OFFSET($H$3,0,0,'Données projet'!$E$16+1,1))</f>
        <v>540.83352418045502</v>
      </c>
      <c r="FK181" s="62">
        <f t="shared" si="156"/>
        <v>294.45557293177131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1.1368683772161603E-13</v>
      </c>
      <c r="GA181" s="18">
        <f>FZ181*VLOOKUP('Données projet'!$B$17,Paramètres!$A$1:$I$89,3,0)*VLOOKUP('Données projet'!$B$17,Paramètres!$A$1:$I$89,5,0)</f>
        <v>8.8675733422860506E-14</v>
      </c>
      <c r="GB181" s="14">
        <f t="shared" si="185"/>
        <v>1.3509285393066301E-12</v>
      </c>
      <c r="GC181" s="22">
        <f t="shared" si="186"/>
        <v>2.5073107750038623E-12</v>
      </c>
      <c r="GD181" s="62">
        <f t="shared" si="134"/>
        <v>293.33333333333582</v>
      </c>
      <c r="GE181" s="62">
        <f ca="1">AVERAGE(OFFSET($GD$3,0,0,'Données projet'!$E$17+1,1))-AVERAGE(OFFSET($H$3,0,0,'Données projet'!$E$17+1,1))</f>
        <v>292.57482726862594</v>
      </c>
      <c r="GF181" s="62">
        <f t="shared" si="158"/>
        <v>283.48738729114024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3.979039320256561E-13</v>
      </c>
      <c r="GV181" s="18">
        <f>GU181*VLOOKUP('Données projet'!$B$18,Paramètres!$A$1:$I$89,3,0)*VLOOKUP('Données projet'!$B$18,Paramètres!$A$1:$I$89,5,0)</f>
        <v>2.669139576028101E-13</v>
      </c>
      <c r="GW181" s="14">
        <f t="shared" si="188"/>
        <v>3.5767923834585247E-12</v>
      </c>
      <c r="GX181" s="22">
        <f t="shared" si="189"/>
        <v>6.6944552106818241E-12</v>
      </c>
      <c r="GY181" s="62">
        <f t="shared" si="137"/>
        <v>293.33333333334002</v>
      </c>
      <c r="GZ181" s="62">
        <f ca="1">AVERAGE(OFFSET($GY$3,0,0,'Données projet'!$E$18+1,1))-AVERAGE(OFFSET($H$3,0,0,'Données projet'!$E$18+1,1))</f>
        <v>343.33067866534634</v>
      </c>
      <c r="HA181" s="62">
        <f t="shared" si="160"/>
        <v>261.91036689641402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297.99999999999977</v>
      </c>
      <c r="O182" s="14">
        <f>N182*VLOOKUP('Données projet'!$B$9,Paramètres!$A$1:$I$89,3,0)*VLOOKUP('Données projet'!$B$9,Paramètres!$A$1:$I$89,5,0)</f>
        <v>269.63039999999978</v>
      </c>
      <c r="P182" s="14">
        <f t="shared" si="141"/>
        <v>64.770824587436081</v>
      </c>
      <c r="Q182" s="22">
        <f t="shared" si="162"/>
        <v>582.41546615645075</v>
      </c>
      <c r="R182" s="62">
        <f t="shared" si="109"/>
        <v>875.74879948978401</v>
      </c>
      <c r="S182" s="62">
        <f ca="1">AVERAGE(OFFSET($R$3,0,0,'Données projet'!$E$9+1,1))-AVERAGE(OFFSET($H$3,0,0,'Données projet'!$E$9+1,1))</f>
        <v>508.77990078889337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297.99999999999977</v>
      </c>
      <c r="AJ182" s="14">
        <f>AI182*VLOOKUP('Données projet'!$B$10,Paramètres!$A$1:$I$89,3,0)*VLOOKUP('Données projet'!$B$10,Paramètres!$A$1:$I$89,5,0)</f>
        <v>302.1719999999998</v>
      </c>
      <c r="AK182" s="14">
        <f t="shared" si="164"/>
        <v>71.631606754643158</v>
      </c>
      <c r="AL182" s="22">
        <f t="shared" si="165"/>
        <v>651.04128176433642</v>
      </c>
      <c r="AM182" s="62">
        <f t="shared" si="113"/>
        <v>944.37461509766968</v>
      </c>
      <c r="AN182" s="62">
        <f ca="1">AVERAGE(OFFSET($AM$3,0,0,'Données projet'!$E$10+1,1))-AVERAGE(OFFSET($H$3,0,0,'Données projet'!$E$10+1,1))</f>
        <v>564.84596170333884</v>
      </c>
      <c r="AO182" s="62">
        <f t="shared" si="144"/>
        <v>306.61893266146666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-1.8089849618263545E-13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370.79299728190904</v>
      </c>
      <c r="BJ182" s="62">
        <f t="shared" si="146"/>
        <v>404.95703400805775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-1.8089849618263545E-13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370.79299728190904</v>
      </c>
      <c r="CE182" s="62">
        <f t="shared" si="148"/>
        <v>404.95703400805775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-1.7053025658242404E-13</v>
      </c>
      <c r="CU182" s="18">
        <f>CT182*VLOOKUP('Données projet'!$B$13,Paramètres!$A$1:$I$89,3,0)*VLOOKUP('Données projet'!$B$13,Paramètres!$A$1:$I$89,5,0)</f>
        <v>-1.4897523215040567E-13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339.58437495284466</v>
      </c>
      <c r="CZ182" s="62">
        <f t="shared" si="150"/>
        <v>371.26234252426531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-2.2737367544323206E-13</v>
      </c>
      <c r="DP182" s="18">
        <f>DO182*VLOOKUP('Données projet'!$B$14,Paramètres!$A$1:$I$89,3,0)*VLOOKUP('Données projet'!$B$14,Paramètres!$A$1:$I$89,5,0)</f>
        <v>-1.6671037883497774E-13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344.63665697794022</v>
      </c>
      <c r="DU182" s="62">
        <f t="shared" si="152"/>
        <v>376.72762011188041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5.4092197387944907E-14</v>
      </c>
      <c r="EL182" s="14">
        <f t="shared" si="179"/>
        <v>8.7287050538073676E-13</v>
      </c>
      <c r="EM182" s="22">
        <f t="shared" si="180"/>
        <v>1.6144600406554537E-12</v>
      </c>
      <c r="EN182" s="62">
        <f t="shared" si="128"/>
        <v>293.33333333333491</v>
      </c>
      <c r="EO182" s="62">
        <f ca="1">AVERAGE(OFFSET($EN$3,0,0,'Données projet'!$E$15+1,1))-AVERAGE(OFFSET($H$3,0,0,'Données projet'!$E$15+1,1))</f>
        <v>406.24139966722936</v>
      </c>
      <c r="EP182" s="62">
        <f t="shared" si="154"/>
        <v>295.95724296920577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297.99999999999977</v>
      </c>
      <c r="FF182" s="18">
        <f>FE182*VLOOKUP('Données projet'!$B$16,Paramètres!$A$1:$I$89,3,0)*VLOOKUP('Données projet'!$B$16,Paramètres!$A$1:$I$89,5,0)</f>
        <v>288.22559999999976</v>
      </c>
      <c r="FG182" s="14">
        <f t="shared" si="182"/>
        <v>68.702374546701833</v>
      </c>
      <c r="FH182" s="22">
        <f t="shared" si="183"/>
        <v>621.64955566883862</v>
      </c>
      <c r="FI182" s="62">
        <f t="shared" si="131"/>
        <v>914.98288900217199</v>
      </c>
      <c r="FJ182" s="62">
        <f ca="1">AVERAGE(OFFSET($FI$3,0,0,'Données projet'!$E$16+1,1))-AVERAGE(OFFSET($H$3,0,0,'Données projet'!$E$16+1,1))</f>
        <v>540.83352418045502</v>
      </c>
      <c r="FK182" s="62">
        <f t="shared" si="156"/>
        <v>294.45557293177131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1.1368683772161603E-13</v>
      </c>
      <c r="GA182" s="18">
        <f>FZ182*VLOOKUP('Données projet'!$B$17,Paramètres!$A$1:$I$89,3,0)*VLOOKUP('Données projet'!$B$17,Paramètres!$A$1:$I$89,5,0)</f>
        <v>8.8675733422860506E-14</v>
      </c>
      <c r="GB182" s="14">
        <f t="shared" si="185"/>
        <v>1.3509285393066301E-12</v>
      </c>
      <c r="GC182" s="22">
        <f t="shared" si="186"/>
        <v>2.5073107750038623E-12</v>
      </c>
      <c r="GD182" s="62">
        <f t="shared" si="134"/>
        <v>293.33333333333582</v>
      </c>
      <c r="GE182" s="62">
        <f ca="1">AVERAGE(OFFSET($GD$3,0,0,'Données projet'!$E$17+1,1))-AVERAGE(OFFSET($H$3,0,0,'Données projet'!$E$17+1,1))</f>
        <v>292.57482726862594</v>
      </c>
      <c r="GF182" s="62">
        <f t="shared" si="158"/>
        <v>283.48738729114024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3.979039320256561E-13</v>
      </c>
      <c r="GV182" s="18">
        <f>GU182*VLOOKUP('Données projet'!$B$18,Paramètres!$A$1:$I$89,3,0)*VLOOKUP('Données projet'!$B$18,Paramètres!$A$1:$I$89,5,0)</f>
        <v>2.669139576028101E-13</v>
      </c>
      <c r="GW182" s="14">
        <f t="shared" si="188"/>
        <v>3.5767923834585247E-12</v>
      </c>
      <c r="GX182" s="22">
        <f t="shared" si="189"/>
        <v>6.6944552106818241E-12</v>
      </c>
      <c r="GY182" s="62">
        <f t="shared" si="137"/>
        <v>293.33333333334002</v>
      </c>
      <c r="GZ182" s="62">
        <f ca="1">AVERAGE(OFFSET($GY$3,0,0,'Données projet'!$E$18+1,1))-AVERAGE(OFFSET($H$3,0,0,'Données projet'!$E$18+1,1))</f>
        <v>343.33067866534634</v>
      </c>
      <c r="HA182" s="62">
        <f t="shared" si="160"/>
        <v>261.91036689641402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297.99999999999977</v>
      </c>
      <c r="O183" s="14">
        <f>N183*VLOOKUP('Données projet'!$B$9,Paramètres!$A$1:$I$89,3,0)*VLOOKUP('Données projet'!$B$9,Paramètres!$A$1:$I$89,5,0)</f>
        <v>269.63039999999978</v>
      </c>
      <c r="P183" s="14">
        <f t="shared" si="141"/>
        <v>64.770824587436081</v>
      </c>
      <c r="Q183" s="22">
        <f t="shared" si="162"/>
        <v>582.41546615645075</v>
      </c>
      <c r="R183" s="62">
        <f t="shared" si="109"/>
        <v>875.74879948978401</v>
      </c>
      <c r="S183" s="62">
        <f ca="1">AVERAGE(OFFSET($R$3,0,0,'Données projet'!$E$9+1,1))-AVERAGE(OFFSET($H$3,0,0,'Données projet'!$E$9+1,1))</f>
        <v>508.77990078889337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297.99999999999977</v>
      </c>
      <c r="AJ183" s="14">
        <f>AI183*VLOOKUP('Données projet'!$B$10,Paramètres!$A$1:$I$89,3,0)*VLOOKUP('Données projet'!$B$10,Paramètres!$A$1:$I$89,5,0)</f>
        <v>302.1719999999998</v>
      </c>
      <c r="AK183" s="14">
        <f t="shared" si="164"/>
        <v>71.631606754643158</v>
      </c>
      <c r="AL183" s="22">
        <f t="shared" si="165"/>
        <v>651.04128176433642</v>
      </c>
      <c r="AM183" s="62">
        <f t="shared" si="113"/>
        <v>944.37461509766968</v>
      </c>
      <c r="AN183" s="62">
        <f ca="1">AVERAGE(OFFSET($AM$3,0,0,'Données projet'!$E$10+1,1))-AVERAGE(OFFSET($H$3,0,0,'Données projet'!$E$10+1,1))</f>
        <v>564.84596170333884</v>
      </c>
      <c r="AO183" s="62">
        <f t="shared" si="144"/>
        <v>306.61893266146666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-1.8089849618263545E-13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370.79299728190904</v>
      </c>
      <c r="BJ183" s="62">
        <f t="shared" si="146"/>
        <v>404.95703400805775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-1.8089849618263545E-13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370.79299728190904</v>
      </c>
      <c r="CE183" s="62">
        <f t="shared" si="148"/>
        <v>404.95703400805775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-1.7053025658242404E-13</v>
      </c>
      <c r="CU183" s="18">
        <f>CT183*VLOOKUP('Données projet'!$B$13,Paramètres!$A$1:$I$89,3,0)*VLOOKUP('Données projet'!$B$13,Paramètres!$A$1:$I$89,5,0)</f>
        <v>-1.4897523215040567E-13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339.58437495284466</v>
      </c>
      <c r="CZ183" s="62">
        <f t="shared" si="150"/>
        <v>371.26234252426531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-2.2737367544323206E-13</v>
      </c>
      <c r="DP183" s="18">
        <f>DO183*VLOOKUP('Données projet'!$B$14,Paramètres!$A$1:$I$89,3,0)*VLOOKUP('Données projet'!$B$14,Paramètres!$A$1:$I$89,5,0)</f>
        <v>-1.6671037883497774E-13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344.63665697794022</v>
      </c>
      <c r="DU183" s="62">
        <f t="shared" si="152"/>
        <v>376.72762011188041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5.4092197387944907E-14</v>
      </c>
      <c r="EL183" s="14">
        <f t="shared" si="179"/>
        <v>8.7287050538073676E-13</v>
      </c>
      <c r="EM183" s="22">
        <f t="shared" si="180"/>
        <v>1.6144600406554537E-12</v>
      </c>
      <c r="EN183" s="62">
        <f t="shared" si="128"/>
        <v>293.33333333333491</v>
      </c>
      <c r="EO183" s="62">
        <f ca="1">AVERAGE(OFFSET($EN$3,0,0,'Données projet'!$E$15+1,1))-AVERAGE(OFFSET($H$3,0,0,'Données projet'!$E$15+1,1))</f>
        <v>406.24139966722936</v>
      </c>
      <c r="EP183" s="62">
        <f t="shared" si="154"/>
        <v>295.95724296920577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297.99999999999977</v>
      </c>
      <c r="FF183" s="18">
        <f>FE183*VLOOKUP('Données projet'!$B$16,Paramètres!$A$1:$I$89,3,0)*VLOOKUP('Données projet'!$B$16,Paramètres!$A$1:$I$89,5,0)</f>
        <v>288.22559999999976</v>
      </c>
      <c r="FG183" s="14">
        <f t="shared" si="182"/>
        <v>68.702374546701833</v>
      </c>
      <c r="FH183" s="22">
        <f t="shared" si="183"/>
        <v>621.64955566883862</v>
      </c>
      <c r="FI183" s="62">
        <f t="shared" si="131"/>
        <v>914.98288900217199</v>
      </c>
      <c r="FJ183" s="62">
        <f ca="1">AVERAGE(OFFSET($FI$3,0,0,'Données projet'!$E$16+1,1))-AVERAGE(OFFSET($H$3,0,0,'Données projet'!$E$16+1,1))</f>
        <v>540.83352418045502</v>
      </c>
      <c r="FK183" s="62">
        <f t="shared" si="156"/>
        <v>294.45557293177131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1.1368683772161603E-13</v>
      </c>
      <c r="GA183" s="18">
        <f>FZ183*VLOOKUP('Données projet'!$B$17,Paramètres!$A$1:$I$89,3,0)*VLOOKUP('Données projet'!$B$17,Paramètres!$A$1:$I$89,5,0)</f>
        <v>8.8675733422860506E-14</v>
      </c>
      <c r="GB183" s="14">
        <f t="shared" si="185"/>
        <v>1.3509285393066301E-12</v>
      </c>
      <c r="GC183" s="22">
        <f t="shared" si="186"/>
        <v>2.5073107750038623E-12</v>
      </c>
      <c r="GD183" s="62">
        <f t="shared" si="134"/>
        <v>293.33333333333582</v>
      </c>
      <c r="GE183" s="62">
        <f ca="1">AVERAGE(OFFSET($GD$3,0,0,'Données projet'!$E$17+1,1))-AVERAGE(OFFSET($H$3,0,0,'Données projet'!$E$17+1,1))</f>
        <v>292.57482726862594</v>
      </c>
      <c r="GF183" s="62">
        <f t="shared" si="158"/>
        <v>283.48738729114024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3.979039320256561E-13</v>
      </c>
      <c r="GV183" s="18">
        <f>GU183*VLOOKUP('Données projet'!$B$18,Paramètres!$A$1:$I$89,3,0)*VLOOKUP('Données projet'!$B$18,Paramètres!$A$1:$I$89,5,0)</f>
        <v>2.669139576028101E-13</v>
      </c>
      <c r="GW183" s="14">
        <f t="shared" si="188"/>
        <v>3.5767923834585247E-12</v>
      </c>
      <c r="GX183" s="22">
        <f t="shared" si="189"/>
        <v>6.6944552106818241E-12</v>
      </c>
      <c r="GY183" s="62">
        <f t="shared" si="137"/>
        <v>293.33333333334002</v>
      </c>
      <c r="GZ183" s="62">
        <f ca="1">AVERAGE(OFFSET($GY$3,0,0,'Données projet'!$E$18+1,1))-AVERAGE(OFFSET($H$3,0,0,'Données projet'!$E$18+1,1))</f>
        <v>343.33067866534634</v>
      </c>
      <c r="HA183" s="62">
        <f t="shared" si="160"/>
        <v>261.91036689641402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297.99999999999977</v>
      </c>
      <c r="O184" s="14">
        <f>N184*VLOOKUP('Données projet'!$B$9,Paramètres!$A$1:$I$89,3,0)*VLOOKUP('Données projet'!$B$9,Paramètres!$A$1:$I$89,5,0)</f>
        <v>269.63039999999978</v>
      </c>
      <c r="P184" s="14">
        <f t="shared" si="141"/>
        <v>64.770824587436081</v>
      </c>
      <c r="Q184" s="22">
        <f t="shared" si="162"/>
        <v>582.41546615645075</v>
      </c>
      <c r="R184" s="62">
        <f t="shared" si="109"/>
        <v>875.74879948978401</v>
      </c>
      <c r="S184" s="62">
        <f ca="1">AVERAGE(OFFSET($R$3,0,0,'Données projet'!$E$9+1,1))-AVERAGE(OFFSET($H$3,0,0,'Données projet'!$E$9+1,1))</f>
        <v>508.77990078889337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297.99999999999977</v>
      </c>
      <c r="AJ184" s="14">
        <f>AI184*VLOOKUP('Données projet'!$B$10,Paramètres!$A$1:$I$89,3,0)*VLOOKUP('Données projet'!$B$10,Paramètres!$A$1:$I$89,5,0)</f>
        <v>302.1719999999998</v>
      </c>
      <c r="AK184" s="14">
        <f t="shared" si="164"/>
        <v>71.631606754643158</v>
      </c>
      <c r="AL184" s="22">
        <f t="shared" si="165"/>
        <v>651.04128176433642</v>
      </c>
      <c r="AM184" s="62">
        <f t="shared" si="113"/>
        <v>944.37461509766968</v>
      </c>
      <c r="AN184" s="62">
        <f ca="1">AVERAGE(OFFSET($AM$3,0,0,'Données projet'!$E$10+1,1))-AVERAGE(OFFSET($H$3,0,0,'Données projet'!$E$10+1,1))</f>
        <v>564.84596170333884</v>
      </c>
      <c r="AO184" s="62">
        <f t="shared" si="144"/>
        <v>306.61893266146666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-1.8089849618263545E-13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370.79299728190904</v>
      </c>
      <c r="BJ184" s="62">
        <f t="shared" si="146"/>
        <v>404.95703400805775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-1.8089849618263545E-13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370.79299728190904</v>
      </c>
      <c r="CE184" s="62">
        <f t="shared" si="148"/>
        <v>404.95703400805775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-1.7053025658242404E-13</v>
      </c>
      <c r="CU184" s="18">
        <f>CT184*VLOOKUP('Données projet'!$B$13,Paramètres!$A$1:$I$89,3,0)*VLOOKUP('Données projet'!$B$13,Paramètres!$A$1:$I$89,5,0)</f>
        <v>-1.4897523215040567E-13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339.58437495284466</v>
      </c>
      <c r="CZ184" s="62">
        <f t="shared" si="150"/>
        <v>371.26234252426531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-2.2737367544323206E-13</v>
      </c>
      <c r="DP184" s="18">
        <f>DO184*VLOOKUP('Données projet'!$B$14,Paramètres!$A$1:$I$89,3,0)*VLOOKUP('Données projet'!$B$14,Paramètres!$A$1:$I$89,5,0)</f>
        <v>-1.6671037883497774E-13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344.63665697794022</v>
      </c>
      <c r="DU184" s="62">
        <f t="shared" si="152"/>
        <v>376.72762011188041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5.4092197387944907E-14</v>
      </c>
      <c r="EL184" s="14">
        <f t="shared" si="179"/>
        <v>8.7287050538073676E-13</v>
      </c>
      <c r="EM184" s="22">
        <f t="shared" si="180"/>
        <v>1.6144600406554537E-12</v>
      </c>
      <c r="EN184" s="62">
        <f t="shared" si="128"/>
        <v>293.33333333333491</v>
      </c>
      <c r="EO184" s="62">
        <f ca="1">AVERAGE(OFFSET($EN$3,0,0,'Données projet'!$E$15+1,1))-AVERAGE(OFFSET($H$3,0,0,'Données projet'!$E$15+1,1))</f>
        <v>406.24139966722936</v>
      </c>
      <c r="EP184" s="62">
        <f t="shared" si="154"/>
        <v>295.95724296920577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297.99999999999977</v>
      </c>
      <c r="FF184" s="18">
        <f>FE184*VLOOKUP('Données projet'!$B$16,Paramètres!$A$1:$I$89,3,0)*VLOOKUP('Données projet'!$B$16,Paramètres!$A$1:$I$89,5,0)</f>
        <v>288.22559999999976</v>
      </c>
      <c r="FG184" s="14">
        <f t="shared" si="182"/>
        <v>68.702374546701833</v>
      </c>
      <c r="FH184" s="22">
        <f t="shared" si="183"/>
        <v>621.64955566883862</v>
      </c>
      <c r="FI184" s="62">
        <f t="shared" si="131"/>
        <v>914.98288900217199</v>
      </c>
      <c r="FJ184" s="62">
        <f ca="1">AVERAGE(OFFSET($FI$3,0,0,'Données projet'!$E$16+1,1))-AVERAGE(OFFSET($H$3,0,0,'Données projet'!$E$16+1,1))</f>
        <v>540.83352418045502</v>
      </c>
      <c r="FK184" s="62">
        <f t="shared" si="156"/>
        <v>294.45557293177131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1.1368683772161603E-13</v>
      </c>
      <c r="GA184" s="18">
        <f>FZ184*VLOOKUP('Données projet'!$B$17,Paramètres!$A$1:$I$89,3,0)*VLOOKUP('Données projet'!$B$17,Paramètres!$A$1:$I$89,5,0)</f>
        <v>8.8675733422860506E-14</v>
      </c>
      <c r="GB184" s="14">
        <f t="shared" si="185"/>
        <v>1.3509285393066301E-12</v>
      </c>
      <c r="GC184" s="22">
        <f t="shared" si="186"/>
        <v>2.5073107750038623E-12</v>
      </c>
      <c r="GD184" s="62">
        <f t="shared" si="134"/>
        <v>293.33333333333582</v>
      </c>
      <c r="GE184" s="62">
        <f ca="1">AVERAGE(OFFSET($GD$3,0,0,'Données projet'!$E$17+1,1))-AVERAGE(OFFSET($H$3,0,0,'Données projet'!$E$17+1,1))</f>
        <v>292.57482726862594</v>
      </c>
      <c r="GF184" s="62">
        <f t="shared" si="158"/>
        <v>283.48738729114024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3.979039320256561E-13</v>
      </c>
      <c r="GV184" s="18">
        <f>GU184*VLOOKUP('Données projet'!$B$18,Paramètres!$A$1:$I$89,3,0)*VLOOKUP('Données projet'!$B$18,Paramètres!$A$1:$I$89,5,0)</f>
        <v>2.669139576028101E-13</v>
      </c>
      <c r="GW184" s="14">
        <f t="shared" si="188"/>
        <v>3.5767923834585247E-12</v>
      </c>
      <c r="GX184" s="22">
        <f t="shared" si="189"/>
        <v>6.6944552106818241E-12</v>
      </c>
      <c r="GY184" s="62">
        <f t="shared" si="137"/>
        <v>293.33333333334002</v>
      </c>
      <c r="GZ184" s="62">
        <f ca="1">AVERAGE(OFFSET($GY$3,0,0,'Données projet'!$E$18+1,1))-AVERAGE(OFFSET($H$3,0,0,'Données projet'!$E$18+1,1))</f>
        <v>343.33067866534634</v>
      </c>
      <c r="HA184" s="62">
        <f t="shared" si="160"/>
        <v>261.91036689641402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297.99999999999977</v>
      </c>
      <c r="O185" s="14">
        <f>N185*VLOOKUP('Données projet'!$B$9,Paramètres!$A$1:$I$89,3,0)*VLOOKUP('Données projet'!$B$9,Paramètres!$A$1:$I$89,5,0)</f>
        <v>269.63039999999978</v>
      </c>
      <c r="P185" s="14">
        <f t="shared" si="141"/>
        <v>64.770824587436081</v>
      </c>
      <c r="Q185" s="22">
        <f t="shared" si="162"/>
        <v>582.41546615645075</v>
      </c>
      <c r="R185" s="62">
        <f t="shared" si="109"/>
        <v>875.74879948978401</v>
      </c>
      <c r="S185" s="62">
        <f ca="1">AVERAGE(OFFSET($R$3,0,0,'Données projet'!$E$9+1,1))-AVERAGE(OFFSET($H$3,0,0,'Données projet'!$E$9+1,1))</f>
        <v>508.77990078889337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297.99999999999977</v>
      </c>
      <c r="AJ185" s="14">
        <f>AI185*VLOOKUP('Données projet'!$B$10,Paramètres!$A$1:$I$89,3,0)*VLOOKUP('Données projet'!$B$10,Paramètres!$A$1:$I$89,5,0)</f>
        <v>302.1719999999998</v>
      </c>
      <c r="AK185" s="14">
        <f t="shared" si="164"/>
        <v>71.631606754643158</v>
      </c>
      <c r="AL185" s="22">
        <f t="shared" si="165"/>
        <v>651.04128176433642</v>
      </c>
      <c r="AM185" s="62">
        <f t="shared" si="113"/>
        <v>944.37461509766968</v>
      </c>
      <c r="AN185" s="62">
        <f ca="1">AVERAGE(OFFSET($AM$3,0,0,'Données projet'!$E$10+1,1))-AVERAGE(OFFSET($H$3,0,0,'Données projet'!$E$10+1,1))</f>
        <v>564.84596170333884</v>
      </c>
      <c r="AO185" s="62">
        <f t="shared" si="144"/>
        <v>306.61893266146666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-1.8089849618263545E-13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370.79299728190904</v>
      </c>
      <c r="BJ185" s="62">
        <f t="shared" si="146"/>
        <v>404.95703400805775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-1.8089849618263545E-13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370.79299728190904</v>
      </c>
      <c r="CE185" s="62">
        <f t="shared" si="148"/>
        <v>404.95703400805775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-1.7053025658242404E-13</v>
      </c>
      <c r="CU185" s="18">
        <f>CT185*VLOOKUP('Données projet'!$B$13,Paramètres!$A$1:$I$89,3,0)*VLOOKUP('Données projet'!$B$13,Paramètres!$A$1:$I$89,5,0)</f>
        <v>-1.4897523215040567E-13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339.58437495284466</v>
      </c>
      <c r="CZ185" s="62">
        <f t="shared" si="150"/>
        <v>371.26234252426531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-2.2737367544323206E-13</v>
      </c>
      <c r="DP185" s="18">
        <f>DO185*VLOOKUP('Données projet'!$B$14,Paramètres!$A$1:$I$89,3,0)*VLOOKUP('Données projet'!$B$14,Paramètres!$A$1:$I$89,5,0)</f>
        <v>-1.6671037883497774E-13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344.63665697794022</v>
      </c>
      <c r="DU185" s="62">
        <f t="shared" si="152"/>
        <v>376.72762011188041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5.4092197387944907E-14</v>
      </c>
      <c r="EL185" s="14">
        <f t="shared" si="179"/>
        <v>8.7287050538073676E-13</v>
      </c>
      <c r="EM185" s="22">
        <f t="shared" si="180"/>
        <v>1.6144600406554537E-12</v>
      </c>
      <c r="EN185" s="62">
        <f t="shared" si="128"/>
        <v>293.33333333333491</v>
      </c>
      <c r="EO185" s="62">
        <f ca="1">AVERAGE(OFFSET($EN$3,0,0,'Données projet'!$E$15+1,1))-AVERAGE(OFFSET($H$3,0,0,'Données projet'!$E$15+1,1))</f>
        <v>406.24139966722936</v>
      </c>
      <c r="EP185" s="62">
        <f t="shared" si="154"/>
        <v>295.95724296920577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297.99999999999977</v>
      </c>
      <c r="FF185" s="18">
        <f>FE185*VLOOKUP('Données projet'!$B$16,Paramètres!$A$1:$I$89,3,0)*VLOOKUP('Données projet'!$B$16,Paramètres!$A$1:$I$89,5,0)</f>
        <v>288.22559999999976</v>
      </c>
      <c r="FG185" s="14">
        <f t="shared" si="182"/>
        <v>68.702374546701833</v>
      </c>
      <c r="FH185" s="22">
        <f t="shared" si="183"/>
        <v>621.64955566883862</v>
      </c>
      <c r="FI185" s="62">
        <f t="shared" si="131"/>
        <v>914.98288900217199</v>
      </c>
      <c r="FJ185" s="62">
        <f ca="1">AVERAGE(OFFSET($FI$3,0,0,'Données projet'!$E$16+1,1))-AVERAGE(OFFSET($H$3,0,0,'Données projet'!$E$16+1,1))</f>
        <v>540.83352418045502</v>
      </c>
      <c r="FK185" s="62">
        <f t="shared" si="156"/>
        <v>294.45557293177131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1.1368683772161603E-13</v>
      </c>
      <c r="GA185" s="18">
        <f>FZ185*VLOOKUP('Données projet'!$B$17,Paramètres!$A$1:$I$89,3,0)*VLOOKUP('Données projet'!$B$17,Paramètres!$A$1:$I$89,5,0)</f>
        <v>8.8675733422860506E-14</v>
      </c>
      <c r="GB185" s="14">
        <f t="shared" si="185"/>
        <v>1.3509285393066301E-12</v>
      </c>
      <c r="GC185" s="22">
        <f t="shared" si="186"/>
        <v>2.5073107750038623E-12</v>
      </c>
      <c r="GD185" s="62">
        <f t="shared" si="134"/>
        <v>293.33333333333582</v>
      </c>
      <c r="GE185" s="62">
        <f ca="1">AVERAGE(OFFSET($GD$3,0,0,'Données projet'!$E$17+1,1))-AVERAGE(OFFSET($H$3,0,0,'Données projet'!$E$17+1,1))</f>
        <v>292.57482726862594</v>
      </c>
      <c r="GF185" s="62">
        <f t="shared" si="158"/>
        <v>283.48738729114024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3.979039320256561E-13</v>
      </c>
      <c r="GV185" s="18">
        <f>GU185*VLOOKUP('Données projet'!$B$18,Paramètres!$A$1:$I$89,3,0)*VLOOKUP('Données projet'!$B$18,Paramètres!$A$1:$I$89,5,0)</f>
        <v>2.669139576028101E-13</v>
      </c>
      <c r="GW185" s="14">
        <f t="shared" si="188"/>
        <v>3.5767923834585247E-12</v>
      </c>
      <c r="GX185" s="22">
        <f t="shared" si="189"/>
        <v>6.6944552106818241E-12</v>
      </c>
      <c r="GY185" s="62">
        <f t="shared" si="137"/>
        <v>293.33333333334002</v>
      </c>
      <c r="GZ185" s="62">
        <f ca="1">AVERAGE(OFFSET($GY$3,0,0,'Données projet'!$E$18+1,1))-AVERAGE(OFFSET($H$3,0,0,'Données projet'!$E$18+1,1))</f>
        <v>343.33067866534634</v>
      </c>
      <c r="HA185" s="62">
        <f t="shared" si="160"/>
        <v>261.91036689641402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297.99999999999977</v>
      </c>
      <c r="O186" s="14">
        <f>N186*VLOOKUP('Données projet'!$B$9,Paramètres!$A$1:$I$89,3,0)*VLOOKUP('Données projet'!$B$9,Paramètres!$A$1:$I$89,5,0)</f>
        <v>269.63039999999978</v>
      </c>
      <c r="P186" s="14">
        <f t="shared" si="141"/>
        <v>64.770824587436081</v>
      </c>
      <c r="Q186" s="22">
        <f t="shared" si="162"/>
        <v>582.41546615645075</v>
      </c>
      <c r="R186" s="62">
        <f t="shared" si="109"/>
        <v>875.74879948978401</v>
      </c>
      <c r="S186" s="62">
        <f ca="1">AVERAGE(OFFSET($R$3,0,0,'Données projet'!$E$9+1,1))-AVERAGE(OFFSET($H$3,0,0,'Données projet'!$E$9+1,1))</f>
        <v>508.77990078889337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297.99999999999977</v>
      </c>
      <c r="AJ186" s="14">
        <f>AI186*VLOOKUP('Données projet'!$B$10,Paramètres!$A$1:$I$89,3,0)*VLOOKUP('Données projet'!$B$10,Paramètres!$A$1:$I$89,5,0)</f>
        <v>302.1719999999998</v>
      </c>
      <c r="AK186" s="14">
        <f t="shared" si="164"/>
        <v>71.631606754643158</v>
      </c>
      <c r="AL186" s="22">
        <f t="shared" si="165"/>
        <v>651.04128176433642</v>
      </c>
      <c r="AM186" s="62">
        <f t="shared" si="113"/>
        <v>944.37461509766968</v>
      </c>
      <c r="AN186" s="62">
        <f ca="1">AVERAGE(OFFSET($AM$3,0,0,'Données projet'!$E$10+1,1))-AVERAGE(OFFSET($H$3,0,0,'Données projet'!$E$10+1,1))</f>
        <v>564.84596170333884</v>
      </c>
      <c r="AO186" s="62">
        <f t="shared" si="144"/>
        <v>306.61893266146666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-1.8089849618263545E-13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370.79299728190904</v>
      </c>
      <c r="BJ186" s="62">
        <f t="shared" si="146"/>
        <v>404.95703400805775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-1.8089849618263545E-13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370.79299728190904</v>
      </c>
      <c r="CE186" s="62">
        <f t="shared" si="148"/>
        <v>404.95703400805775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-1.7053025658242404E-13</v>
      </c>
      <c r="CU186" s="18">
        <f>CT186*VLOOKUP('Données projet'!$B$13,Paramètres!$A$1:$I$89,3,0)*VLOOKUP('Données projet'!$B$13,Paramètres!$A$1:$I$89,5,0)</f>
        <v>-1.4897523215040567E-13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339.58437495284466</v>
      </c>
      <c r="CZ186" s="62">
        <f t="shared" si="150"/>
        <v>371.26234252426531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-2.2737367544323206E-13</v>
      </c>
      <c r="DP186" s="18">
        <f>DO186*VLOOKUP('Données projet'!$B$14,Paramètres!$A$1:$I$89,3,0)*VLOOKUP('Données projet'!$B$14,Paramètres!$A$1:$I$89,5,0)</f>
        <v>-1.6671037883497774E-13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344.63665697794022</v>
      </c>
      <c r="DU186" s="62">
        <f t="shared" si="152"/>
        <v>376.72762011188041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5.4092197387944907E-14</v>
      </c>
      <c r="EL186" s="14">
        <f t="shared" si="179"/>
        <v>8.7287050538073676E-13</v>
      </c>
      <c r="EM186" s="22">
        <f t="shared" si="180"/>
        <v>1.6144600406554537E-12</v>
      </c>
      <c r="EN186" s="62">
        <f t="shared" si="128"/>
        <v>293.33333333333491</v>
      </c>
      <c r="EO186" s="62">
        <f ca="1">AVERAGE(OFFSET($EN$3,0,0,'Données projet'!$E$15+1,1))-AVERAGE(OFFSET($H$3,0,0,'Données projet'!$E$15+1,1))</f>
        <v>406.24139966722936</v>
      </c>
      <c r="EP186" s="62">
        <f t="shared" si="154"/>
        <v>295.95724296920577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297.99999999999977</v>
      </c>
      <c r="FF186" s="18">
        <f>FE186*VLOOKUP('Données projet'!$B$16,Paramètres!$A$1:$I$89,3,0)*VLOOKUP('Données projet'!$B$16,Paramètres!$A$1:$I$89,5,0)</f>
        <v>288.22559999999976</v>
      </c>
      <c r="FG186" s="14">
        <f t="shared" si="182"/>
        <v>68.702374546701833</v>
      </c>
      <c r="FH186" s="22">
        <f t="shared" si="183"/>
        <v>621.64955566883862</v>
      </c>
      <c r="FI186" s="62">
        <f t="shared" si="131"/>
        <v>914.98288900217199</v>
      </c>
      <c r="FJ186" s="62">
        <f ca="1">AVERAGE(OFFSET($FI$3,0,0,'Données projet'!$E$16+1,1))-AVERAGE(OFFSET($H$3,0,0,'Données projet'!$E$16+1,1))</f>
        <v>540.83352418045502</v>
      </c>
      <c r="FK186" s="62">
        <f t="shared" si="156"/>
        <v>294.45557293177131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1.1368683772161603E-13</v>
      </c>
      <c r="GA186" s="18">
        <f>FZ186*VLOOKUP('Données projet'!$B$17,Paramètres!$A$1:$I$89,3,0)*VLOOKUP('Données projet'!$B$17,Paramètres!$A$1:$I$89,5,0)</f>
        <v>8.8675733422860506E-14</v>
      </c>
      <c r="GB186" s="14">
        <f t="shared" si="185"/>
        <v>1.3509285393066301E-12</v>
      </c>
      <c r="GC186" s="22">
        <f t="shared" si="186"/>
        <v>2.5073107750038623E-12</v>
      </c>
      <c r="GD186" s="62">
        <f t="shared" si="134"/>
        <v>293.33333333333582</v>
      </c>
      <c r="GE186" s="62">
        <f ca="1">AVERAGE(OFFSET($GD$3,0,0,'Données projet'!$E$17+1,1))-AVERAGE(OFFSET($H$3,0,0,'Données projet'!$E$17+1,1))</f>
        <v>292.57482726862594</v>
      </c>
      <c r="GF186" s="62">
        <f t="shared" si="158"/>
        <v>283.48738729114024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3.979039320256561E-13</v>
      </c>
      <c r="GV186" s="18">
        <f>GU186*VLOOKUP('Données projet'!$B$18,Paramètres!$A$1:$I$89,3,0)*VLOOKUP('Données projet'!$B$18,Paramètres!$A$1:$I$89,5,0)</f>
        <v>2.669139576028101E-13</v>
      </c>
      <c r="GW186" s="14">
        <f t="shared" si="188"/>
        <v>3.5767923834585247E-12</v>
      </c>
      <c r="GX186" s="22">
        <f t="shared" si="189"/>
        <v>6.6944552106818241E-12</v>
      </c>
      <c r="GY186" s="62">
        <f t="shared" si="137"/>
        <v>293.33333333334002</v>
      </c>
      <c r="GZ186" s="62">
        <f ca="1">AVERAGE(OFFSET($GY$3,0,0,'Données projet'!$E$18+1,1))-AVERAGE(OFFSET($H$3,0,0,'Données projet'!$E$18+1,1))</f>
        <v>343.33067866534634</v>
      </c>
      <c r="HA186" s="62">
        <f t="shared" si="160"/>
        <v>261.91036689641402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297.99999999999977</v>
      </c>
      <c r="O187" s="14">
        <f>N187*VLOOKUP('Données projet'!$B$9,Paramètres!$A$1:$I$89,3,0)*VLOOKUP('Données projet'!$B$9,Paramètres!$A$1:$I$89,5,0)</f>
        <v>269.63039999999978</v>
      </c>
      <c r="P187" s="14">
        <f t="shared" si="141"/>
        <v>64.770824587436081</v>
      </c>
      <c r="Q187" s="22">
        <f t="shared" si="162"/>
        <v>582.41546615645075</v>
      </c>
      <c r="R187" s="62">
        <f t="shared" si="109"/>
        <v>875.74879948978401</v>
      </c>
      <c r="S187" s="62">
        <f ca="1">AVERAGE(OFFSET($R$3,0,0,'Données projet'!$E$9+1,1))-AVERAGE(OFFSET($H$3,0,0,'Données projet'!$E$9+1,1))</f>
        <v>508.77990078889337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297.99999999999977</v>
      </c>
      <c r="AJ187" s="14">
        <f>AI187*VLOOKUP('Données projet'!$B$10,Paramètres!$A$1:$I$89,3,0)*VLOOKUP('Données projet'!$B$10,Paramètres!$A$1:$I$89,5,0)</f>
        <v>302.1719999999998</v>
      </c>
      <c r="AK187" s="14">
        <f t="shared" si="164"/>
        <v>71.631606754643158</v>
      </c>
      <c r="AL187" s="22">
        <f t="shared" si="165"/>
        <v>651.04128176433642</v>
      </c>
      <c r="AM187" s="62">
        <f t="shared" si="113"/>
        <v>944.37461509766968</v>
      </c>
      <c r="AN187" s="62">
        <f ca="1">AVERAGE(OFFSET($AM$3,0,0,'Données projet'!$E$10+1,1))-AVERAGE(OFFSET($H$3,0,0,'Données projet'!$E$10+1,1))</f>
        <v>564.84596170333884</v>
      </c>
      <c r="AO187" s="62">
        <f t="shared" si="144"/>
        <v>306.61893266146666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-1.8089849618263545E-13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370.79299728190904</v>
      </c>
      <c r="BJ187" s="62">
        <f t="shared" si="146"/>
        <v>404.95703400805775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-1.8089849618263545E-13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370.79299728190904</v>
      </c>
      <c r="CE187" s="62">
        <f t="shared" si="148"/>
        <v>404.95703400805775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-1.7053025658242404E-13</v>
      </c>
      <c r="CU187" s="18">
        <f>CT187*VLOOKUP('Données projet'!$B$13,Paramètres!$A$1:$I$89,3,0)*VLOOKUP('Données projet'!$B$13,Paramètres!$A$1:$I$89,5,0)</f>
        <v>-1.4897523215040567E-13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339.58437495284466</v>
      </c>
      <c r="CZ187" s="62">
        <f t="shared" si="150"/>
        <v>371.26234252426531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-2.2737367544323206E-13</v>
      </c>
      <c r="DP187" s="18">
        <f>DO187*VLOOKUP('Données projet'!$B$14,Paramètres!$A$1:$I$89,3,0)*VLOOKUP('Données projet'!$B$14,Paramètres!$A$1:$I$89,5,0)</f>
        <v>-1.6671037883497774E-13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344.63665697794022</v>
      </c>
      <c r="DU187" s="62">
        <f t="shared" si="152"/>
        <v>376.72762011188041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5.4092197387944907E-14</v>
      </c>
      <c r="EL187" s="14">
        <f t="shared" si="179"/>
        <v>8.7287050538073676E-13</v>
      </c>
      <c r="EM187" s="22">
        <f t="shared" si="180"/>
        <v>1.6144600406554537E-12</v>
      </c>
      <c r="EN187" s="62">
        <f t="shared" si="128"/>
        <v>293.33333333333491</v>
      </c>
      <c r="EO187" s="62">
        <f ca="1">AVERAGE(OFFSET($EN$3,0,0,'Données projet'!$E$15+1,1))-AVERAGE(OFFSET($H$3,0,0,'Données projet'!$E$15+1,1))</f>
        <v>406.24139966722936</v>
      </c>
      <c r="EP187" s="62">
        <f t="shared" si="154"/>
        <v>295.95724296920577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297.99999999999977</v>
      </c>
      <c r="FF187" s="18">
        <f>FE187*VLOOKUP('Données projet'!$B$16,Paramètres!$A$1:$I$89,3,0)*VLOOKUP('Données projet'!$B$16,Paramètres!$A$1:$I$89,5,0)</f>
        <v>288.22559999999976</v>
      </c>
      <c r="FG187" s="14">
        <f t="shared" si="182"/>
        <v>68.702374546701833</v>
      </c>
      <c r="FH187" s="22">
        <f t="shared" si="183"/>
        <v>621.64955566883862</v>
      </c>
      <c r="FI187" s="62">
        <f t="shared" si="131"/>
        <v>914.98288900217199</v>
      </c>
      <c r="FJ187" s="62">
        <f ca="1">AVERAGE(OFFSET($FI$3,0,0,'Données projet'!$E$16+1,1))-AVERAGE(OFFSET($H$3,0,0,'Données projet'!$E$16+1,1))</f>
        <v>540.83352418045502</v>
      </c>
      <c r="FK187" s="62">
        <f t="shared" si="156"/>
        <v>294.45557293177131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1.1368683772161603E-13</v>
      </c>
      <c r="GA187" s="18">
        <f>FZ187*VLOOKUP('Données projet'!$B$17,Paramètres!$A$1:$I$89,3,0)*VLOOKUP('Données projet'!$B$17,Paramètres!$A$1:$I$89,5,0)</f>
        <v>8.8675733422860506E-14</v>
      </c>
      <c r="GB187" s="14">
        <f t="shared" si="185"/>
        <v>1.3509285393066301E-12</v>
      </c>
      <c r="GC187" s="22">
        <f t="shared" si="186"/>
        <v>2.5073107750038623E-12</v>
      </c>
      <c r="GD187" s="62">
        <f t="shared" si="134"/>
        <v>293.33333333333582</v>
      </c>
      <c r="GE187" s="62">
        <f ca="1">AVERAGE(OFFSET($GD$3,0,0,'Données projet'!$E$17+1,1))-AVERAGE(OFFSET($H$3,0,0,'Données projet'!$E$17+1,1))</f>
        <v>292.57482726862594</v>
      </c>
      <c r="GF187" s="62">
        <f t="shared" si="158"/>
        <v>283.48738729114024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3.979039320256561E-13</v>
      </c>
      <c r="GV187" s="18">
        <f>GU187*VLOOKUP('Données projet'!$B$18,Paramètres!$A$1:$I$89,3,0)*VLOOKUP('Données projet'!$B$18,Paramètres!$A$1:$I$89,5,0)</f>
        <v>2.669139576028101E-13</v>
      </c>
      <c r="GW187" s="14">
        <f t="shared" si="188"/>
        <v>3.5767923834585247E-12</v>
      </c>
      <c r="GX187" s="22">
        <f t="shared" si="189"/>
        <v>6.6944552106818241E-12</v>
      </c>
      <c r="GY187" s="62">
        <f t="shared" si="137"/>
        <v>293.33333333334002</v>
      </c>
      <c r="GZ187" s="62">
        <f ca="1">AVERAGE(OFFSET($GY$3,0,0,'Données projet'!$E$18+1,1))-AVERAGE(OFFSET($H$3,0,0,'Données projet'!$E$18+1,1))</f>
        <v>343.33067866534634</v>
      </c>
      <c r="HA187" s="62">
        <f t="shared" si="160"/>
        <v>261.91036689641402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297.99999999999977</v>
      </c>
      <c r="O188" s="14">
        <f>N188*VLOOKUP('Données projet'!$B$9,Paramètres!$A$1:$I$89,3,0)*VLOOKUP('Données projet'!$B$9,Paramètres!$A$1:$I$89,5,0)</f>
        <v>269.63039999999978</v>
      </c>
      <c r="P188" s="14">
        <f t="shared" si="141"/>
        <v>64.770824587436081</v>
      </c>
      <c r="Q188" s="22">
        <f t="shared" si="162"/>
        <v>582.41546615645075</v>
      </c>
      <c r="R188" s="62">
        <f t="shared" si="109"/>
        <v>875.74879948978401</v>
      </c>
      <c r="S188" s="62">
        <f ca="1">AVERAGE(OFFSET($R$3,0,0,'Données projet'!$E$9+1,1))-AVERAGE(OFFSET($H$3,0,0,'Données projet'!$E$9+1,1))</f>
        <v>508.77990078889337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297.99999999999977</v>
      </c>
      <c r="AJ188" s="14">
        <f>AI188*VLOOKUP('Données projet'!$B$10,Paramètres!$A$1:$I$89,3,0)*VLOOKUP('Données projet'!$B$10,Paramètres!$A$1:$I$89,5,0)</f>
        <v>302.1719999999998</v>
      </c>
      <c r="AK188" s="14">
        <f t="shared" si="164"/>
        <v>71.631606754643158</v>
      </c>
      <c r="AL188" s="22">
        <f t="shared" si="165"/>
        <v>651.04128176433642</v>
      </c>
      <c r="AM188" s="62">
        <f t="shared" si="113"/>
        <v>944.37461509766968</v>
      </c>
      <c r="AN188" s="62">
        <f ca="1">AVERAGE(OFFSET($AM$3,0,0,'Données projet'!$E$10+1,1))-AVERAGE(OFFSET($H$3,0,0,'Données projet'!$E$10+1,1))</f>
        <v>564.84596170333884</v>
      </c>
      <c r="AO188" s="62">
        <f t="shared" si="144"/>
        <v>306.61893266146666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-1.8089849618263545E-13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370.79299728190904</v>
      </c>
      <c r="BJ188" s="62">
        <f t="shared" si="146"/>
        <v>404.95703400805775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-1.8089849618263545E-13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370.79299728190904</v>
      </c>
      <c r="CE188" s="62">
        <f t="shared" si="148"/>
        <v>404.95703400805775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-1.7053025658242404E-13</v>
      </c>
      <c r="CU188" s="18">
        <f>CT188*VLOOKUP('Données projet'!$B$13,Paramètres!$A$1:$I$89,3,0)*VLOOKUP('Données projet'!$B$13,Paramètres!$A$1:$I$89,5,0)</f>
        <v>-1.4897523215040567E-13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339.58437495284466</v>
      </c>
      <c r="CZ188" s="62">
        <f t="shared" si="150"/>
        <v>371.26234252426531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-2.2737367544323206E-13</v>
      </c>
      <c r="DP188" s="18">
        <f>DO188*VLOOKUP('Données projet'!$B$14,Paramètres!$A$1:$I$89,3,0)*VLOOKUP('Données projet'!$B$14,Paramètres!$A$1:$I$89,5,0)</f>
        <v>-1.6671037883497774E-13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344.63665697794022</v>
      </c>
      <c r="DU188" s="62">
        <f t="shared" si="152"/>
        <v>376.72762011188041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5.4092197387944907E-14</v>
      </c>
      <c r="EL188" s="14">
        <f t="shared" si="179"/>
        <v>8.7287050538073676E-13</v>
      </c>
      <c r="EM188" s="22">
        <f t="shared" si="180"/>
        <v>1.6144600406554537E-12</v>
      </c>
      <c r="EN188" s="62">
        <f t="shared" si="128"/>
        <v>293.33333333333491</v>
      </c>
      <c r="EO188" s="62">
        <f ca="1">AVERAGE(OFFSET($EN$3,0,0,'Données projet'!$E$15+1,1))-AVERAGE(OFFSET($H$3,0,0,'Données projet'!$E$15+1,1))</f>
        <v>406.24139966722936</v>
      </c>
      <c r="EP188" s="62">
        <f t="shared" si="154"/>
        <v>295.95724296920577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297.99999999999977</v>
      </c>
      <c r="FF188" s="18">
        <f>FE188*VLOOKUP('Données projet'!$B$16,Paramètres!$A$1:$I$89,3,0)*VLOOKUP('Données projet'!$B$16,Paramètres!$A$1:$I$89,5,0)</f>
        <v>288.22559999999976</v>
      </c>
      <c r="FG188" s="14">
        <f t="shared" si="182"/>
        <v>68.702374546701833</v>
      </c>
      <c r="FH188" s="22">
        <f t="shared" si="183"/>
        <v>621.64955566883862</v>
      </c>
      <c r="FI188" s="62">
        <f t="shared" si="131"/>
        <v>914.98288900217199</v>
      </c>
      <c r="FJ188" s="62">
        <f ca="1">AVERAGE(OFFSET($FI$3,0,0,'Données projet'!$E$16+1,1))-AVERAGE(OFFSET($H$3,0,0,'Données projet'!$E$16+1,1))</f>
        <v>540.83352418045502</v>
      </c>
      <c r="FK188" s="62">
        <f t="shared" si="156"/>
        <v>294.45557293177131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1.1368683772161603E-13</v>
      </c>
      <c r="GA188" s="18">
        <f>FZ188*VLOOKUP('Données projet'!$B$17,Paramètres!$A$1:$I$89,3,0)*VLOOKUP('Données projet'!$B$17,Paramètres!$A$1:$I$89,5,0)</f>
        <v>8.8675733422860506E-14</v>
      </c>
      <c r="GB188" s="14">
        <f t="shared" si="185"/>
        <v>1.3509285393066301E-12</v>
      </c>
      <c r="GC188" s="22">
        <f t="shared" si="186"/>
        <v>2.5073107750038623E-12</v>
      </c>
      <c r="GD188" s="62">
        <f t="shared" si="134"/>
        <v>293.33333333333582</v>
      </c>
      <c r="GE188" s="62">
        <f ca="1">AVERAGE(OFFSET($GD$3,0,0,'Données projet'!$E$17+1,1))-AVERAGE(OFFSET($H$3,0,0,'Données projet'!$E$17+1,1))</f>
        <v>292.57482726862594</v>
      </c>
      <c r="GF188" s="62">
        <f t="shared" si="158"/>
        <v>283.48738729114024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3.979039320256561E-13</v>
      </c>
      <c r="GV188" s="18">
        <f>GU188*VLOOKUP('Données projet'!$B$18,Paramètres!$A$1:$I$89,3,0)*VLOOKUP('Données projet'!$B$18,Paramètres!$A$1:$I$89,5,0)</f>
        <v>2.669139576028101E-13</v>
      </c>
      <c r="GW188" s="14">
        <f t="shared" si="188"/>
        <v>3.5767923834585247E-12</v>
      </c>
      <c r="GX188" s="22">
        <f t="shared" si="189"/>
        <v>6.6944552106818241E-12</v>
      </c>
      <c r="GY188" s="62">
        <f t="shared" si="137"/>
        <v>293.33333333334002</v>
      </c>
      <c r="GZ188" s="62">
        <f ca="1">AVERAGE(OFFSET($GY$3,0,0,'Données projet'!$E$18+1,1))-AVERAGE(OFFSET($H$3,0,0,'Données projet'!$E$18+1,1))</f>
        <v>343.33067866534634</v>
      </c>
      <c r="HA188" s="62">
        <f t="shared" si="160"/>
        <v>261.91036689641402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297.99999999999977</v>
      </c>
      <c r="O189" s="14">
        <f>N189*VLOOKUP('Données projet'!$B$9,Paramètres!$A$1:$I$89,3,0)*VLOOKUP('Données projet'!$B$9,Paramètres!$A$1:$I$89,5,0)</f>
        <v>269.63039999999978</v>
      </c>
      <c r="P189" s="14">
        <f t="shared" si="141"/>
        <v>64.770824587436081</v>
      </c>
      <c r="Q189" s="22">
        <f t="shared" si="162"/>
        <v>582.41546615645075</v>
      </c>
      <c r="R189" s="62">
        <f t="shared" si="109"/>
        <v>875.74879948978401</v>
      </c>
      <c r="S189" s="62">
        <f ca="1">AVERAGE(OFFSET($R$3,0,0,'Données projet'!$E$9+1,1))-AVERAGE(OFFSET($H$3,0,0,'Données projet'!$E$9+1,1))</f>
        <v>508.77990078889337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297.99999999999977</v>
      </c>
      <c r="AJ189" s="14">
        <f>AI189*VLOOKUP('Données projet'!$B$10,Paramètres!$A$1:$I$89,3,0)*VLOOKUP('Données projet'!$B$10,Paramètres!$A$1:$I$89,5,0)</f>
        <v>302.1719999999998</v>
      </c>
      <c r="AK189" s="14">
        <f t="shared" si="164"/>
        <v>71.631606754643158</v>
      </c>
      <c r="AL189" s="22">
        <f t="shared" si="165"/>
        <v>651.04128176433642</v>
      </c>
      <c r="AM189" s="62">
        <f t="shared" si="113"/>
        <v>944.37461509766968</v>
      </c>
      <c r="AN189" s="62">
        <f ca="1">AVERAGE(OFFSET($AM$3,0,0,'Données projet'!$E$10+1,1))-AVERAGE(OFFSET($H$3,0,0,'Données projet'!$E$10+1,1))</f>
        <v>564.84596170333884</v>
      </c>
      <c r="AO189" s="62">
        <f t="shared" si="144"/>
        <v>306.61893266146666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-1.8089849618263545E-13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370.79299728190904</v>
      </c>
      <c r="BJ189" s="62">
        <f t="shared" si="146"/>
        <v>404.95703400805775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-1.8089849618263545E-13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370.79299728190904</v>
      </c>
      <c r="CE189" s="62">
        <f t="shared" si="148"/>
        <v>404.95703400805775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-1.7053025658242404E-13</v>
      </c>
      <c r="CU189" s="18">
        <f>CT189*VLOOKUP('Données projet'!$B$13,Paramètres!$A$1:$I$89,3,0)*VLOOKUP('Données projet'!$B$13,Paramètres!$A$1:$I$89,5,0)</f>
        <v>-1.4897523215040567E-13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339.58437495284466</v>
      </c>
      <c r="CZ189" s="62">
        <f t="shared" si="150"/>
        <v>371.26234252426531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-2.2737367544323206E-13</v>
      </c>
      <c r="DP189" s="18">
        <f>DO189*VLOOKUP('Données projet'!$B$14,Paramètres!$A$1:$I$89,3,0)*VLOOKUP('Données projet'!$B$14,Paramètres!$A$1:$I$89,5,0)</f>
        <v>-1.6671037883497774E-13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344.63665697794022</v>
      </c>
      <c r="DU189" s="62">
        <f t="shared" si="152"/>
        <v>376.72762011188041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5.4092197387944907E-14</v>
      </c>
      <c r="EL189" s="14">
        <f t="shared" si="179"/>
        <v>8.7287050538073676E-13</v>
      </c>
      <c r="EM189" s="22">
        <f t="shared" si="180"/>
        <v>1.6144600406554537E-12</v>
      </c>
      <c r="EN189" s="62">
        <f t="shared" si="128"/>
        <v>293.33333333333491</v>
      </c>
      <c r="EO189" s="62">
        <f ca="1">AVERAGE(OFFSET($EN$3,0,0,'Données projet'!$E$15+1,1))-AVERAGE(OFFSET($H$3,0,0,'Données projet'!$E$15+1,1))</f>
        <v>406.24139966722936</v>
      </c>
      <c r="EP189" s="62">
        <f t="shared" si="154"/>
        <v>295.95724296920577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297.99999999999977</v>
      </c>
      <c r="FF189" s="18">
        <f>FE189*VLOOKUP('Données projet'!$B$16,Paramètres!$A$1:$I$89,3,0)*VLOOKUP('Données projet'!$B$16,Paramètres!$A$1:$I$89,5,0)</f>
        <v>288.22559999999976</v>
      </c>
      <c r="FG189" s="14">
        <f t="shared" si="182"/>
        <v>68.702374546701833</v>
      </c>
      <c r="FH189" s="22">
        <f t="shared" si="183"/>
        <v>621.64955566883862</v>
      </c>
      <c r="FI189" s="62">
        <f t="shared" si="131"/>
        <v>914.98288900217199</v>
      </c>
      <c r="FJ189" s="62">
        <f ca="1">AVERAGE(OFFSET($FI$3,0,0,'Données projet'!$E$16+1,1))-AVERAGE(OFFSET($H$3,0,0,'Données projet'!$E$16+1,1))</f>
        <v>540.83352418045502</v>
      </c>
      <c r="FK189" s="62">
        <f t="shared" si="156"/>
        <v>294.45557293177131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1.1368683772161603E-13</v>
      </c>
      <c r="GA189" s="18">
        <f>FZ189*VLOOKUP('Données projet'!$B$17,Paramètres!$A$1:$I$89,3,0)*VLOOKUP('Données projet'!$B$17,Paramètres!$A$1:$I$89,5,0)</f>
        <v>8.8675733422860506E-14</v>
      </c>
      <c r="GB189" s="14">
        <f t="shared" si="185"/>
        <v>1.3509285393066301E-12</v>
      </c>
      <c r="GC189" s="22">
        <f t="shared" si="186"/>
        <v>2.5073107750038623E-12</v>
      </c>
      <c r="GD189" s="62">
        <f t="shared" si="134"/>
        <v>293.33333333333582</v>
      </c>
      <c r="GE189" s="62">
        <f ca="1">AVERAGE(OFFSET($GD$3,0,0,'Données projet'!$E$17+1,1))-AVERAGE(OFFSET($H$3,0,0,'Données projet'!$E$17+1,1))</f>
        <v>292.57482726862594</v>
      </c>
      <c r="GF189" s="62">
        <f t="shared" si="158"/>
        <v>283.48738729114024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3.979039320256561E-13</v>
      </c>
      <c r="GV189" s="18">
        <f>GU189*VLOOKUP('Données projet'!$B$18,Paramètres!$A$1:$I$89,3,0)*VLOOKUP('Données projet'!$B$18,Paramètres!$A$1:$I$89,5,0)</f>
        <v>2.669139576028101E-13</v>
      </c>
      <c r="GW189" s="14">
        <f t="shared" si="188"/>
        <v>3.5767923834585247E-12</v>
      </c>
      <c r="GX189" s="22">
        <f t="shared" si="189"/>
        <v>6.6944552106818241E-12</v>
      </c>
      <c r="GY189" s="62">
        <f t="shared" si="137"/>
        <v>293.33333333334002</v>
      </c>
      <c r="GZ189" s="62">
        <f ca="1">AVERAGE(OFFSET($GY$3,0,0,'Données projet'!$E$18+1,1))-AVERAGE(OFFSET($H$3,0,0,'Données projet'!$E$18+1,1))</f>
        <v>343.33067866534634</v>
      </c>
      <c r="HA189" s="62">
        <f t="shared" si="160"/>
        <v>261.91036689641402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297.99999999999977</v>
      </c>
      <c r="O190" s="14">
        <f>N190*VLOOKUP('Données projet'!$B$9,Paramètres!$A$1:$I$89,3,0)*VLOOKUP('Données projet'!$B$9,Paramètres!$A$1:$I$89,5,0)</f>
        <v>269.63039999999978</v>
      </c>
      <c r="P190" s="14">
        <f t="shared" si="141"/>
        <v>64.770824587436081</v>
      </c>
      <c r="Q190" s="22">
        <f t="shared" si="162"/>
        <v>582.41546615645075</v>
      </c>
      <c r="R190" s="62">
        <f t="shared" si="109"/>
        <v>875.74879948978401</v>
      </c>
      <c r="S190" s="62">
        <f ca="1">AVERAGE(OFFSET($R$3,0,0,'Données projet'!$E$9+1,1))-AVERAGE(OFFSET($H$3,0,0,'Données projet'!$E$9+1,1))</f>
        <v>508.77990078889337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297.99999999999977</v>
      </c>
      <c r="AJ190" s="14">
        <f>AI190*VLOOKUP('Données projet'!$B$10,Paramètres!$A$1:$I$89,3,0)*VLOOKUP('Données projet'!$B$10,Paramètres!$A$1:$I$89,5,0)</f>
        <v>302.1719999999998</v>
      </c>
      <c r="AK190" s="14">
        <f t="shared" si="164"/>
        <v>71.631606754643158</v>
      </c>
      <c r="AL190" s="22">
        <f t="shared" si="165"/>
        <v>651.04128176433642</v>
      </c>
      <c r="AM190" s="62">
        <f t="shared" si="113"/>
        <v>944.37461509766968</v>
      </c>
      <c r="AN190" s="62">
        <f ca="1">AVERAGE(OFFSET($AM$3,0,0,'Données projet'!$E$10+1,1))-AVERAGE(OFFSET($H$3,0,0,'Données projet'!$E$10+1,1))</f>
        <v>564.84596170333884</v>
      </c>
      <c r="AO190" s="62">
        <f t="shared" si="144"/>
        <v>306.61893266146666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-1.8089849618263545E-13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370.79299728190904</v>
      </c>
      <c r="BJ190" s="62">
        <f t="shared" si="146"/>
        <v>404.95703400805775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-1.8089849618263545E-13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370.79299728190904</v>
      </c>
      <c r="CE190" s="62">
        <f t="shared" si="148"/>
        <v>404.95703400805775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-1.7053025658242404E-13</v>
      </c>
      <c r="CU190" s="18">
        <f>CT190*VLOOKUP('Données projet'!$B$13,Paramètres!$A$1:$I$89,3,0)*VLOOKUP('Données projet'!$B$13,Paramètres!$A$1:$I$89,5,0)</f>
        <v>-1.4897523215040567E-13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339.58437495284466</v>
      </c>
      <c r="CZ190" s="62">
        <f t="shared" si="150"/>
        <v>371.26234252426531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-2.2737367544323206E-13</v>
      </c>
      <c r="DP190" s="18">
        <f>DO190*VLOOKUP('Données projet'!$B$14,Paramètres!$A$1:$I$89,3,0)*VLOOKUP('Données projet'!$B$14,Paramètres!$A$1:$I$89,5,0)</f>
        <v>-1.6671037883497774E-13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344.63665697794022</v>
      </c>
      <c r="DU190" s="62">
        <f t="shared" si="152"/>
        <v>376.72762011188041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5.4092197387944907E-14</v>
      </c>
      <c r="EL190" s="14">
        <f t="shared" si="179"/>
        <v>8.7287050538073676E-13</v>
      </c>
      <c r="EM190" s="22">
        <f t="shared" si="180"/>
        <v>1.6144600406554537E-12</v>
      </c>
      <c r="EN190" s="62">
        <f t="shared" si="128"/>
        <v>293.33333333333491</v>
      </c>
      <c r="EO190" s="62">
        <f ca="1">AVERAGE(OFFSET($EN$3,0,0,'Données projet'!$E$15+1,1))-AVERAGE(OFFSET($H$3,0,0,'Données projet'!$E$15+1,1))</f>
        <v>406.24139966722936</v>
      </c>
      <c r="EP190" s="62">
        <f t="shared" si="154"/>
        <v>295.95724296920577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297.99999999999977</v>
      </c>
      <c r="FF190" s="18">
        <f>FE190*VLOOKUP('Données projet'!$B$16,Paramètres!$A$1:$I$89,3,0)*VLOOKUP('Données projet'!$B$16,Paramètres!$A$1:$I$89,5,0)</f>
        <v>288.22559999999976</v>
      </c>
      <c r="FG190" s="14">
        <f t="shared" si="182"/>
        <v>68.702374546701833</v>
      </c>
      <c r="FH190" s="22">
        <f t="shared" si="183"/>
        <v>621.64955566883862</v>
      </c>
      <c r="FI190" s="62">
        <f t="shared" si="131"/>
        <v>914.98288900217199</v>
      </c>
      <c r="FJ190" s="62">
        <f ca="1">AVERAGE(OFFSET($FI$3,0,0,'Données projet'!$E$16+1,1))-AVERAGE(OFFSET($H$3,0,0,'Données projet'!$E$16+1,1))</f>
        <v>540.83352418045502</v>
      </c>
      <c r="FK190" s="62">
        <f t="shared" si="156"/>
        <v>294.45557293177131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1.1368683772161603E-13</v>
      </c>
      <c r="GA190" s="18">
        <f>FZ190*VLOOKUP('Données projet'!$B$17,Paramètres!$A$1:$I$89,3,0)*VLOOKUP('Données projet'!$B$17,Paramètres!$A$1:$I$89,5,0)</f>
        <v>8.8675733422860506E-14</v>
      </c>
      <c r="GB190" s="14">
        <f t="shared" si="185"/>
        <v>1.3509285393066301E-12</v>
      </c>
      <c r="GC190" s="22">
        <f t="shared" si="186"/>
        <v>2.5073107750038623E-12</v>
      </c>
      <c r="GD190" s="62">
        <f t="shared" si="134"/>
        <v>293.33333333333582</v>
      </c>
      <c r="GE190" s="62">
        <f ca="1">AVERAGE(OFFSET($GD$3,0,0,'Données projet'!$E$17+1,1))-AVERAGE(OFFSET($H$3,0,0,'Données projet'!$E$17+1,1))</f>
        <v>292.57482726862594</v>
      </c>
      <c r="GF190" s="62">
        <f t="shared" si="158"/>
        <v>283.48738729114024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3.979039320256561E-13</v>
      </c>
      <c r="GV190" s="18">
        <f>GU190*VLOOKUP('Données projet'!$B$18,Paramètres!$A$1:$I$89,3,0)*VLOOKUP('Données projet'!$B$18,Paramètres!$A$1:$I$89,5,0)</f>
        <v>2.669139576028101E-13</v>
      </c>
      <c r="GW190" s="14">
        <f t="shared" si="188"/>
        <v>3.5767923834585247E-12</v>
      </c>
      <c r="GX190" s="22">
        <f t="shared" si="189"/>
        <v>6.6944552106818241E-12</v>
      </c>
      <c r="GY190" s="62">
        <f t="shared" si="137"/>
        <v>293.33333333334002</v>
      </c>
      <c r="GZ190" s="62">
        <f ca="1">AVERAGE(OFFSET($GY$3,0,0,'Données projet'!$E$18+1,1))-AVERAGE(OFFSET($H$3,0,0,'Données projet'!$E$18+1,1))</f>
        <v>343.33067866534634</v>
      </c>
      <c r="HA190" s="62">
        <f t="shared" si="160"/>
        <v>261.91036689641402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297.99999999999977</v>
      </c>
      <c r="O191" s="14">
        <f>N191*VLOOKUP('Données projet'!$B$9,Paramètres!$A$1:$I$89,3,0)*VLOOKUP('Données projet'!$B$9,Paramètres!$A$1:$I$89,5,0)</f>
        <v>269.63039999999978</v>
      </c>
      <c r="P191" s="14">
        <f t="shared" si="141"/>
        <v>64.770824587436081</v>
      </c>
      <c r="Q191" s="22">
        <f t="shared" si="162"/>
        <v>582.41546615645075</v>
      </c>
      <c r="R191" s="62">
        <f t="shared" si="109"/>
        <v>875.74879948978401</v>
      </c>
      <c r="S191" s="62">
        <f ca="1">AVERAGE(OFFSET($R$3,0,0,'Données projet'!$E$9+1,1))-AVERAGE(OFFSET($H$3,0,0,'Données projet'!$E$9+1,1))</f>
        <v>508.77990078889337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297.99999999999977</v>
      </c>
      <c r="AJ191" s="14">
        <f>AI191*VLOOKUP('Données projet'!$B$10,Paramètres!$A$1:$I$89,3,0)*VLOOKUP('Données projet'!$B$10,Paramètres!$A$1:$I$89,5,0)</f>
        <v>302.1719999999998</v>
      </c>
      <c r="AK191" s="14">
        <f t="shared" si="164"/>
        <v>71.631606754643158</v>
      </c>
      <c r="AL191" s="22">
        <f t="shared" si="165"/>
        <v>651.04128176433642</v>
      </c>
      <c r="AM191" s="62">
        <f t="shared" si="113"/>
        <v>944.37461509766968</v>
      </c>
      <c r="AN191" s="62">
        <f ca="1">AVERAGE(OFFSET($AM$3,0,0,'Données projet'!$E$10+1,1))-AVERAGE(OFFSET($H$3,0,0,'Données projet'!$E$10+1,1))</f>
        <v>564.84596170333884</v>
      </c>
      <c r="AO191" s="62">
        <f t="shared" si="144"/>
        <v>306.61893266146666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-1.8089849618263545E-13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370.79299728190904</v>
      </c>
      <c r="BJ191" s="62">
        <f t="shared" si="146"/>
        <v>404.95703400805775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-1.8089849618263545E-13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370.79299728190904</v>
      </c>
      <c r="CE191" s="62">
        <f t="shared" si="148"/>
        <v>404.95703400805775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-1.7053025658242404E-13</v>
      </c>
      <c r="CU191" s="18">
        <f>CT191*VLOOKUP('Données projet'!$B$13,Paramètres!$A$1:$I$89,3,0)*VLOOKUP('Données projet'!$B$13,Paramètres!$A$1:$I$89,5,0)</f>
        <v>-1.4897523215040567E-13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339.58437495284466</v>
      </c>
      <c r="CZ191" s="62">
        <f t="shared" si="150"/>
        <v>371.26234252426531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-2.2737367544323206E-13</v>
      </c>
      <c r="DP191" s="18">
        <f>DO191*VLOOKUP('Données projet'!$B$14,Paramètres!$A$1:$I$89,3,0)*VLOOKUP('Données projet'!$B$14,Paramètres!$A$1:$I$89,5,0)</f>
        <v>-1.6671037883497774E-13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344.63665697794022</v>
      </c>
      <c r="DU191" s="62">
        <f t="shared" si="152"/>
        <v>376.72762011188041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5.4092197387944907E-14</v>
      </c>
      <c r="EL191" s="14">
        <f t="shared" si="179"/>
        <v>8.7287050538073676E-13</v>
      </c>
      <c r="EM191" s="22">
        <f t="shared" si="180"/>
        <v>1.6144600406554537E-12</v>
      </c>
      <c r="EN191" s="62">
        <f t="shared" si="128"/>
        <v>293.33333333333491</v>
      </c>
      <c r="EO191" s="62">
        <f ca="1">AVERAGE(OFFSET($EN$3,0,0,'Données projet'!$E$15+1,1))-AVERAGE(OFFSET($H$3,0,0,'Données projet'!$E$15+1,1))</f>
        <v>406.24139966722936</v>
      </c>
      <c r="EP191" s="62">
        <f t="shared" si="154"/>
        <v>295.95724296920577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297.99999999999977</v>
      </c>
      <c r="FF191" s="18">
        <f>FE191*VLOOKUP('Données projet'!$B$16,Paramètres!$A$1:$I$89,3,0)*VLOOKUP('Données projet'!$B$16,Paramètres!$A$1:$I$89,5,0)</f>
        <v>288.22559999999976</v>
      </c>
      <c r="FG191" s="14">
        <f t="shared" si="182"/>
        <v>68.702374546701833</v>
      </c>
      <c r="FH191" s="22">
        <f t="shared" si="183"/>
        <v>621.64955566883862</v>
      </c>
      <c r="FI191" s="62">
        <f t="shared" si="131"/>
        <v>914.98288900217199</v>
      </c>
      <c r="FJ191" s="62">
        <f ca="1">AVERAGE(OFFSET($FI$3,0,0,'Données projet'!$E$16+1,1))-AVERAGE(OFFSET($H$3,0,0,'Données projet'!$E$16+1,1))</f>
        <v>540.83352418045502</v>
      </c>
      <c r="FK191" s="62">
        <f t="shared" si="156"/>
        <v>294.45557293177131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1.1368683772161603E-13</v>
      </c>
      <c r="GA191" s="18">
        <f>FZ191*VLOOKUP('Données projet'!$B$17,Paramètres!$A$1:$I$89,3,0)*VLOOKUP('Données projet'!$B$17,Paramètres!$A$1:$I$89,5,0)</f>
        <v>8.8675733422860506E-14</v>
      </c>
      <c r="GB191" s="14">
        <f t="shared" si="185"/>
        <v>1.3509285393066301E-12</v>
      </c>
      <c r="GC191" s="22">
        <f t="shared" si="186"/>
        <v>2.5073107750038623E-12</v>
      </c>
      <c r="GD191" s="62">
        <f t="shared" si="134"/>
        <v>293.33333333333582</v>
      </c>
      <c r="GE191" s="62">
        <f ca="1">AVERAGE(OFFSET($GD$3,0,0,'Données projet'!$E$17+1,1))-AVERAGE(OFFSET($H$3,0,0,'Données projet'!$E$17+1,1))</f>
        <v>292.57482726862594</v>
      </c>
      <c r="GF191" s="62">
        <f t="shared" si="158"/>
        <v>283.48738729114024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3.979039320256561E-13</v>
      </c>
      <c r="GV191" s="18">
        <f>GU191*VLOOKUP('Données projet'!$B$18,Paramètres!$A$1:$I$89,3,0)*VLOOKUP('Données projet'!$B$18,Paramètres!$A$1:$I$89,5,0)</f>
        <v>2.669139576028101E-13</v>
      </c>
      <c r="GW191" s="14">
        <f t="shared" si="188"/>
        <v>3.5767923834585247E-12</v>
      </c>
      <c r="GX191" s="22">
        <f t="shared" si="189"/>
        <v>6.6944552106818241E-12</v>
      </c>
      <c r="GY191" s="62">
        <f t="shared" si="137"/>
        <v>293.33333333334002</v>
      </c>
      <c r="GZ191" s="62">
        <f ca="1">AVERAGE(OFFSET($GY$3,0,0,'Données projet'!$E$18+1,1))-AVERAGE(OFFSET($H$3,0,0,'Données projet'!$E$18+1,1))</f>
        <v>343.33067866534634</v>
      </c>
      <c r="HA191" s="62">
        <f t="shared" si="160"/>
        <v>261.91036689641402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297.99999999999977</v>
      </c>
      <c r="O192" s="14">
        <f>N192*VLOOKUP('Données projet'!$B$9,Paramètres!$A$1:$I$89,3,0)*VLOOKUP('Données projet'!$B$9,Paramètres!$A$1:$I$89,5,0)</f>
        <v>269.63039999999978</v>
      </c>
      <c r="P192" s="14">
        <f t="shared" si="141"/>
        <v>64.770824587436081</v>
      </c>
      <c r="Q192" s="22">
        <f t="shared" si="162"/>
        <v>582.41546615645075</v>
      </c>
      <c r="R192" s="62">
        <f t="shared" si="109"/>
        <v>875.74879948978401</v>
      </c>
      <c r="S192" s="62">
        <f ca="1">AVERAGE(OFFSET($R$3,0,0,'Données projet'!$E$9+1,1))-AVERAGE(OFFSET($H$3,0,0,'Données projet'!$E$9+1,1))</f>
        <v>508.77990078889337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297.99999999999977</v>
      </c>
      <c r="AJ192" s="14">
        <f>AI192*VLOOKUP('Données projet'!$B$10,Paramètres!$A$1:$I$89,3,0)*VLOOKUP('Données projet'!$B$10,Paramètres!$A$1:$I$89,5,0)</f>
        <v>302.1719999999998</v>
      </c>
      <c r="AK192" s="14">
        <f t="shared" si="164"/>
        <v>71.631606754643158</v>
      </c>
      <c r="AL192" s="22">
        <f t="shared" si="165"/>
        <v>651.04128176433642</v>
      </c>
      <c r="AM192" s="62">
        <f t="shared" si="113"/>
        <v>944.37461509766968</v>
      </c>
      <c r="AN192" s="62">
        <f ca="1">AVERAGE(OFFSET($AM$3,0,0,'Données projet'!$E$10+1,1))-AVERAGE(OFFSET($H$3,0,0,'Données projet'!$E$10+1,1))</f>
        <v>564.84596170333884</v>
      </c>
      <c r="AO192" s="62">
        <f t="shared" si="144"/>
        <v>306.61893266146666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-1.8089849618263545E-13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370.79299728190904</v>
      </c>
      <c r="BJ192" s="62">
        <f t="shared" si="146"/>
        <v>404.95703400805775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-1.8089849618263545E-13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370.79299728190904</v>
      </c>
      <c r="CE192" s="62">
        <f t="shared" si="148"/>
        <v>404.95703400805775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-1.7053025658242404E-13</v>
      </c>
      <c r="CU192" s="18">
        <f>CT192*VLOOKUP('Données projet'!$B$13,Paramètres!$A$1:$I$89,3,0)*VLOOKUP('Données projet'!$B$13,Paramètres!$A$1:$I$89,5,0)</f>
        <v>-1.4897523215040567E-13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339.58437495284466</v>
      </c>
      <c r="CZ192" s="62">
        <f t="shared" si="150"/>
        <v>371.26234252426531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-2.2737367544323206E-13</v>
      </c>
      <c r="DP192" s="18">
        <f>DO192*VLOOKUP('Données projet'!$B$14,Paramètres!$A$1:$I$89,3,0)*VLOOKUP('Données projet'!$B$14,Paramètres!$A$1:$I$89,5,0)</f>
        <v>-1.6671037883497774E-13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344.63665697794022</v>
      </c>
      <c r="DU192" s="62">
        <f t="shared" si="152"/>
        <v>376.72762011188041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5.4092197387944907E-14</v>
      </c>
      <c r="EL192" s="14">
        <f t="shared" si="179"/>
        <v>8.7287050538073676E-13</v>
      </c>
      <c r="EM192" s="22">
        <f t="shared" si="180"/>
        <v>1.6144600406554537E-12</v>
      </c>
      <c r="EN192" s="62">
        <f t="shared" si="128"/>
        <v>293.33333333333491</v>
      </c>
      <c r="EO192" s="62">
        <f ca="1">AVERAGE(OFFSET($EN$3,0,0,'Données projet'!$E$15+1,1))-AVERAGE(OFFSET($H$3,0,0,'Données projet'!$E$15+1,1))</f>
        <v>406.24139966722936</v>
      </c>
      <c r="EP192" s="62">
        <f t="shared" si="154"/>
        <v>295.95724296920577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297.99999999999977</v>
      </c>
      <c r="FF192" s="18">
        <f>FE192*VLOOKUP('Données projet'!$B$16,Paramètres!$A$1:$I$89,3,0)*VLOOKUP('Données projet'!$B$16,Paramètres!$A$1:$I$89,5,0)</f>
        <v>288.22559999999976</v>
      </c>
      <c r="FG192" s="14">
        <f t="shared" si="182"/>
        <v>68.702374546701833</v>
      </c>
      <c r="FH192" s="22">
        <f t="shared" si="183"/>
        <v>621.64955566883862</v>
      </c>
      <c r="FI192" s="62">
        <f t="shared" si="131"/>
        <v>914.98288900217199</v>
      </c>
      <c r="FJ192" s="62">
        <f ca="1">AVERAGE(OFFSET($FI$3,0,0,'Données projet'!$E$16+1,1))-AVERAGE(OFFSET($H$3,0,0,'Données projet'!$E$16+1,1))</f>
        <v>540.83352418045502</v>
      </c>
      <c r="FK192" s="62">
        <f t="shared" si="156"/>
        <v>294.45557293177131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1.1368683772161603E-13</v>
      </c>
      <c r="GA192" s="18">
        <f>FZ192*VLOOKUP('Données projet'!$B$17,Paramètres!$A$1:$I$89,3,0)*VLOOKUP('Données projet'!$B$17,Paramètres!$A$1:$I$89,5,0)</f>
        <v>8.8675733422860506E-14</v>
      </c>
      <c r="GB192" s="14">
        <f t="shared" si="185"/>
        <v>1.3509285393066301E-12</v>
      </c>
      <c r="GC192" s="22">
        <f t="shared" si="186"/>
        <v>2.5073107750038623E-12</v>
      </c>
      <c r="GD192" s="62">
        <f t="shared" si="134"/>
        <v>293.33333333333582</v>
      </c>
      <c r="GE192" s="62">
        <f ca="1">AVERAGE(OFFSET($GD$3,0,0,'Données projet'!$E$17+1,1))-AVERAGE(OFFSET($H$3,0,0,'Données projet'!$E$17+1,1))</f>
        <v>292.57482726862594</v>
      </c>
      <c r="GF192" s="62">
        <f t="shared" si="158"/>
        <v>283.48738729114024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3.979039320256561E-13</v>
      </c>
      <c r="GV192" s="18">
        <f>GU192*VLOOKUP('Données projet'!$B$18,Paramètres!$A$1:$I$89,3,0)*VLOOKUP('Données projet'!$B$18,Paramètres!$A$1:$I$89,5,0)</f>
        <v>2.669139576028101E-13</v>
      </c>
      <c r="GW192" s="14">
        <f t="shared" si="188"/>
        <v>3.5767923834585247E-12</v>
      </c>
      <c r="GX192" s="22">
        <f t="shared" si="189"/>
        <v>6.6944552106818241E-12</v>
      </c>
      <c r="GY192" s="62">
        <f t="shared" si="137"/>
        <v>293.33333333334002</v>
      </c>
      <c r="GZ192" s="62">
        <f ca="1">AVERAGE(OFFSET($GY$3,0,0,'Données projet'!$E$18+1,1))-AVERAGE(OFFSET($H$3,0,0,'Données projet'!$E$18+1,1))</f>
        <v>343.33067866534634</v>
      </c>
      <c r="HA192" s="62">
        <f t="shared" si="160"/>
        <v>261.91036689641402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297.99999999999977</v>
      </c>
      <c r="O193" s="14">
        <f>N193*VLOOKUP('Données projet'!$B$9,Paramètres!$A$1:$I$89,3,0)*VLOOKUP('Données projet'!$B$9,Paramètres!$A$1:$I$89,5,0)</f>
        <v>269.63039999999978</v>
      </c>
      <c r="P193" s="14">
        <f t="shared" si="141"/>
        <v>64.770824587436081</v>
      </c>
      <c r="Q193" s="22">
        <f t="shared" si="162"/>
        <v>582.41546615645075</v>
      </c>
      <c r="R193" s="62">
        <f t="shared" si="109"/>
        <v>875.74879948978401</v>
      </c>
      <c r="S193" s="62">
        <f ca="1">AVERAGE(OFFSET($R$3,0,0,'Données projet'!$E$9+1,1))-AVERAGE(OFFSET($H$3,0,0,'Données projet'!$E$9+1,1))</f>
        <v>508.77990078889337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297.99999999999977</v>
      </c>
      <c r="AJ193" s="14">
        <f>AI193*VLOOKUP('Données projet'!$B$10,Paramètres!$A$1:$I$89,3,0)*VLOOKUP('Données projet'!$B$10,Paramètres!$A$1:$I$89,5,0)</f>
        <v>302.1719999999998</v>
      </c>
      <c r="AK193" s="14">
        <f t="shared" si="164"/>
        <v>71.631606754643158</v>
      </c>
      <c r="AL193" s="22">
        <f t="shared" si="165"/>
        <v>651.04128176433642</v>
      </c>
      <c r="AM193" s="62">
        <f t="shared" si="113"/>
        <v>944.37461509766968</v>
      </c>
      <c r="AN193" s="62">
        <f ca="1">AVERAGE(OFFSET($AM$3,0,0,'Données projet'!$E$10+1,1))-AVERAGE(OFFSET($H$3,0,0,'Données projet'!$E$10+1,1))</f>
        <v>564.84596170333884</v>
      </c>
      <c r="AO193" s="62">
        <f t="shared" si="144"/>
        <v>306.61893266146666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-1.8089849618263545E-13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370.79299728190904</v>
      </c>
      <c r="BJ193" s="62">
        <f t="shared" si="146"/>
        <v>404.95703400805775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-1.8089849618263545E-13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370.79299728190904</v>
      </c>
      <c r="CE193" s="62">
        <f t="shared" si="148"/>
        <v>404.95703400805775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-1.7053025658242404E-13</v>
      </c>
      <c r="CU193" s="18">
        <f>CT193*VLOOKUP('Données projet'!$B$13,Paramètres!$A$1:$I$89,3,0)*VLOOKUP('Données projet'!$B$13,Paramètres!$A$1:$I$89,5,0)</f>
        <v>-1.4897523215040567E-13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339.58437495284466</v>
      </c>
      <c r="CZ193" s="62">
        <f t="shared" si="150"/>
        <v>371.26234252426531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-2.2737367544323206E-13</v>
      </c>
      <c r="DP193" s="18">
        <f>DO193*VLOOKUP('Données projet'!$B$14,Paramètres!$A$1:$I$89,3,0)*VLOOKUP('Données projet'!$B$14,Paramètres!$A$1:$I$89,5,0)</f>
        <v>-1.6671037883497774E-13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344.63665697794022</v>
      </c>
      <c r="DU193" s="62">
        <f t="shared" si="152"/>
        <v>376.72762011188041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5.4092197387944907E-14</v>
      </c>
      <c r="EL193" s="14">
        <f t="shared" si="179"/>
        <v>8.7287050538073676E-13</v>
      </c>
      <c r="EM193" s="22">
        <f t="shared" si="180"/>
        <v>1.6144600406554537E-12</v>
      </c>
      <c r="EN193" s="62">
        <f t="shared" si="128"/>
        <v>293.33333333333491</v>
      </c>
      <c r="EO193" s="62">
        <f ca="1">AVERAGE(OFFSET($EN$3,0,0,'Données projet'!$E$15+1,1))-AVERAGE(OFFSET($H$3,0,0,'Données projet'!$E$15+1,1))</f>
        <v>406.24139966722936</v>
      </c>
      <c r="EP193" s="62">
        <f t="shared" si="154"/>
        <v>295.95724296920577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297.99999999999977</v>
      </c>
      <c r="FF193" s="18">
        <f>FE193*VLOOKUP('Données projet'!$B$16,Paramètres!$A$1:$I$89,3,0)*VLOOKUP('Données projet'!$B$16,Paramètres!$A$1:$I$89,5,0)</f>
        <v>288.22559999999976</v>
      </c>
      <c r="FG193" s="14">
        <f t="shared" si="182"/>
        <v>68.702374546701833</v>
      </c>
      <c r="FH193" s="22">
        <f t="shared" si="183"/>
        <v>621.64955566883862</v>
      </c>
      <c r="FI193" s="62">
        <f t="shared" si="131"/>
        <v>914.98288900217199</v>
      </c>
      <c r="FJ193" s="62">
        <f ca="1">AVERAGE(OFFSET($FI$3,0,0,'Données projet'!$E$16+1,1))-AVERAGE(OFFSET($H$3,0,0,'Données projet'!$E$16+1,1))</f>
        <v>540.83352418045502</v>
      </c>
      <c r="FK193" s="62">
        <f t="shared" si="156"/>
        <v>294.45557293177131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1.1368683772161603E-13</v>
      </c>
      <c r="GA193" s="18">
        <f>FZ193*VLOOKUP('Données projet'!$B$17,Paramètres!$A$1:$I$89,3,0)*VLOOKUP('Données projet'!$B$17,Paramètres!$A$1:$I$89,5,0)</f>
        <v>8.8675733422860506E-14</v>
      </c>
      <c r="GB193" s="14">
        <f t="shared" si="185"/>
        <v>1.3509285393066301E-12</v>
      </c>
      <c r="GC193" s="22">
        <f t="shared" si="186"/>
        <v>2.5073107750038623E-12</v>
      </c>
      <c r="GD193" s="62">
        <f t="shared" si="134"/>
        <v>293.33333333333582</v>
      </c>
      <c r="GE193" s="62">
        <f ca="1">AVERAGE(OFFSET($GD$3,0,0,'Données projet'!$E$17+1,1))-AVERAGE(OFFSET($H$3,0,0,'Données projet'!$E$17+1,1))</f>
        <v>292.57482726862594</v>
      </c>
      <c r="GF193" s="62">
        <f t="shared" si="158"/>
        <v>283.48738729114024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3.979039320256561E-13</v>
      </c>
      <c r="GV193" s="18">
        <f>GU193*VLOOKUP('Données projet'!$B$18,Paramètres!$A$1:$I$89,3,0)*VLOOKUP('Données projet'!$B$18,Paramètres!$A$1:$I$89,5,0)</f>
        <v>2.669139576028101E-13</v>
      </c>
      <c r="GW193" s="14">
        <f t="shared" si="188"/>
        <v>3.5767923834585247E-12</v>
      </c>
      <c r="GX193" s="22">
        <f t="shared" si="189"/>
        <v>6.6944552106818241E-12</v>
      </c>
      <c r="GY193" s="62">
        <f t="shared" si="137"/>
        <v>293.33333333334002</v>
      </c>
      <c r="GZ193" s="62">
        <f ca="1">AVERAGE(OFFSET($GY$3,0,0,'Données projet'!$E$18+1,1))-AVERAGE(OFFSET($H$3,0,0,'Données projet'!$E$18+1,1))</f>
        <v>343.33067866534634</v>
      </c>
      <c r="HA193" s="62">
        <f t="shared" si="160"/>
        <v>261.91036689641402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297.99999999999977</v>
      </c>
      <c r="O194" s="14">
        <f>N194*VLOOKUP('Données projet'!$B$9,Paramètres!$A$1:$I$89,3,0)*VLOOKUP('Données projet'!$B$9,Paramètres!$A$1:$I$89,5,0)</f>
        <v>269.63039999999978</v>
      </c>
      <c r="P194" s="14">
        <f t="shared" si="141"/>
        <v>64.770824587436081</v>
      </c>
      <c r="Q194" s="22">
        <f t="shared" si="162"/>
        <v>582.41546615645075</v>
      </c>
      <c r="R194" s="62">
        <f t="shared" si="109"/>
        <v>875.74879948978401</v>
      </c>
      <c r="S194" s="62">
        <f ca="1">AVERAGE(OFFSET($R$3,0,0,'Données projet'!$E$9+1,1))-AVERAGE(OFFSET($H$3,0,0,'Données projet'!$E$9+1,1))</f>
        <v>508.77990078889337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297.99999999999977</v>
      </c>
      <c r="AJ194" s="14">
        <f>AI194*VLOOKUP('Données projet'!$B$10,Paramètres!$A$1:$I$89,3,0)*VLOOKUP('Données projet'!$B$10,Paramètres!$A$1:$I$89,5,0)</f>
        <v>302.1719999999998</v>
      </c>
      <c r="AK194" s="14">
        <f t="shared" si="164"/>
        <v>71.631606754643158</v>
      </c>
      <c r="AL194" s="22">
        <f t="shared" si="165"/>
        <v>651.04128176433642</v>
      </c>
      <c r="AM194" s="62">
        <f t="shared" si="113"/>
        <v>944.37461509766968</v>
      </c>
      <c r="AN194" s="62">
        <f ca="1">AVERAGE(OFFSET($AM$3,0,0,'Données projet'!$E$10+1,1))-AVERAGE(OFFSET($H$3,0,0,'Données projet'!$E$10+1,1))</f>
        <v>564.84596170333884</v>
      </c>
      <c r="AO194" s="62">
        <f t="shared" si="144"/>
        <v>306.61893266146666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-1.8089849618263545E-13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370.79299728190904</v>
      </c>
      <c r="BJ194" s="62">
        <f t="shared" si="146"/>
        <v>404.95703400805775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-1.8089849618263545E-13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370.79299728190904</v>
      </c>
      <c r="CE194" s="62">
        <f t="shared" si="148"/>
        <v>404.95703400805775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-1.7053025658242404E-13</v>
      </c>
      <c r="CU194" s="18">
        <f>CT194*VLOOKUP('Données projet'!$B$13,Paramètres!$A$1:$I$89,3,0)*VLOOKUP('Données projet'!$B$13,Paramètres!$A$1:$I$89,5,0)</f>
        <v>-1.4897523215040567E-13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339.58437495284466</v>
      </c>
      <c r="CZ194" s="62">
        <f t="shared" si="150"/>
        <v>371.26234252426531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-2.2737367544323206E-13</v>
      </c>
      <c r="DP194" s="18">
        <f>DO194*VLOOKUP('Données projet'!$B$14,Paramètres!$A$1:$I$89,3,0)*VLOOKUP('Données projet'!$B$14,Paramètres!$A$1:$I$89,5,0)</f>
        <v>-1.6671037883497774E-13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344.63665697794022</v>
      </c>
      <c r="DU194" s="62">
        <f t="shared" si="152"/>
        <v>376.72762011188041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5.4092197387944907E-14</v>
      </c>
      <c r="EL194" s="14">
        <f t="shared" si="179"/>
        <v>8.7287050538073676E-13</v>
      </c>
      <c r="EM194" s="22">
        <f t="shared" si="180"/>
        <v>1.6144600406554537E-12</v>
      </c>
      <c r="EN194" s="62">
        <f t="shared" si="128"/>
        <v>293.33333333333491</v>
      </c>
      <c r="EO194" s="62">
        <f ca="1">AVERAGE(OFFSET($EN$3,0,0,'Données projet'!$E$15+1,1))-AVERAGE(OFFSET($H$3,0,0,'Données projet'!$E$15+1,1))</f>
        <v>406.24139966722936</v>
      </c>
      <c r="EP194" s="62">
        <f t="shared" si="154"/>
        <v>295.95724296920577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297.99999999999977</v>
      </c>
      <c r="FF194" s="18">
        <f>FE194*VLOOKUP('Données projet'!$B$16,Paramètres!$A$1:$I$89,3,0)*VLOOKUP('Données projet'!$B$16,Paramètres!$A$1:$I$89,5,0)</f>
        <v>288.22559999999976</v>
      </c>
      <c r="FG194" s="14">
        <f t="shared" si="182"/>
        <v>68.702374546701833</v>
      </c>
      <c r="FH194" s="22">
        <f t="shared" si="183"/>
        <v>621.64955566883862</v>
      </c>
      <c r="FI194" s="62">
        <f t="shared" si="131"/>
        <v>914.98288900217199</v>
      </c>
      <c r="FJ194" s="62">
        <f ca="1">AVERAGE(OFFSET($FI$3,0,0,'Données projet'!$E$16+1,1))-AVERAGE(OFFSET($H$3,0,0,'Données projet'!$E$16+1,1))</f>
        <v>540.83352418045502</v>
      </c>
      <c r="FK194" s="62">
        <f t="shared" si="156"/>
        <v>294.45557293177131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1.1368683772161603E-13</v>
      </c>
      <c r="GA194" s="18">
        <f>FZ194*VLOOKUP('Données projet'!$B$17,Paramètres!$A$1:$I$89,3,0)*VLOOKUP('Données projet'!$B$17,Paramètres!$A$1:$I$89,5,0)</f>
        <v>8.8675733422860506E-14</v>
      </c>
      <c r="GB194" s="14">
        <f t="shared" si="185"/>
        <v>1.3509285393066301E-12</v>
      </c>
      <c r="GC194" s="22">
        <f t="shared" si="186"/>
        <v>2.5073107750038623E-12</v>
      </c>
      <c r="GD194" s="62">
        <f t="shared" si="134"/>
        <v>293.33333333333582</v>
      </c>
      <c r="GE194" s="62">
        <f ca="1">AVERAGE(OFFSET($GD$3,0,0,'Données projet'!$E$17+1,1))-AVERAGE(OFFSET($H$3,0,0,'Données projet'!$E$17+1,1))</f>
        <v>292.57482726862594</v>
      </c>
      <c r="GF194" s="62">
        <f t="shared" si="158"/>
        <v>283.48738729114024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3.979039320256561E-13</v>
      </c>
      <c r="GV194" s="18">
        <f>GU194*VLOOKUP('Données projet'!$B$18,Paramètres!$A$1:$I$89,3,0)*VLOOKUP('Données projet'!$B$18,Paramètres!$A$1:$I$89,5,0)</f>
        <v>2.669139576028101E-13</v>
      </c>
      <c r="GW194" s="14">
        <f t="shared" si="188"/>
        <v>3.5767923834585247E-12</v>
      </c>
      <c r="GX194" s="22">
        <f t="shared" si="189"/>
        <v>6.6944552106818241E-12</v>
      </c>
      <c r="GY194" s="62">
        <f t="shared" si="137"/>
        <v>293.33333333334002</v>
      </c>
      <c r="GZ194" s="62">
        <f ca="1">AVERAGE(OFFSET($GY$3,0,0,'Données projet'!$E$18+1,1))-AVERAGE(OFFSET($H$3,0,0,'Données projet'!$E$18+1,1))</f>
        <v>343.33067866534634</v>
      </c>
      <c r="HA194" s="62">
        <f t="shared" si="160"/>
        <v>261.91036689641402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297.99999999999977</v>
      </c>
      <c r="O195" s="14">
        <f>N195*VLOOKUP('Données projet'!$B$9,Paramètres!$A$1:$I$89,3,0)*VLOOKUP('Données projet'!$B$9,Paramètres!$A$1:$I$89,5,0)</f>
        <v>269.63039999999978</v>
      </c>
      <c r="P195" s="14">
        <f t="shared" si="141"/>
        <v>64.770824587436081</v>
      </c>
      <c r="Q195" s="22">
        <f t="shared" si="162"/>
        <v>582.41546615645075</v>
      </c>
      <c r="R195" s="62">
        <f t="shared" ref="R195:R203" si="191">Q195+(I195+J195)*44/12</f>
        <v>875.74879948978401</v>
      </c>
      <c r="S195" s="62">
        <f ca="1">AVERAGE(OFFSET($R$3,0,0,'Données projet'!$E$9+1,1))-AVERAGE(OFFSET($H$3,0,0,'Données projet'!$E$9+1,1))</f>
        <v>508.77990078889337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297.99999999999977</v>
      </c>
      <c r="AJ195" s="14">
        <f>AI195*VLOOKUP('Données projet'!$B$10,Paramètres!$A$1:$I$89,3,0)*VLOOKUP('Données projet'!$B$10,Paramètres!$A$1:$I$89,5,0)</f>
        <v>302.1719999999998</v>
      </c>
      <c r="AK195" s="14">
        <f t="shared" si="164"/>
        <v>71.631606754643158</v>
      </c>
      <c r="AL195" s="22">
        <f t="shared" si="165"/>
        <v>651.04128176433642</v>
      </c>
      <c r="AM195" s="62">
        <f t="shared" si="113"/>
        <v>944.37461509766968</v>
      </c>
      <c r="AN195" s="62">
        <f ca="1">AVERAGE(OFFSET($AM$3,0,0,'Données projet'!$E$10+1,1))-AVERAGE(OFFSET($H$3,0,0,'Données projet'!$E$10+1,1))</f>
        <v>564.84596170333884</v>
      </c>
      <c r="AO195" s="62">
        <f t="shared" si="144"/>
        <v>306.61893266146666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-1.8089849618263545E-13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370.79299728190904</v>
      </c>
      <c r="BJ195" s="62">
        <f t="shared" si="146"/>
        <v>404.95703400805775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-1.8089849618263545E-13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370.79299728190904</v>
      </c>
      <c r="CE195" s="62">
        <f t="shared" si="148"/>
        <v>404.95703400805775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-1.7053025658242404E-13</v>
      </c>
      <c r="CU195" s="18">
        <f>CT195*VLOOKUP('Données projet'!$B$13,Paramètres!$A$1:$I$89,3,0)*VLOOKUP('Données projet'!$B$13,Paramètres!$A$1:$I$89,5,0)</f>
        <v>-1.4897523215040567E-13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339.58437495284466</v>
      </c>
      <c r="CZ195" s="62">
        <f t="shared" si="150"/>
        <v>371.26234252426531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-2.2737367544323206E-13</v>
      </c>
      <c r="DP195" s="18">
        <f>DO195*VLOOKUP('Données projet'!$B$14,Paramètres!$A$1:$I$89,3,0)*VLOOKUP('Données projet'!$B$14,Paramètres!$A$1:$I$89,5,0)</f>
        <v>-1.6671037883497774E-13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344.63665697794022</v>
      </c>
      <c r="DU195" s="62">
        <f t="shared" si="152"/>
        <v>376.72762011188041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5.4092197387944907E-14</v>
      </c>
      <c r="EL195" s="14">
        <f t="shared" si="179"/>
        <v>8.7287050538073676E-13</v>
      </c>
      <c r="EM195" s="22">
        <f t="shared" si="180"/>
        <v>1.6144600406554537E-12</v>
      </c>
      <c r="EN195" s="62">
        <f t="shared" si="128"/>
        <v>293.33333333333491</v>
      </c>
      <c r="EO195" s="62">
        <f ca="1">AVERAGE(OFFSET($EN$3,0,0,'Données projet'!$E$15+1,1))-AVERAGE(OFFSET($H$3,0,0,'Données projet'!$E$15+1,1))</f>
        <v>406.24139966722936</v>
      </c>
      <c r="EP195" s="62">
        <f t="shared" si="154"/>
        <v>295.95724296920577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297.99999999999977</v>
      </c>
      <c r="FF195" s="18">
        <f>FE195*VLOOKUP('Données projet'!$B$16,Paramètres!$A$1:$I$89,3,0)*VLOOKUP('Données projet'!$B$16,Paramètres!$A$1:$I$89,5,0)</f>
        <v>288.22559999999976</v>
      </c>
      <c r="FG195" s="14">
        <f t="shared" si="182"/>
        <v>68.702374546701833</v>
      </c>
      <c r="FH195" s="22">
        <f t="shared" si="183"/>
        <v>621.64955566883862</v>
      </c>
      <c r="FI195" s="62">
        <f t="shared" si="131"/>
        <v>914.98288900217199</v>
      </c>
      <c r="FJ195" s="62">
        <f ca="1">AVERAGE(OFFSET($FI$3,0,0,'Données projet'!$E$16+1,1))-AVERAGE(OFFSET($H$3,0,0,'Données projet'!$E$16+1,1))</f>
        <v>540.83352418045502</v>
      </c>
      <c r="FK195" s="62">
        <f t="shared" si="156"/>
        <v>294.45557293177131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1.1368683772161603E-13</v>
      </c>
      <c r="GA195" s="18">
        <f>FZ195*VLOOKUP('Données projet'!$B$17,Paramètres!$A$1:$I$89,3,0)*VLOOKUP('Données projet'!$B$17,Paramètres!$A$1:$I$89,5,0)</f>
        <v>8.8675733422860506E-14</v>
      </c>
      <c r="GB195" s="14">
        <f t="shared" si="185"/>
        <v>1.3509285393066301E-12</v>
      </c>
      <c r="GC195" s="22">
        <f t="shared" si="186"/>
        <v>2.5073107750038623E-12</v>
      </c>
      <c r="GD195" s="62">
        <f t="shared" si="134"/>
        <v>293.33333333333582</v>
      </c>
      <c r="GE195" s="62">
        <f ca="1">AVERAGE(OFFSET($GD$3,0,0,'Données projet'!$E$17+1,1))-AVERAGE(OFFSET($H$3,0,0,'Données projet'!$E$17+1,1))</f>
        <v>292.57482726862594</v>
      </c>
      <c r="GF195" s="62">
        <f t="shared" si="158"/>
        <v>283.48738729114024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3.979039320256561E-13</v>
      </c>
      <c r="GV195" s="18">
        <f>GU195*VLOOKUP('Données projet'!$B$18,Paramètres!$A$1:$I$89,3,0)*VLOOKUP('Données projet'!$B$18,Paramètres!$A$1:$I$89,5,0)</f>
        <v>2.669139576028101E-13</v>
      </c>
      <c r="GW195" s="14">
        <f t="shared" si="188"/>
        <v>3.5767923834585247E-12</v>
      </c>
      <c r="GX195" s="22">
        <f t="shared" si="189"/>
        <v>6.6944552106818241E-12</v>
      </c>
      <c r="GY195" s="62">
        <f t="shared" si="137"/>
        <v>293.33333333334002</v>
      </c>
      <c r="GZ195" s="62">
        <f ca="1">AVERAGE(OFFSET($GY$3,0,0,'Données projet'!$E$18+1,1))-AVERAGE(OFFSET($H$3,0,0,'Données projet'!$E$18+1,1))</f>
        <v>343.33067866534634</v>
      </c>
      <c r="HA195" s="62">
        <f t="shared" si="160"/>
        <v>261.91036689641402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297.99999999999977</v>
      </c>
      <c r="O196" s="14">
        <f>N196*VLOOKUP('Données projet'!$B$9,Paramètres!$A$1:$I$89,3,0)*VLOOKUP('Données projet'!$B$9,Paramètres!$A$1:$I$89,5,0)</f>
        <v>269.63039999999978</v>
      </c>
      <c r="P196" s="14">
        <f t="shared" si="141"/>
        <v>64.770824587436081</v>
      </c>
      <c r="Q196" s="22">
        <f t="shared" si="162"/>
        <v>582.41546615645075</v>
      </c>
      <c r="R196" s="62">
        <f t="shared" si="191"/>
        <v>875.74879948978401</v>
      </c>
      <c r="S196" s="62">
        <f ca="1">AVERAGE(OFFSET($R$3,0,0,'Données projet'!$E$9+1,1))-AVERAGE(OFFSET($H$3,0,0,'Données projet'!$E$9+1,1))</f>
        <v>508.77990078889337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297.99999999999977</v>
      </c>
      <c r="AJ196" s="14">
        <f>AI196*VLOOKUP('Données projet'!$B$10,Paramètres!$A$1:$I$89,3,0)*VLOOKUP('Données projet'!$B$10,Paramètres!$A$1:$I$89,5,0)</f>
        <v>302.1719999999998</v>
      </c>
      <c r="AK196" s="14">
        <f t="shared" si="164"/>
        <v>71.631606754643158</v>
      </c>
      <c r="AL196" s="22">
        <f t="shared" si="165"/>
        <v>651.04128176433642</v>
      </c>
      <c r="AM196" s="62">
        <f t="shared" ref="AM196:AM203" si="193">AL196+(AD196+AE196)*44/12</f>
        <v>944.37461509766968</v>
      </c>
      <c r="AN196" s="62">
        <f ca="1">AVERAGE(OFFSET($AM$3,0,0,'Données projet'!$E$10+1,1))-AVERAGE(OFFSET($H$3,0,0,'Données projet'!$E$10+1,1))</f>
        <v>564.84596170333884</v>
      </c>
      <c r="AO196" s="62">
        <f t="shared" si="144"/>
        <v>306.61893266146666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-1.8089849618263545E-13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370.79299728190904</v>
      </c>
      <c r="BJ196" s="62">
        <f t="shared" si="146"/>
        <v>404.95703400805775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-1.8089849618263545E-13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370.79299728190904</v>
      </c>
      <c r="CE196" s="62">
        <f t="shared" si="148"/>
        <v>404.95703400805775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-1.7053025658242404E-13</v>
      </c>
      <c r="CU196" s="18">
        <f>CT196*VLOOKUP('Données projet'!$B$13,Paramètres!$A$1:$I$89,3,0)*VLOOKUP('Données projet'!$B$13,Paramètres!$A$1:$I$89,5,0)</f>
        <v>-1.4897523215040567E-13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339.58437495284466</v>
      </c>
      <c r="CZ196" s="62">
        <f t="shared" si="150"/>
        <v>371.26234252426531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-2.2737367544323206E-13</v>
      </c>
      <c r="DP196" s="18">
        <f>DO196*VLOOKUP('Données projet'!$B$14,Paramètres!$A$1:$I$89,3,0)*VLOOKUP('Données projet'!$B$14,Paramètres!$A$1:$I$89,5,0)</f>
        <v>-1.6671037883497774E-13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344.63665697794022</v>
      </c>
      <c r="DU196" s="62">
        <f t="shared" si="152"/>
        <v>376.72762011188041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5.4092197387944907E-14</v>
      </c>
      <c r="EL196" s="14">
        <f t="shared" si="179"/>
        <v>8.7287050538073676E-13</v>
      </c>
      <c r="EM196" s="22">
        <f t="shared" si="180"/>
        <v>1.6144600406554537E-12</v>
      </c>
      <c r="EN196" s="62">
        <f t="shared" ref="EN196:EN203" si="198">EM196+(EE196+EF196)*44/12</f>
        <v>293.33333333333491</v>
      </c>
      <c r="EO196" s="62">
        <f ca="1">AVERAGE(OFFSET($EN$3,0,0,'Données projet'!$E$15+1,1))-AVERAGE(OFFSET($H$3,0,0,'Données projet'!$E$15+1,1))</f>
        <v>406.24139966722936</v>
      </c>
      <c r="EP196" s="62">
        <f t="shared" si="154"/>
        <v>295.95724296920577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297.99999999999977</v>
      </c>
      <c r="FF196" s="18">
        <f>FE196*VLOOKUP('Données projet'!$B$16,Paramètres!$A$1:$I$89,3,0)*VLOOKUP('Données projet'!$B$16,Paramètres!$A$1:$I$89,5,0)</f>
        <v>288.22559999999976</v>
      </c>
      <c r="FG196" s="14">
        <f t="shared" si="182"/>
        <v>68.702374546701833</v>
      </c>
      <c r="FH196" s="22">
        <f t="shared" si="183"/>
        <v>621.64955566883862</v>
      </c>
      <c r="FI196" s="62">
        <f t="shared" ref="FI196:FI203" si="199">FH196+(EZ196+FA196)*44/12</f>
        <v>914.98288900217199</v>
      </c>
      <c r="FJ196" s="62">
        <f ca="1">AVERAGE(OFFSET($FI$3,0,0,'Données projet'!$E$16+1,1))-AVERAGE(OFFSET($H$3,0,0,'Données projet'!$E$16+1,1))</f>
        <v>540.83352418045502</v>
      </c>
      <c r="FK196" s="62">
        <f t="shared" si="156"/>
        <v>294.45557293177131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1.1368683772161603E-13</v>
      </c>
      <c r="GA196" s="18">
        <f>FZ196*VLOOKUP('Données projet'!$B$17,Paramètres!$A$1:$I$89,3,0)*VLOOKUP('Données projet'!$B$17,Paramètres!$A$1:$I$89,5,0)</f>
        <v>8.8675733422860506E-14</v>
      </c>
      <c r="GB196" s="14">
        <f t="shared" si="185"/>
        <v>1.3509285393066301E-12</v>
      </c>
      <c r="GC196" s="22">
        <f t="shared" si="186"/>
        <v>2.5073107750038623E-12</v>
      </c>
      <c r="GD196" s="62">
        <f t="shared" ref="GD196:GD203" si="200">GC196+(FU196+FV196)*44/12</f>
        <v>293.33333333333582</v>
      </c>
      <c r="GE196" s="62">
        <f ca="1">AVERAGE(OFFSET($GD$3,0,0,'Données projet'!$E$17+1,1))-AVERAGE(OFFSET($H$3,0,0,'Données projet'!$E$17+1,1))</f>
        <v>292.57482726862594</v>
      </c>
      <c r="GF196" s="62">
        <f t="shared" si="158"/>
        <v>283.48738729114024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3.979039320256561E-13</v>
      </c>
      <c r="GV196" s="18">
        <f>GU196*VLOOKUP('Données projet'!$B$18,Paramètres!$A$1:$I$89,3,0)*VLOOKUP('Données projet'!$B$18,Paramètres!$A$1:$I$89,5,0)</f>
        <v>2.669139576028101E-13</v>
      </c>
      <c r="GW196" s="14">
        <f t="shared" si="188"/>
        <v>3.5767923834585247E-12</v>
      </c>
      <c r="GX196" s="22">
        <f t="shared" si="189"/>
        <v>6.6944552106818241E-12</v>
      </c>
      <c r="GY196" s="62">
        <f t="shared" ref="GY196:GY203" si="201">GX196+(GP196+GQ196)*44/12</f>
        <v>293.33333333334002</v>
      </c>
      <c r="GZ196" s="62">
        <f ca="1">AVERAGE(OFFSET($GY$3,0,0,'Données projet'!$E$18+1,1))-AVERAGE(OFFSET($H$3,0,0,'Données projet'!$E$18+1,1))</f>
        <v>343.33067866534634</v>
      </c>
      <c r="HA196" s="62">
        <f t="shared" si="160"/>
        <v>261.91036689641402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297.99999999999977</v>
      </c>
      <c r="O197" s="14">
        <f>N197*VLOOKUP('Données projet'!$B$9,Paramètres!$A$1:$I$89,3,0)*VLOOKUP('Données projet'!$B$9,Paramètres!$A$1:$I$89,5,0)</f>
        <v>269.63039999999978</v>
      </c>
      <c r="P197" s="14">
        <f t="shared" ref="P197:P203" si="203">EXP(-1.0587+0.8836*LN(O197)+0.284)</f>
        <v>64.770824587436081</v>
      </c>
      <c r="Q197" s="22">
        <f t="shared" si="162"/>
        <v>582.41546615645075</v>
      </c>
      <c r="R197" s="62">
        <f t="shared" si="191"/>
        <v>875.74879948978401</v>
      </c>
      <c r="S197" s="62">
        <f ca="1">AVERAGE(OFFSET($R$3,0,0,'Données projet'!$E$9+1,1))-AVERAGE(OFFSET($H$3,0,0,'Données projet'!$E$9+1,1))</f>
        <v>508.77990078889337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297.99999999999977</v>
      </c>
      <c r="AJ197" s="14">
        <f>AI197*VLOOKUP('Données projet'!$B$10,Paramètres!$A$1:$I$89,3,0)*VLOOKUP('Données projet'!$B$10,Paramètres!$A$1:$I$89,5,0)</f>
        <v>302.1719999999998</v>
      </c>
      <c r="AK197" s="14">
        <f t="shared" si="164"/>
        <v>71.631606754643158</v>
      </c>
      <c r="AL197" s="22">
        <f t="shared" si="165"/>
        <v>651.04128176433642</v>
      </c>
      <c r="AM197" s="62">
        <f t="shared" si="193"/>
        <v>944.37461509766968</v>
      </c>
      <c r="AN197" s="62">
        <f ca="1">AVERAGE(OFFSET($AM$3,0,0,'Données projet'!$E$10+1,1))-AVERAGE(OFFSET($H$3,0,0,'Données projet'!$E$10+1,1))</f>
        <v>564.84596170333884</v>
      </c>
      <c r="AO197" s="62">
        <f t="shared" ref="AO197:AO203" si="205">$AO$3</f>
        <v>306.61893266146666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-1.8089849618263545E-13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370.79299728190904</v>
      </c>
      <c r="BJ197" s="62">
        <f t="shared" ref="BJ197:BJ203" si="206">$BJ$3</f>
        <v>404.95703400805775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-1.8089849618263545E-13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370.79299728190904</v>
      </c>
      <c r="CE197" s="62">
        <f t="shared" ref="CE197:CE203" si="207">$CE$3</f>
        <v>404.95703400805775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-1.7053025658242404E-13</v>
      </c>
      <c r="CU197" s="18">
        <f>CT197*VLOOKUP('Données projet'!$B$13,Paramètres!$A$1:$I$89,3,0)*VLOOKUP('Données projet'!$B$13,Paramètres!$A$1:$I$89,5,0)</f>
        <v>-1.4897523215040567E-13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339.58437495284466</v>
      </c>
      <c r="CZ197" s="62">
        <f t="shared" ref="CZ197:CZ203" si="208">$CZ$3</f>
        <v>371.26234252426531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-2.2737367544323206E-13</v>
      </c>
      <c r="DP197" s="18">
        <f>DO197*VLOOKUP('Données projet'!$B$14,Paramètres!$A$1:$I$89,3,0)*VLOOKUP('Données projet'!$B$14,Paramètres!$A$1:$I$89,5,0)</f>
        <v>-1.6671037883497774E-13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344.63665697794022</v>
      </c>
      <c r="DU197" s="62">
        <f t="shared" ref="DU197:DU203" si="209">$DU$3</f>
        <v>376.72762011188041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5.4092197387944907E-14</v>
      </c>
      <c r="EL197" s="14">
        <f t="shared" si="179"/>
        <v>8.7287050538073676E-13</v>
      </c>
      <c r="EM197" s="22">
        <f t="shared" si="180"/>
        <v>1.6144600406554537E-12</v>
      </c>
      <c r="EN197" s="62">
        <f t="shared" si="198"/>
        <v>293.33333333333491</v>
      </c>
      <c r="EO197" s="62">
        <f ca="1">AVERAGE(OFFSET($EN$3,0,0,'Données projet'!$E$15+1,1))-AVERAGE(OFFSET($H$3,0,0,'Données projet'!$E$15+1,1))</f>
        <v>406.24139966722936</v>
      </c>
      <c r="EP197" s="62">
        <f t="shared" ref="EP197:EP203" si="210">$EP$3</f>
        <v>295.95724296920577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297.99999999999977</v>
      </c>
      <c r="FF197" s="18">
        <f>FE197*VLOOKUP('Données projet'!$B$16,Paramètres!$A$1:$I$89,3,0)*VLOOKUP('Données projet'!$B$16,Paramètres!$A$1:$I$89,5,0)</f>
        <v>288.22559999999976</v>
      </c>
      <c r="FG197" s="14">
        <f t="shared" si="182"/>
        <v>68.702374546701833</v>
      </c>
      <c r="FH197" s="22">
        <f t="shared" si="183"/>
        <v>621.64955566883862</v>
      </c>
      <c r="FI197" s="62">
        <f t="shared" si="199"/>
        <v>914.98288900217199</v>
      </c>
      <c r="FJ197" s="62">
        <f ca="1">AVERAGE(OFFSET($FI$3,0,0,'Données projet'!$E$16+1,1))-AVERAGE(OFFSET($H$3,0,0,'Données projet'!$E$16+1,1))</f>
        <v>540.83352418045502</v>
      </c>
      <c r="FK197" s="62">
        <f t="shared" ref="FK197:FK203" si="211">$FK$3</f>
        <v>294.45557293177131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1.1368683772161603E-13</v>
      </c>
      <c r="GA197" s="18">
        <f>FZ197*VLOOKUP('Données projet'!$B$17,Paramètres!$A$1:$I$89,3,0)*VLOOKUP('Données projet'!$B$17,Paramètres!$A$1:$I$89,5,0)</f>
        <v>8.8675733422860506E-14</v>
      </c>
      <c r="GB197" s="14">
        <f t="shared" si="185"/>
        <v>1.3509285393066301E-12</v>
      </c>
      <c r="GC197" s="22">
        <f t="shared" si="186"/>
        <v>2.5073107750038623E-12</v>
      </c>
      <c r="GD197" s="62">
        <f t="shared" si="200"/>
        <v>293.33333333333582</v>
      </c>
      <c r="GE197" s="62">
        <f ca="1">AVERAGE(OFFSET($GD$3,0,0,'Données projet'!$E$17+1,1))-AVERAGE(OFFSET($H$3,0,0,'Données projet'!$E$17+1,1))</f>
        <v>292.57482726862594</v>
      </c>
      <c r="GF197" s="62">
        <f t="shared" ref="GF197:GF203" si="212">$GF$3</f>
        <v>283.48738729114024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3.979039320256561E-13</v>
      </c>
      <c r="GV197" s="18">
        <f>GU197*VLOOKUP('Données projet'!$B$18,Paramètres!$A$1:$I$89,3,0)*VLOOKUP('Données projet'!$B$18,Paramètres!$A$1:$I$89,5,0)</f>
        <v>2.669139576028101E-13</v>
      </c>
      <c r="GW197" s="14">
        <f t="shared" si="188"/>
        <v>3.5767923834585247E-12</v>
      </c>
      <c r="GX197" s="22">
        <f t="shared" si="189"/>
        <v>6.6944552106818241E-12</v>
      </c>
      <c r="GY197" s="62">
        <f t="shared" si="201"/>
        <v>293.33333333334002</v>
      </c>
      <c r="GZ197" s="62">
        <f ca="1">AVERAGE(OFFSET($GY$3,0,0,'Données projet'!$E$18+1,1))-AVERAGE(OFFSET($H$3,0,0,'Données projet'!$E$18+1,1))</f>
        <v>343.33067866534634</v>
      </c>
      <c r="HA197" s="62">
        <f t="shared" ref="HA197:HA203" si="213">$HA$3</f>
        <v>261.91036689641402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297.99999999999977</v>
      </c>
      <c r="O198" s="14">
        <f>N198*VLOOKUP('Données projet'!$B$9,Paramètres!$A$1:$I$89,3,0)*VLOOKUP('Données projet'!$B$9,Paramètres!$A$1:$I$89,5,0)</f>
        <v>269.63039999999978</v>
      </c>
      <c r="P198" s="14">
        <f t="shared" si="203"/>
        <v>64.770824587436081</v>
      </c>
      <c r="Q198" s="22">
        <f t="shared" si="162"/>
        <v>582.41546615645075</v>
      </c>
      <c r="R198" s="62">
        <f t="shared" si="191"/>
        <v>875.74879948978401</v>
      </c>
      <c r="S198" s="62">
        <f ca="1">AVERAGE(OFFSET($R$3,0,0,'Données projet'!$E$9+1,1))-AVERAGE(OFFSET($H$3,0,0,'Données projet'!$E$9+1,1))</f>
        <v>508.77990078889337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297.99999999999977</v>
      </c>
      <c r="AJ198" s="14">
        <f>AI198*VLOOKUP('Données projet'!$B$10,Paramètres!$A$1:$I$89,3,0)*VLOOKUP('Données projet'!$B$10,Paramètres!$A$1:$I$89,5,0)</f>
        <v>302.1719999999998</v>
      </c>
      <c r="AK198" s="14">
        <f t="shared" si="164"/>
        <v>71.631606754643158</v>
      </c>
      <c r="AL198" s="22">
        <f t="shared" si="165"/>
        <v>651.04128176433642</v>
      </c>
      <c r="AM198" s="62">
        <f t="shared" si="193"/>
        <v>944.37461509766968</v>
      </c>
      <c r="AN198" s="62">
        <f ca="1">AVERAGE(OFFSET($AM$3,0,0,'Données projet'!$E$10+1,1))-AVERAGE(OFFSET($H$3,0,0,'Données projet'!$E$10+1,1))</f>
        <v>564.84596170333884</v>
      </c>
      <c r="AO198" s="62">
        <f t="shared" si="205"/>
        <v>306.61893266146666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-1.8089849618263545E-13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370.79299728190904</v>
      </c>
      <c r="BJ198" s="62">
        <f t="shared" si="206"/>
        <v>404.95703400805775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-1.8089849618263545E-13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370.79299728190904</v>
      </c>
      <c r="CE198" s="62">
        <f t="shared" si="207"/>
        <v>404.95703400805775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-1.7053025658242404E-13</v>
      </c>
      <c r="CU198" s="18">
        <f>CT198*VLOOKUP('Données projet'!$B$13,Paramètres!$A$1:$I$89,3,0)*VLOOKUP('Données projet'!$B$13,Paramètres!$A$1:$I$89,5,0)</f>
        <v>-1.4897523215040567E-13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339.58437495284466</v>
      </c>
      <c r="CZ198" s="62">
        <f t="shared" si="208"/>
        <v>371.26234252426531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-2.2737367544323206E-13</v>
      </c>
      <c r="DP198" s="18">
        <f>DO198*VLOOKUP('Données projet'!$B$14,Paramètres!$A$1:$I$89,3,0)*VLOOKUP('Données projet'!$B$14,Paramètres!$A$1:$I$89,5,0)</f>
        <v>-1.6671037883497774E-13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344.63665697794022</v>
      </c>
      <c r="DU198" s="62">
        <f t="shared" si="209"/>
        <v>376.72762011188041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5.4092197387944907E-14</v>
      </c>
      <c r="EL198" s="14">
        <f t="shared" si="179"/>
        <v>8.7287050538073676E-13</v>
      </c>
      <c r="EM198" s="22">
        <f t="shared" si="180"/>
        <v>1.6144600406554537E-12</v>
      </c>
      <c r="EN198" s="62">
        <f t="shared" si="198"/>
        <v>293.33333333333491</v>
      </c>
      <c r="EO198" s="62">
        <f ca="1">AVERAGE(OFFSET($EN$3,0,0,'Données projet'!$E$15+1,1))-AVERAGE(OFFSET($H$3,0,0,'Données projet'!$E$15+1,1))</f>
        <v>406.24139966722936</v>
      </c>
      <c r="EP198" s="62">
        <f t="shared" si="210"/>
        <v>295.95724296920577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297.99999999999977</v>
      </c>
      <c r="FF198" s="18">
        <f>FE198*VLOOKUP('Données projet'!$B$16,Paramètres!$A$1:$I$89,3,0)*VLOOKUP('Données projet'!$B$16,Paramètres!$A$1:$I$89,5,0)</f>
        <v>288.22559999999976</v>
      </c>
      <c r="FG198" s="14">
        <f t="shared" si="182"/>
        <v>68.702374546701833</v>
      </c>
      <c r="FH198" s="22">
        <f t="shared" si="183"/>
        <v>621.64955566883862</v>
      </c>
      <c r="FI198" s="62">
        <f t="shared" si="199"/>
        <v>914.98288900217199</v>
      </c>
      <c r="FJ198" s="62">
        <f ca="1">AVERAGE(OFFSET($FI$3,0,0,'Données projet'!$E$16+1,1))-AVERAGE(OFFSET($H$3,0,0,'Données projet'!$E$16+1,1))</f>
        <v>540.83352418045502</v>
      </c>
      <c r="FK198" s="62">
        <f t="shared" si="211"/>
        <v>294.45557293177131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1.1368683772161603E-13</v>
      </c>
      <c r="GA198" s="18">
        <f>FZ198*VLOOKUP('Données projet'!$B$17,Paramètres!$A$1:$I$89,3,0)*VLOOKUP('Données projet'!$B$17,Paramètres!$A$1:$I$89,5,0)</f>
        <v>8.8675733422860506E-14</v>
      </c>
      <c r="GB198" s="14">
        <f t="shared" si="185"/>
        <v>1.3509285393066301E-12</v>
      </c>
      <c r="GC198" s="22">
        <f t="shared" si="186"/>
        <v>2.5073107750038623E-12</v>
      </c>
      <c r="GD198" s="62">
        <f t="shared" si="200"/>
        <v>293.33333333333582</v>
      </c>
      <c r="GE198" s="62">
        <f ca="1">AVERAGE(OFFSET($GD$3,0,0,'Données projet'!$E$17+1,1))-AVERAGE(OFFSET($H$3,0,0,'Données projet'!$E$17+1,1))</f>
        <v>292.57482726862594</v>
      </c>
      <c r="GF198" s="62">
        <f t="shared" si="212"/>
        <v>283.48738729114024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3.979039320256561E-13</v>
      </c>
      <c r="GV198" s="18">
        <f>GU198*VLOOKUP('Données projet'!$B$18,Paramètres!$A$1:$I$89,3,0)*VLOOKUP('Données projet'!$B$18,Paramètres!$A$1:$I$89,5,0)</f>
        <v>2.669139576028101E-13</v>
      </c>
      <c r="GW198" s="14">
        <f t="shared" si="188"/>
        <v>3.5767923834585247E-12</v>
      </c>
      <c r="GX198" s="22">
        <f t="shared" si="189"/>
        <v>6.6944552106818241E-12</v>
      </c>
      <c r="GY198" s="62">
        <f t="shared" si="201"/>
        <v>293.33333333334002</v>
      </c>
      <c r="GZ198" s="62">
        <f ca="1">AVERAGE(OFFSET($GY$3,0,0,'Données projet'!$E$18+1,1))-AVERAGE(OFFSET($H$3,0,0,'Données projet'!$E$18+1,1))</f>
        <v>343.33067866534634</v>
      </c>
      <c r="HA198" s="62">
        <f t="shared" si="213"/>
        <v>261.91036689641402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297.99999999999977</v>
      </c>
      <c r="O199" s="14">
        <f>N199*VLOOKUP('Données projet'!$B$9,Paramètres!$A$1:$I$89,3,0)*VLOOKUP('Données projet'!$B$9,Paramètres!$A$1:$I$89,5,0)</f>
        <v>269.63039999999978</v>
      </c>
      <c r="P199" s="14">
        <f t="shared" si="203"/>
        <v>64.770824587436081</v>
      </c>
      <c r="Q199" s="22">
        <f t="shared" si="162"/>
        <v>582.41546615645075</v>
      </c>
      <c r="R199" s="62">
        <f t="shared" si="191"/>
        <v>875.74879948978401</v>
      </c>
      <c r="S199" s="62">
        <f ca="1">AVERAGE(OFFSET($R$3,0,0,'Données projet'!$E$9+1,1))-AVERAGE(OFFSET($H$3,0,0,'Données projet'!$E$9+1,1))</f>
        <v>508.77990078889337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297.99999999999977</v>
      </c>
      <c r="AJ199" s="14">
        <f>AI199*VLOOKUP('Données projet'!$B$10,Paramètres!$A$1:$I$89,3,0)*VLOOKUP('Données projet'!$B$10,Paramètres!$A$1:$I$89,5,0)</f>
        <v>302.1719999999998</v>
      </c>
      <c r="AK199" s="14">
        <f t="shared" si="164"/>
        <v>71.631606754643158</v>
      </c>
      <c r="AL199" s="22">
        <f t="shared" si="165"/>
        <v>651.04128176433642</v>
      </c>
      <c r="AM199" s="62">
        <f t="shared" si="193"/>
        <v>944.37461509766968</v>
      </c>
      <c r="AN199" s="62">
        <f ca="1">AVERAGE(OFFSET($AM$3,0,0,'Données projet'!$E$10+1,1))-AVERAGE(OFFSET($H$3,0,0,'Données projet'!$E$10+1,1))</f>
        <v>564.84596170333884</v>
      </c>
      <c r="AO199" s="62">
        <f t="shared" si="205"/>
        <v>306.61893266146666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-1.8089849618263545E-13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370.79299728190904</v>
      </c>
      <c r="BJ199" s="62">
        <f t="shared" si="206"/>
        <v>404.95703400805775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-1.8089849618263545E-13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370.79299728190904</v>
      </c>
      <c r="CE199" s="62">
        <f t="shared" si="207"/>
        <v>404.95703400805775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-1.7053025658242404E-13</v>
      </c>
      <c r="CU199" s="18">
        <f>CT199*VLOOKUP('Données projet'!$B$13,Paramètres!$A$1:$I$89,3,0)*VLOOKUP('Données projet'!$B$13,Paramètres!$A$1:$I$89,5,0)</f>
        <v>-1.4897523215040567E-13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339.58437495284466</v>
      </c>
      <c r="CZ199" s="62">
        <f t="shared" si="208"/>
        <v>371.26234252426531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-2.2737367544323206E-13</v>
      </c>
      <c r="DP199" s="18">
        <f>DO199*VLOOKUP('Données projet'!$B$14,Paramètres!$A$1:$I$89,3,0)*VLOOKUP('Données projet'!$B$14,Paramètres!$A$1:$I$89,5,0)</f>
        <v>-1.6671037883497774E-13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344.63665697794022</v>
      </c>
      <c r="DU199" s="62">
        <f t="shared" si="209"/>
        <v>376.72762011188041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5.4092197387944907E-14</v>
      </c>
      <c r="EL199" s="14">
        <f t="shared" si="179"/>
        <v>8.7287050538073676E-13</v>
      </c>
      <c r="EM199" s="22">
        <f t="shared" si="180"/>
        <v>1.6144600406554537E-12</v>
      </c>
      <c r="EN199" s="62">
        <f t="shared" si="198"/>
        <v>293.33333333333491</v>
      </c>
      <c r="EO199" s="62">
        <f ca="1">AVERAGE(OFFSET($EN$3,0,0,'Données projet'!$E$15+1,1))-AVERAGE(OFFSET($H$3,0,0,'Données projet'!$E$15+1,1))</f>
        <v>406.24139966722936</v>
      </c>
      <c r="EP199" s="62">
        <f t="shared" si="210"/>
        <v>295.95724296920577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297.99999999999977</v>
      </c>
      <c r="FF199" s="18">
        <f>FE199*VLOOKUP('Données projet'!$B$16,Paramètres!$A$1:$I$89,3,0)*VLOOKUP('Données projet'!$B$16,Paramètres!$A$1:$I$89,5,0)</f>
        <v>288.22559999999976</v>
      </c>
      <c r="FG199" s="14">
        <f t="shared" si="182"/>
        <v>68.702374546701833</v>
      </c>
      <c r="FH199" s="22">
        <f t="shared" si="183"/>
        <v>621.64955566883862</v>
      </c>
      <c r="FI199" s="62">
        <f t="shared" si="199"/>
        <v>914.98288900217199</v>
      </c>
      <c r="FJ199" s="62">
        <f ca="1">AVERAGE(OFFSET($FI$3,0,0,'Données projet'!$E$16+1,1))-AVERAGE(OFFSET($H$3,0,0,'Données projet'!$E$16+1,1))</f>
        <v>540.83352418045502</v>
      </c>
      <c r="FK199" s="62">
        <f t="shared" si="211"/>
        <v>294.45557293177131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1.1368683772161603E-13</v>
      </c>
      <c r="GA199" s="18">
        <f>FZ199*VLOOKUP('Données projet'!$B$17,Paramètres!$A$1:$I$89,3,0)*VLOOKUP('Données projet'!$B$17,Paramètres!$A$1:$I$89,5,0)</f>
        <v>8.8675733422860506E-14</v>
      </c>
      <c r="GB199" s="14">
        <f t="shared" si="185"/>
        <v>1.3509285393066301E-12</v>
      </c>
      <c r="GC199" s="22">
        <f t="shared" si="186"/>
        <v>2.5073107750038623E-12</v>
      </c>
      <c r="GD199" s="62">
        <f t="shared" si="200"/>
        <v>293.33333333333582</v>
      </c>
      <c r="GE199" s="62">
        <f ca="1">AVERAGE(OFFSET($GD$3,0,0,'Données projet'!$E$17+1,1))-AVERAGE(OFFSET($H$3,0,0,'Données projet'!$E$17+1,1))</f>
        <v>292.57482726862594</v>
      </c>
      <c r="GF199" s="62">
        <f t="shared" si="212"/>
        <v>283.48738729114024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3.979039320256561E-13</v>
      </c>
      <c r="GV199" s="18">
        <f>GU199*VLOOKUP('Données projet'!$B$18,Paramètres!$A$1:$I$89,3,0)*VLOOKUP('Données projet'!$B$18,Paramètres!$A$1:$I$89,5,0)</f>
        <v>2.669139576028101E-13</v>
      </c>
      <c r="GW199" s="14">
        <f t="shared" si="188"/>
        <v>3.5767923834585247E-12</v>
      </c>
      <c r="GX199" s="22">
        <f t="shared" si="189"/>
        <v>6.6944552106818241E-12</v>
      </c>
      <c r="GY199" s="62">
        <f t="shared" si="201"/>
        <v>293.33333333334002</v>
      </c>
      <c r="GZ199" s="62">
        <f ca="1">AVERAGE(OFFSET($GY$3,0,0,'Données projet'!$E$18+1,1))-AVERAGE(OFFSET($H$3,0,0,'Données projet'!$E$18+1,1))</f>
        <v>343.33067866534634</v>
      </c>
      <c r="HA199" s="62">
        <f t="shared" si="213"/>
        <v>261.91036689641402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297.99999999999977</v>
      </c>
      <c r="O200" s="14">
        <f>N200*VLOOKUP('Données projet'!$B$9,Paramètres!$A$1:$I$89,3,0)*VLOOKUP('Données projet'!$B$9,Paramètres!$A$1:$I$89,5,0)</f>
        <v>269.63039999999978</v>
      </c>
      <c r="P200" s="14">
        <f t="shared" si="203"/>
        <v>64.770824587436081</v>
      </c>
      <c r="Q200" s="22">
        <f t="shared" si="162"/>
        <v>582.41546615645075</v>
      </c>
      <c r="R200" s="62">
        <f t="shared" si="191"/>
        <v>875.74879948978401</v>
      </c>
      <c r="S200" s="62">
        <f ca="1">AVERAGE(OFFSET($R$3,0,0,'Données projet'!$E$9+1,1))-AVERAGE(OFFSET($H$3,0,0,'Données projet'!$E$9+1,1))</f>
        <v>508.77990078889337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297.99999999999977</v>
      </c>
      <c r="AJ200" s="14">
        <f>AI200*VLOOKUP('Données projet'!$B$10,Paramètres!$A$1:$I$89,3,0)*VLOOKUP('Données projet'!$B$10,Paramètres!$A$1:$I$89,5,0)</f>
        <v>302.1719999999998</v>
      </c>
      <c r="AK200" s="14">
        <f t="shared" si="164"/>
        <v>71.631606754643158</v>
      </c>
      <c r="AL200" s="22">
        <f t="shared" si="165"/>
        <v>651.04128176433642</v>
      </c>
      <c r="AM200" s="62">
        <f t="shared" si="193"/>
        <v>944.37461509766968</v>
      </c>
      <c r="AN200" s="62">
        <f ca="1">AVERAGE(OFFSET($AM$3,0,0,'Données projet'!$E$10+1,1))-AVERAGE(OFFSET($H$3,0,0,'Données projet'!$E$10+1,1))</f>
        <v>564.84596170333884</v>
      </c>
      <c r="AO200" s="62">
        <f t="shared" si="205"/>
        <v>306.61893266146666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-1.8089849618263545E-13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370.79299728190904</v>
      </c>
      <c r="BJ200" s="62">
        <f t="shared" si="206"/>
        <v>404.95703400805775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-1.8089849618263545E-13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370.79299728190904</v>
      </c>
      <c r="CE200" s="62">
        <f t="shared" si="207"/>
        <v>404.95703400805775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-1.7053025658242404E-13</v>
      </c>
      <c r="CU200" s="18">
        <f>CT200*VLOOKUP('Données projet'!$B$13,Paramètres!$A$1:$I$89,3,0)*VLOOKUP('Données projet'!$B$13,Paramètres!$A$1:$I$89,5,0)</f>
        <v>-1.4897523215040567E-13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339.58437495284466</v>
      </c>
      <c r="CZ200" s="62">
        <f t="shared" si="208"/>
        <v>371.26234252426531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-2.2737367544323206E-13</v>
      </c>
      <c r="DP200" s="18">
        <f>DO200*VLOOKUP('Données projet'!$B$14,Paramètres!$A$1:$I$89,3,0)*VLOOKUP('Données projet'!$B$14,Paramètres!$A$1:$I$89,5,0)</f>
        <v>-1.6671037883497774E-13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344.63665697794022</v>
      </c>
      <c r="DU200" s="62">
        <f t="shared" si="209"/>
        <v>376.72762011188041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5.4092197387944907E-14</v>
      </c>
      <c r="EL200" s="14">
        <f t="shared" si="179"/>
        <v>8.7287050538073676E-13</v>
      </c>
      <c r="EM200" s="22">
        <f t="shared" si="180"/>
        <v>1.6144600406554537E-12</v>
      </c>
      <c r="EN200" s="62">
        <f t="shared" si="198"/>
        <v>293.33333333333491</v>
      </c>
      <c r="EO200" s="62">
        <f ca="1">AVERAGE(OFFSET($EN$3,0,0,'Données projet'!$E$15+1,1))-AVERAGE(OFFSET($H$3,0,0,'Données projet'!$E$15+1,1))</f>
        <v>406.24139966722936</v>
      </c>
      <c r="EP200" s="62">
        <f t="shared" si="210"/>
        <v>295.95724296920577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297.99999999999977</v>
      </c>
      <c r="FF200" s="18">
        <f>FE200*VLOOKUP('Données projet'!$B$16,Paramètres!$A$1:$I$89,3,0)*VLOOKUP('Données projet'!$B$16,Paramètres!$A$1:$I$89,5,0)</f>
        <v>288.22559999999976</v>
      </c>
      <c r="FG200" s="14">
        <f t="shared" si="182"/>
        <v>68.702374546701833</v>
      </c>
      <c r="FH200" s="22">
        <f t="shared" si="183"/>
        <v>621.64955566883862</v>
      </c>
      <c r="FI200" s="62">
        <f t="shared" si="199"/>
        <v>914.98288900217199</v>
      </c>
      <c r="FJ200" s="62">
        <f ca="1">AVERAGE(OFFSET($FI$3,0,0,'Données projet'!$E$16+1,1))-AVERAGE(OFFSET($H$3,0,0,'Données projet'!$E$16+1,1))</f>
        <v>540.83352418045502</v>
      </c>
      <c r="FK200" s="62">
        <f t="shared" si="211"/>
        <v>294.45557293177131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1.1368683772161603E-13</v>
      </c>
      <c r="GA200" s="18">
        <f>FZ200*VLOOKUP('Données projet'!$B$17,Paramètres!$A$1:$I$89,3,0)*VLOOKUP('Données projet'!$B$17,Paramètres!$A$1:$I$89,5,0)</f>
        <v>8.8675733422860506E-14</v>
      </c>
      <c r="GB200" s="14">
        <f t="shared" si="185"/>
        <v>1.3509285393066301E-12</v>
      </c>
      <c r="GC200" s="22">
        <f t="shared" si="186"/>
        <v>2.5073107750038623E-12</v>
      </c>
      <c r="GD200" s="62">
        <f t="shared" si="200"/>
        <v>293.33333333333582</v>
      </c>
      <c r="GE200" s="62">
        <f ca="1">AVERAGE(OFFSET($GD$3,0,0,'Données projet'!$E$17+1,1))-AVERAGE(OFFSET($H$3,0,0,'Données projet'!$E$17+1,1))</f>
        <v>292.57482726862594</v>
      </c>
      <c r="GF200" s="62">
        <f t="shared" si="212"/>
        <v>283.48738729114024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3.979039320256561E-13</v>
      </c>
      <c r="GV200" s="18">
        <f>GU200*VLOOKUP('Données projet'!$B$18,Paramètres!$A$1:$I$89,3,0)*VLOOKUP('Données projet'!$B$18,Paramètres!$A$1:$I$89,5,0)</f>
        <v>2.669139576028101E-13</v>
      </c>
      <c r="GW200" s="14">
        <f t="shared" si="188"/>
        <v>3.5767923834585247E-12</v>
      </c>
      <c r="GX200" s="22">
        <f t="shared" si="189"/>
        <v>6.6944552106818241E-12</v>
      </c>
      <c r="GY200" s="62">
        <f t="shared" si="201"/>
        <v>293.33333333334002</v>
      </c>
      <c r="GZ200" s="62">
        <f ca="1">AVERAGE(OFFSET($GY$3,0,0,'Données projet'!$E$18+1,1))-AVERAGE(OFFSET($H$3,0,0,'Données projet'!$E$18+1,1))</f>
        <v>343.33067866534634</v>
      </c>
      <c r="HA200" s="62">
        <f t="shared" si="213"/>
        <v>261.91036689641402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297.99999999999977</v>
      </c>
      <c r="O201" s="14">
        <f>N201*VLOOKUP('Données projet'!$B$9,Paramètres!$A$1:$I$89,3,0)*VLOOKUP('Données projet'!$B$9,Paramètres!$A$1:$I$89,5,0)</f>
        <v>269.63039999999978</v>
      </c>
      <c r="P201" s="14">
        <f t="shared" si="203"/>
        <v>64.770824587436081</v>
      </c>
      <c r="Q201" s="22">
        <f t="shared" si="162"/>
        <v>582.41546615645075</v>
      </c>
      <c r="R201" s="62">
        <f t="shared" si="191"/>
        <v>875.74879948978401</v>
      </c>
      <c r="S201" s="62">
        <f ca="1">AVERAGE(OFFSET($R$3,0,0,'Données projet'!$E$9+1,1))-AVERAGE(OFFSET($H$3,0,0,'Données projet'!$E$9+1,1))</f>
        <v>508.77990078889337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297.99999999999977</v>
      </c>
      <c r="AJ201" s="14">
        <f>AI201*VLOOKUP('Données projet'!$B$10,Paramètres!$A$1:$I$89,3,0)*VLOOKUP('Données projet'!$B$10,Paramètres!$A$1:$I$89,5,0)</f>
        <v>302.1719999999998</v>
      </c>
      <c r="AK201" s="14">
        <f t="shared" si="164"/>
        <v>71.631606754643158</v>
      </c>
      <c r="AL201" s="22">
        <f t="shared" si="165"/>
        <v>651.04128176433642</v>
      </c>
      <c r="AM201" s="62">
        <f t="shared" si="193"/>
        <v>944.37461509766968</v>
      </c>
      <c r="AN201" s="62">
        <f ca="1">AVERAGE(OFFSET($AM$3,0,0,'Données projet'!$E$10+1,1))-AVERAGE(OFFSET($H$3,0,0,'Données projet'!$E$10+1,1))</f>
        <v>564.84596170333884</v>
      </c>
      <c r="AO201" s="62">
        <f t="shared" si="205"/>
        <v>306.61893266146666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-1.8089849618263545E-13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370.79299728190904</v>
      </c>
      <c r="BJ201" s="62">
        <f t="shared" si="206"/>
        <v>404.95703400805775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-1.8089849618263545E-13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370.79299728190904</v>
      </c>
      <c r="CE201" s="62">
        <f t="shared" si="207"/>
        <v>404.95703400805775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-1.7053025658242404E-13</v>
      </c>
      <c r="CU201" s="18">
        <f>CT201*VLOOKUP('Données projet'!$B$13,Paramètres!$A$1:$I$89,3,0)*VLOOKUP('Données projet'!$B$13,Paramètres!$A$1:$I$89,5,0)</f>
        <v>-1.4897523215040567E-13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339.58437495284466</v>
      </c>
      <c r="CZ201" s="62">
        <f t="shared" si="208"/>
        <v>371.26234252426531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-2.2737367544323206E-13</v>
      </c>
      <c r="DP201" s="18">
        <f>DO201*VLOOKUP('Données projet'!$B$14,Paramètres!$A$1:$I$89,3,0)*VLOOKUP('Données projet'!$B$14,Paramètres!$A$1:$I$89,5,0)</f>
        <v>-1.6671037883497774E-13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344.63665697794022</v>
      </c>
      <c r="DU201" s="62">
        <f t="shared" si="209"/>
        <v>376.72762011188041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5.4092197387944907E-14</v>
      </c>
      <c r="EL201" s="14">
        <f t="shared" si="179"/>
        <v>8.7287050538073676E-13</v>
      </c>
      <c r="EM201" s="22">
        <f t="shared" si="180"/>
        <v>1.6144600406554537E-12</v>
      </c>
      <c r="EN201" s="62">
        <f t="shared" si="198"/>
        <v>293.33333333333491</v>
      </c>
      <c r="EO201" s="62">
        <f ca="1">AVERAGE(OFFSET($EN$3,0,0,'Données projet'!$E$15+1,1))-AVERAGE(OFFSET($H$3,0,0,'Données projet'!$E$15+1,1))</f>
        <v>406.24139966722936</v>
      </c>
      <c r="EP201" s="62">
        <f t="shared" si="210"/>
        <v>295.95724296920577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297.99999999999977</v>
      </c>
      <c r="FF201" s="18">
        <f>FE201*VLOOKUP('Données projet'!$B$16,Paramètres!$A$1:$I$89,3,0)*VLOOKUP('Données projet'!$B$16,Paramètres!$A$1:$I$89,5,0)</f>
        <v>288.22559999999976</v>
      </c>
      <c r="FG201" s="14">
        <f t="shared" si="182"/>
        <v>68.702374546701833</v>
      </c>
      <c r="FH201" s="22">
        <f t="shared" si="183"/>
        <v>621.64955566883862</v>
      </c>
      <c r="FI201" s="62">
        <f t="shared" si="199"/>
        <v>914.98288900217199</v>
      </c>
      <c r="FJ201" s="62">
        <f ca="1">AVERAGE(OFFSET($FI$3,0,0,'Données projet'!$E$16+1,1))-AVERAGE(OFFSET($H$3,0,0,'Données projet'!$E$16+1,1))</f>
        <v>540.83352418045502</v>
      </c>
      <c r="FK201" s="62">
        <f t="shared" si="211"/>
        <v>294.45557293177131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1.1368683772161603E-13</v>
      </c>
      <c r="GA201" s="18">
        <f>FZ201*VLOOKUP('Données projet'!$B$17,Paramètres!$A$1:$I$89,3,0)*VLOOKUP('Données projet'!$B$17,Paramètres!$A$1:$I$89,5,0)</f>
        <v>8.8675733422860506E-14</v>
      </c>
      <c r="GB201" s="14">
        <f t="shared" si="185"/>
        <v>1.3509285393066301E-12</v>
      </c>
      <c r="GC201" s="22">
        <f t="shared" si="186"/>
        <v>2.5073107750038623E-12</v>
      </c>
      <c r="GD201" s="62">
        <f t="shared" si="200"/>
        <v>293.33333333333582</v>
      </c>
      <c r="GE201" s="62">
        <f ca="1">AVERAGE(OFFSET($GD$3,0,0,'Données projet'!$E$17+1,1))-AVERAGE(OFFSET($H$3,0,0,'Données projet'!$E$17+1,1))</f>
        <v>292.57482726862594</v>
      </c>
      <c r="GF201" s="62">
        <f t="shared" si="212"/>
        <v>283.48738729114024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3.979039320256561E-13</v>
      </c>
      <c r="GV201" s="18">
        <f>GU201*VLOOKUP('Données projet'!$B$18,Paramètres!$A$1:$I$89,3,0)*VLOOKUP('Données projet'!$B$18,Paramètres!$A$1:$I$89,5,0)</f>
        <v>2.669139576028101E-13</v>
      </c>
      <c r="GW201" s="14">
        <f t="shared" si="188"/>
        <v>3.5767923834585247E-12</v>
      </c>
      <c r="GX201" s="22">
        <f t="shared" si="189"/>
        <v>6.6944552106818241E-12</v>
      </c>
      <c r="GY201" s="62">
        <f t="shared" si="201"/>
        <v>293.33333333334002</v>
      </c>
      <c r="GZ201" s="62">
        <f ca="1">AVERAGE(OFFSET($GY$3,0,0,'Données projet'!$E$18+1,1))-AVERAGE(OFFSET($H$3,0,0,'Données projet'!$E$18+1,1))</f>
        <v>343.33067866534634</v>
      </c>
      <c r="HA201" s="62">
        <f t="shared" si="213"/>
        <v>261.91036689641402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297.99999999999977</v>
      </c>
      <c r="O202" s="14">
        <f>N202*VLOOKUP('Données projet'!$B$9,Paramètres!$A$1:$I$89,3,0)*VLOOKUP('Données projet'!$B$9,Paramètres!$A$1:$I$89,5,0)</f>
        <v>269.63039999999978</v>
      </c>
      <c r="P202" s="14">
        <f t="shared" si="203"/>
        <v>64.770824587436081</v>
      </c>
      <c r="Q202" s="22">
        <f t="shared" si="162"/>
        <v>582.41546615645075</v>
      </c>
      <c r="R202" s="62">
        <f t="shared" si="191"/>
        <v>875.74879948978401</v>
      </c>
      <c r="S202" s="62">
        <f ca="1">AVERAGE(OFFSET($R$3,0,0,'Données projet'!$E$9+1,1))-AVERAGE(OFFSET($H$3,0,0,'Données projet'!$E$9+1,1))</f>
        <v>508.77990078889337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297.99999999999977</v>
      </c>
      <c r="AJ202" s="14">
        <f>AI202*VLOOKUP('Données projet'!$B$10,Paramètres!$A$1:$I$89,3,0)*VLOOKUP('Données projet'!$B$10,Paramètres!$A$1:$I$89,5,0)</f>
        <v>302.1719999999998</v>
      </c>
      <c r="AK202" s="14">
        <f t="shared" si="164"/>
        <v>71.631606754643158</v>
      </c>
      <c r="AL202" s="22">
        <f t="shared" si="165"/>
        <v>651.04128176433642</v>
      </c>
      <c r="AM202" s="62">
        <f t="shared" si="193"/>
        <v>944.37461509766968</v>
      </c>
      <c r="AN202" s="62">
        <f ca="1">AVERAGE(OFFSET($AM$3,0,0,'Données projet'!$E$10+1,1))-AVERAGE(OFFSET($H$3,0,0,'Données projet'!$E$10+1,1))</f>
        <v>564.84596170333884</v>
      </c>
      <c r="AO202" s="62">
        <f t="shared" si="205"/>
        <v>306.61893266146666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-1.8089849618263545E-13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370.79299728190904</v>
      </c>
      <c r="BJ202" s="62">
        <f t="shared" si="206"/>
        <v>404.95703400805775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-1.8089849618263545E-13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370.79299728190904</v>
      </c>
      <c r="CE202" s="62">
        <f t="shared" si="207"/>
        <v>404.95703400805775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-1.7053025658242404E-13</v>
      </c>
      <c r="CU202" s="18">
        <f>CT202*VLOOKUP('Données projet'!$B$13,Paramètres!$A$1:$I$89,3,0)*VLOOKUP('Données projet'!$B$13,Paramètres!$A$1:$I$89,5,0)</f>
        <v>-1.4897523215040567E-13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339.58437495284466</v>
      </c>
      <c r="CZ202" s="62">
        <f t="shared" si="208"/>
        <v>371.26234252426531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-2.2737367544323206E-13</v>
      </c>
      <c r="DP202" s="18">
        <f>DO202*VLOOKUP('Données projet'!$B$14,Paramètres!$A$1:$I$89,3,0)*VLOOKUP('Données projet'!$B$14,Paramètres!$A$1:$I$89,5,0)</f>
        <v>-1.6671037883497774E-13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344.63665697794022</v>
      </c>
      <c r="DU202" s="62">
        <f t="shared" si="209"/>
        <v>376.72762011188041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5.4092197387944907E-14</v>
      </c>
      <c r="EL202" s="14">
        <f t="shared" si="179"/>
        <v>8.7287050538073676E-13</v>
      </c>
      <c r="EM202" s="22">
        <f t="shared" si="180"/>
        <v>1.6144600406554537E-12</v>
      </c>
      <c r="EN202" s="62">
        <f t="shared" si="198"/>
        <v>293.33333333333491</v>
      </c>
      <c r="EO202" s="62">
        <f ca="1">AVERAGE(OFFSET($EN$3,0,0,'Données projet'!$E$15+1,1))-AVERAGE(OFFSET($H$3,0,0,'Données projet'!$E$15+1,1))</f>
        <v>406.24139966722936</v>
      </c>
      <c r="EP202" s="62">
        <f t="shared" si="210"/>
        <v>295.95724296920577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297.99999999999977</v>
      </c>
      <c r="FF202" s="18">
        <f>FE202*VLOOKUP('Données projet'!$B$16,Paramètres!$A$1:$I$89,3,0)*VLOOKUP('Données projet'!$B$16,Paramètres!$A$1:$I$89,5,0)</f>
        <v>288.22559999999976</v>
      </c>
      <c r="FG202" s="14">
        <f t="shared" si="182"/>
        <v>68.702374546701833</v>
      </c>
      <c r="FH202" s="22">
        <f t="shared" si="183"/>
        <v>621.64955566883862</v>
      </c>
      <c r="FI202" s="62">
        <f t="shared" si="199"/>
        <v>914.98288900217199</v>
      </c>
      <c r="FJ202" s="62">
        <f ca="1">AVERAGE(OFFSET($FI$3,0,0,'Données projet'!$E$16+1,1))-AVERAGE(OFFSET($H$3,0,0,'Données projet'!$E$16+1,1))</f>
        <v>540.83352418045502</v>
      </c>
      <c r="FK202" s="62">
        <f t="shared" si="211"/>
        <v>294.45557293177131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1.1368683772161603E-13</v>
      </c>
      <c r="GA202" s="18">
        <f>FZ202*VLOOKUP('Données projet'!$B$17,Paramètres!$A$1:$I$89,3,0)*VLOOKUP('Données projet'!$B$17,Paramètres!$A$1:$I$89,5,0)</f>
        <v>8.8675733422860506E-14</v>
      </c>
      <c r="GB202" s="14">
        <f t="shared" si="185"/>
        <v>1.3509285393066301E-12</v>
      </c>
      <c r="GC202" s="22">
        <f t="shared" si="186"/>
        <v>2.5073107750038623E-12</v>
      </c>
      <c r="GD202" s="62">
        <f t="shared" si="200"/>
        <v>293.33333333333582</v>
      </c>
      <c r="GE202" s="62">
        <f ca="1">AVERAGE(OFFSET($GD$3,0,0,'Données projet'!$E$17+1,1))-AVERAGE(OFFSET($H$3,0,0,'Données projet'!$E$17+1,1))</f>
        <v>292.57482726862594</v>
      </c>
      <c r="GF202" s="62">
        <f t="shared" si="212"/>
        <v>283.48738729114024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3.979039320256561E-13</v>
      </c>
      <c r="GV202" s="18">
        <f>GU202*VLOOKUP('Données projet'!$B$18,Paramètres!$A$1:$I$89,3,0)*VLOOKUP('Données projet'!$B$18,Paramètres!$A$1:$I$89,5,0)</f>
        <v>2.669139576028101E-13</v>
      </c>
      <c r="GW202" s="14">
        <f t="shared" si="188"/>
        <v>3.5767923834585247E-12</v>
      </c>
      <c r="GX202" s="22">
        <f t="shared" si="189"/>
        <v>6.6944552106818241E-12</v>
      </c>
      <c r="GY202" s="62">
        <f t="shared" si="201"/>
        <v>293.33333333334002</v>
      </c>
      <c r="GZ202" s="62">
        <f ca="1">AVERAGE(OFFSET($GY$3,0,0,'Données projet'!$E$18+1,1))-AVERAGE(OFFSET($H$3,0,0,'Données projet'!$E$18+1,1))</f>
        <v>343.33067866534634</v>
      </c>
      <c r="HA202" s="62">
        <f t="shared" si="213"/>
        <v>261.91036689641402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297.99999999999977</v>
      </c>
      <c r="O203" s="14">
        <f>N203*VLOOKUP('Données projet'!$B$9,Paramètres!$A$1:$I$89,3,0)*VLOOKUP('Données projet'!$B$9,Paramètres!$A$1:$I$89,5,0)</f>
        <v>269.63039999999978</v>
      </c>
      <c r="P203" s="14">
        <f t="shared" si="203"/>
        <v>64.770824587436081</v>
      </c>
      <c r="Q203" s="22">
        <f t="shared" si="162"/>
        <v>582.41546615645075</v>
      </c>
      <c r="R203" s="62">
        <f t="shared" si="191"/>
        <v>875.74879948978401</v>
      </c>
      <c r="S203" s="62">
        <f ca="1">AVERAGE(OFFSET($R$3,0,0,'Données projet'!$E$9+1,1))-AVERAGE(OFFSET($H$3,0,0,'Données projet'!$E$9+1,1))</f>
        <v>508.77990078889337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297.99999999999977</v>
      </c>
      <c r="AJ203" s="14">
        <f>AI203*VLOOKUP('Données projet'!$B$10,Paramètres!$A$1:$I$89,3,0)*VLOOKUP('Données projet'!$B$10,Paramètres!$A$1:$I$89,5,0)</f>
        <v>302.1719999999998</v>
      </c>
      <c r="AK203" s="14">
        <f t="shared" si="164"/>
        <v>71.631606754643158</v>
      </c>
      <c r="AL203" s="22">
        <f t="shared" si="165"/>
        <v>651.04128176433642</v>
      </c>
      <c r="AM203" s="62">
        <f t="shared" si="193"/>
        <v>944.37461509766968</v>
      </c>
      <c r="AN203" s="62">
        <f ca="1">AVERAGE(OFFSET($AM$3,0,0,'Données projet'!$E$10+1,1))-AVERAGE(OFFSET($H$3,0,0,'Données projet'!$E$10+1,1))</f>
        <v>564.84596170333884</v>
      </c>
      <c r="AO203" s="62">
        <f t="shared" si="205"/>
        <v>306.61893266146666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-1.8089849618263545E-13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370.79299728190904</v>
      </c>
      <c r="BJ203" s="62">
        <f t="shared" si="206"/>
        <v>404.95703400805775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-1.8089849618263545E-13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370.79299728190904</v>
      </c>
      <c r="CE203" s="62">
        <f t="shared" si="207"/>
        <v>404.95703400805775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-1.7053025658242404E-13</v>
      </c>
      <c r="CU203" s="18">
        <f>CT203*VLOOKUP('Données projet'!$B$13,Paramètres!$A$1:$I$89,3,0)*VLOOKUP('Données projet'!$B$13,Paramètres!$A$1:$I$89,5,0)</f>
        <v>-1.4897523215040567E-13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339.58437495284466</v>
      </c>
      <c r="CZ203" s="62">
        <f t="shared" si="208"/>
        <v>371.26234252426531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-2.2737367544323206E-13</v>
      </c>
      <c r="DP203" s="18">
        <f>DO203*VLOOKUP('Données projet'!$B$14,Paramètres!$A$1:$I$89,3,0)*VLOOKUP('Données projet'!$B$14,Paramètres!$A$1:$I$89,5,0)</f>
        <v>-1.6671037883497774E-13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344.63665697794022</v>
      </c>
      <c r="DU203" s="62">
        <f t="shared" si="209"/>
        <v>376.72762011188041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5.4092197387944907E-14</v>
      </c>
      <c r="EL203" s="14">
        <f t="shared" si="179"/>
        <v>8.7287050538073676E-13</v>
      </c>
      <c r="EM203" s="22">
        <f t="shared" si="180"/>
        <v>1.6144600406554537E-12</v>
      </c>
      <c r="EN203" s="62">
        <f t="shared" si="198"/>
        <v>293.33333333333491</v>
      </c>
      <c r="EO203" s="62">
        <f ca="1">AVERAGE(OFFSET($EN$3,0,0,'Données projet'!$E$15+1,1))-AVERAGE(OFFSET($H$3,0,0,'Données projet'!$E$15+1,1))</f>
        <v>406.24139966722936</v>
      </c>
      <c r="EP203" s="62">
        <f t="shared" si="210"/>
        <v>295.95724296920577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297.99999999999977</v>
      </c>
      <c r="FF203" s="18">
        <f>FE203*VLOOKUP('Données projet'!$B$16,Paramètres!$A$1:$I$89,3,0)*VLOOKUP('Données projet'!$B$16,Paramètres!$A$1:$I$89,5,0)</f>
        <v>288.22559999999976</v>
      </c>
      <c r="FG203" s="14">
        <f t="shared" si="182"/>
        <v>68.702374546701833</v>
      </c>
      <c r="FH203" s="22">
        <f t="shared" si="183"/>
        <v>621.64955566883862</v>
      </c>
      <c r="FI203" s="62">
        <f t="shared" si="199"/>
        <v>914.98288900217199</v>
      </c>
      <c r="FJ203" s="62">
        <f ca="1">AVERAGE(OFFSET($FI$3,0,0,'Données projet'!$E$16+1,1))-AVERAGE(OFFSET($H$3,0,0,'Données projet'!$E$16+1,1))</f>
        <v>540.83352418045502</v>
      </c>
      <c r="FK203" s="62">
        <f t="shared" si="211"/>
        <v>294.45557293177131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1.1368683772161603E-13</v>
      </c>
      <c r="GA203" s="18">
        <f>FZ203*VLOOKUP('Données projet'!$B$17,Paramètres!$A$1:$I$89,3,0)*VLOOKUP('Données projet'!$B$17,Paramètres!$A$1:$I$89,5,0)</f>
        <v>8.8675733422860506E-14</v>
      </c>
      <c r="GB203" s="14">
        <f t="shared" si="185"/>
        <v>1.3509285393066301E-12</v>
      </c>
      <c r="GC203" s="22">
        <f t="shared" si="186"/>
        <v>2.5073107750038623E-12</v>
      </c>
      <c r="GD203" s="62">
        <f t="shared" si="200"/>
        <v>293.33333333333582</v>
      </c>
      <c r="GE203" s="62">
        <f ca="1">AVERAGE(OFFSET($GD$3,0,0,'Données projet'!$E$17+1,1))-AVERAGE(OFFSET($H$3,0,0,'Données projet'!$E$17+1,1))</f>
        <v>292.57482726862594</v>
      </c>
      <c r="GF203" s="62">
        <f t="shared" si="212"/>
        <v>283.48738729114024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3.979039320256561E-13</v>
      </c>
      <c r="GV203" s="18">
        <f>GU203*VLOOKUP('Données projet'!$B$18,Paramètres!$A$1:$I$89,3,0)*VLOOKUP('Données projet'!$B$18,Paramètres!$A$1:$I$89,5,0)</f>
        <v>2.669139576028101E-13</v>
      </c>
      <c r="GW203" s="14">
        <f t="shared" si="188"/>
        <v>3.5767923834585247E-12</v>
      </c>
      <c r="GX203" s="22">
        <f t="shared" si="189"/>
        <v>6.6944552106818241E-12</v>
      </c>
      <c r="GY203" s="62">
        <f t="shared" si="201"/>
        <v>293.33333333334002</v>
      </c>
      <c r="GZ203" s="62">
        <f ca="1">AVERAGE(OFFSET($GY$3,0,0,'Données projet'!$E$18+1,1))-AVERAGE(OFFSET($H$3,0,0,'Données projet'!$E$18+1,1))</f>
        <v>343.33067866534634</v>
      </c>
      <c r="HA203" s="62">
        <f t="shared" si="213"/>
        <v>261.91036689641402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1.2709816152101407</v>
      </c>
      <c r="BV205" s="88">
        <f>EXP(LN('Données projet'!B114)/'Données projet'!A114)</f>
        <v>1.2709816152101407</v>
      </c>
      <c r="CQ205" s="88">
        <f>EXP(LN('Données projet'!B140)/'Données projet'!A140)</f>
        <v>1.2721747796233518</v>
      </c>
      <c r="DL205" s="88">
        <f>EXP(LN('Données projet'!B166)/'Données projet'!A166)</f>
        <v>1.2709816152101407</v>
      </c>
      <c r="EG205" s="88">
        <f>EXP(LN('Données projet'!B192)/'Données projet'!A192)</f>
        <v>1.2934226882877784</v>
      </c>
      <c r="FB205" s="88">
        <f>EXP(LN('Données projet'!B218)/'Données projet'!A218)</f>
        <v>1.2392705892426346</v>
      </c>
      <c r="FW205" s="88">
        <f>EXP(LN('Données projet'!B244)/'Données projet'!A244)</f>
        <v>1.2788040393997409</v>
      </c>
      <c r="GR205" s="88">
        <f>EXP(LN('Données projet'!B270)/'Données projet'!A270)</f>
        <v>1.3932671119677325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T6" sqref="T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0.52249999999999996</v>
      </c>
      <c r="C6" s="156">
        <f ca="1">IF(OR('Données projet'!B9="",'Données projet'!C9="",'Données projet'!C9=0%),0,Calculateur!S3)</f>
        <v>508.77990078889337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145.36859793563212</v>
      </c>
      <c r="G6" s="156">
        <f ca="1">F6*(100%-'Données projet'!$C$24)*(100%-'Données projet'!$C$25)*(100%-'Données projet'!$C$26)*(100%-'Données projet'!$C$27)</f>
        <v>130.83173814206893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4.4412500000000001</v>
      </c>
      <c r="K6" s="160">
        <f>J6*(100%-'Données projet'!$C$24)*(100%-'Données projet'!$C$25)*(100%-'Données projet'!$C$26)*(100%-'Données projet'!$C$27)</f>
        <v>3.997125</v>
      </c>
      <c r="L6" s="161">
        <f ca="1">G6+I6+K6</f>
        <v>134.82886314206894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pubescent</v>
      </c>
      <c r="B7" s="163">
        <f>'Données projet'!D10</f>
        <v>0.41799999999999998</v>
      </c>
      <c r="C7" s="156">
        <f ca="1">IF(OR('Données projet'!B10="",'Données projet'!C10="",'Données projet'!C10=0%),0,Calculateur!AN3)</f>
        <v>564.84596170333884</v>
      </c>
      <c r="D7" s="156">
        <f>IF(OR('Données projet'!B10="",'Données projet'!C10="",'Données projet'!C10=0%),0,Calculateur!AO3)</f>
        <v>306.61893266146666</v>
      </c>
      <c r="E7" s="156">
        <f t="shared" ref="E7:E15" ca="1" si="0">MIN(C7,D7)</f>
        <v>306.61893266146666</v>
      </c>
      <c r="F7" s="156">
        <f t="shared" ref="F7:F15" ca="1" si="1">E7*B7</f>
        <v>128.16671385249305</v>
      </c>
      <c r="G7" s="156">
        <f ca="1">F7*(100%-'Données projet'!$C$24)*(100%-'Données projet'!$C$25)*(100%-'Données projet'!$C$26)*(100%-'Données projet'!$C$27)</f>
        <v>115.35004246724374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3.5529999999999999</v>
      </c>
      <c r="K7" s="160">
        <f>J7*(100%-'Données projet'!$C$24)*(100%-'Données projet'!$C$25)*(100%-'Données projet'!$C$26)*(100%-'Données projet'!$C$27)</f>
        <v>3.1977000000000002</v>
      </c>
      <c r="L7" s="161">
        <f t="shared" ref="L7:L15" ca="1" si="2">G7+I7+K7</f>
        <v>118.54774246724374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Erable plane</v>
      </c>
      <c r="B8" s="163">
        <f>'Données projet'!D11</f>
        <v>0.20899999999999999</v>
      </c>
      <c r="C8" s="156">
        <f ca="1">IF(OR('Données projet'!B11="",'Données projet'!C11="",'Données projet'!C11=0%),0,Calculateur!BI3)</f>
        <v>370.79299728190904</v>
      </c>
      <c r="D8" s="156">
        <f>IF(OR('Données projet'!B11="",'Données projet'!C11="",'Données projet'!C11=0%),0,Calculateur!BJ3)</f>
        <v>404.95703400805775</v>
      </c>
      <c r="E8" s="156">
        <f t="shared" ca="1" si="0"/>
        <v>370.79299728190904</v>
      </c>
      <c r="F8" s="156">
        <f t="shared" ca="1" si="1"/>
        <v>77.495736431918985</v>
      </c>
      <c r="G8" s="156">
        <f ca="1">F8*(100%-'Données projet'!$C$24)*(100%-'Données projet'!$C$25)*(100%-'Données projet'!$C$26)*(100%-'Données projet'!$C$27)</f>
        <v>69.746162788727091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7.1582499999999998</v>
      </c>
      <c r="K8" s="160">
        <f>J8*(100%-'Données projet'!$C$24)*(100%-'Données projet'!$C$25)*(100%-'Données projet'!$C$26)*(100%-'Données projet'!$C$27)</f>
        <v>6.4424250000000001</v>
      </c>
      <c r="L8" s="161">
        <f t="shared" ca="1" si="2"/>
        <v>76.188587788727091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Erable sycomore</v>
      </c>
      <c r="B9" s="163">
        <f>'Données projet'!D12</f>
        <v>0.1045</v>
      </c>
      <c r="C9" s="156">
        <f ca="1">IF(OR('Données projet'!B12="",'Données projet'!C12="",'Données projet'!C12=0%),0,Calculateur!CD3)</f>
        <v>370.79299728190904</v>
      </c>
      <c r="D9" s="156">
        <f>IF(OR('Données projet'!B12="",'Données projet'!C12="",'Données projet'!C12=0%),0,Calculateur!CE3)</f>
        <v>404.95703400805775</v>
      </c>
      <c r="E9" s="156">
        <f t="shared" ca="1" si="0"/>
        <v>370.79299728190904</v>
      </c>
      <c r="F9" s="156">
        <f t="shared" ca="1" si="1"/>
        <v>38.747868215959492</v>
      </c>
      <c r="G9" s="156">
        <f ca="1">F9*(100%-'Données projet'!$C$24)*(100%-'Données projet'!$C$25)*(100%-'Données projet'!$C$26)*(100%-'Données projet'!$C$27)</f>
        <v>34.873081394363545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3.5791249999999999</v>
      </c>
      <c r="K9" s="160">
        <f>J9*(100%-'Données projet'!$C$24)*(100%-'Données projet'!$C$25)*(100%-'Données projet'!$C$26)*(100%-'Données projet'!$C$27)</f>
        <v>3.2212125</v>
      </c>
      <c r="L9" s="161">
        <f t="shared" ca="1" si="2"/>
        <v>38.094293894363545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Erable champêtre</v>
      </c>
      <c r="B10" s="163">
        <f>'Données projet'!D13</f>
        <v>0.1045</v>
      </c>
      <c r="C10" s="156">
        <f ca="1">IF(OR('Données projet'!B13="",'Données projet'!C13="",'Données projet'!C13=0%),0,Calculateur!CY3)</f>
        <v>339.58437495284466</v>
      </c>
      <c r="D10" s="156">
        <f>IF(OR('Données projet'!B13="",'Données projet'!C13="",'Données projet'!C13=0%),0,Calculateur!CZ3)</f>
        <v>371.26234252426531</v>
      </c>
      <c r="E10" s="156">
        <f t="shared" ca="1" si="0"/>
        <v>339.58437495284466</v>
      </c>
      <c r="F10" s="156">
        <f t="shared" ca="1" si="1"/>
        <v>35.486567182572266</v>
      </c>
      <c r="G10" s="156">
        <f ca="1">F10*(100%-'Données projet'!$C$24)*(100%-'Données projet'!$C$25)*(100%-'Données projet'!$C$26)*(100%-'Données projet'!$C$27)</f>
        <v>31.937910464315038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2.5863749999999999</v>
      </c>
      <c r="K10" s="160">
        <f>J10*(100%-'Données projet'!$C$24)*(100%-'Données projet'!$C$25)*(100%-'Données projet'!$C$26)*(100%-'Données projet'!$C$27)</f>
        <v>2.3277375</v>
      </c>
      <c r="L10" s="161">
        <f t="shared" ca="1" si="2"/>
        <v>34.265647964315036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Châtaignier</v>
      </c>
      <c r="B11" s="163">
        <f>'Données projet'!D14</f>
        <v>0.12539999999999998</v>
      </c>
      <c r="C11" s="156">
        <f ca="1">IF(OR('Données projet'!B14="",'Données projet'!C14="",'Données projet'!C14=0%),0,Calculateur!DT3)</f>
        <v>344.63665697794022</v>
      </c>
      <c r="D11" s="156">
        <f>IF(OR('Données projet'!B14="",'Données projet'!C14="",'Données projet'!C14=0%),0,Calculateur!DU3)</f>
        <v>376.72762011188041</v>
      </c>
      <c r="E11" s="156">
        <f t="shared" ca="1" si="0"/>
        <v>344.63665697794022</v>
      </c>
      <c r="F11" s="156">
        <f t="shared" ca="1" si="1"/>
        <v>43.217436785033698</v>
      </c>
      <c r="G11" s="156">
        <f ca="1">F11*(100%-'Données projet'!$C$24)*(100%-'Données projet'!$C$25)*(100%-'Données projet'!$C$26)*(100%-'Données projet'!$C$27)</f>
        <v>38.895693106530331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4.2949499999999992</v>
      </c>
      <c r="K11" s="160">
        <f>J11*(100%-'Données projet'!$C$24)*(100%-'Données projet'!$C$25)*(100%-'Données projet'!$C$26)*(100%-'Données projet'!$C$27)</f>
        <v>3.8654549999999994</v>
      </c>
      <c r="L11" s="161">
        <f t="shared" ca="1" si="2"/>
        <v>42.761148106530328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Charme</v>
      </c>
      <c r="B12" s="163">
        <f>'Données projet'!D15</f>
        <v>0.20899999999999999</v>
      </c>
      <c r="C12" s="156">
        <f ca="1">IF(OR('Données projet'!B15="",'Données projet'!C15="",'Données projet'!C15=0%),0,Calculateur!EO3)</f>
        <v>406.24139966722936</v>
      </c>
      <c r="D12" s="156">
        <f>IF(OR('Données projet'!B15="",'Données projet'!C15="",'Données projet'!C15=0%),0,Calculateur!EP3)</f>
        <v>295.95724296920577</v>
      </c>
      <c r="E12" s="156">
        <f t="shared" ca="1" si="0"/>
        <v>295.95724296920577</v>
      </c>
      <c r="F12" s="156">
        <f t="shared" ca="1" si="1"/>
        <v>61.855063780564002</v>
      </c>
      <c r="G12" s="156">
        <f ca="1">F12*(100%-'Données projet'!$C$24)*(100%-'Données projet'!$C$25)*(100%-'Données projet'!$C$26)*(100%-'Données projet'!$C$27)</f>
        <v>55.6695574025076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1.8756410256410256</v>
      </c>
      <c r="K12" s="160">
        <f>J12*(100%-'Données projet'!$C$24)*(100%-'Données projet'!$C$25)*(100%-'Données projet'!$C$26)*(100%-'Données projet'!$C$27)</f>
        <v>1.688076923076923</v>
      </c>
      <c r="L12" s="161">
        <f t="shared" ca="1" si="2"/>
        <v>57.35763432558452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Alisier torminal</v>
      </c>
      <c r="B13" s="163">
        <f>'Données projet'!D16</f>
        <v>0.1045</v>
      </c>
      <c r="C13" s="156">
        <f ca="1">IF(OR('Données projet'!B16="",'Données projet'!C16="",'Données projet'!C16=0%),0,Calculateur!FJ3)</f>
        <v>540.83352418045502</v>
      </c>
      <c r="D13" s="156">
        <f>IF(OR('Données projet'!B16="",'Données projet'!C16="",'Données projet'!C16=0%),0,Calculateur!FK3)</f>
        <v>294.45557293177131</v>
      </c>
      <c r="E13" s="156">
        <f t="shared" ca="1" si="0"/>
        <v>294.45557293177131</v>
      </c>
      <c r="F13" s="156">
        <f t="shared" ca="1" si="1"/>
        <v>30.770607371370101</v>
      </c>
      <c r="G13" s="156">
        <f ca="1">F13*(100%-'Données projet'!$C$24)*(100%-'Données projet'!$C$25)*(100%-'Données projet'!$C$26)*(100%-'Données projet'!$C$27)</f>
        <v>27.69354663423309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0.88824999999999998</v>
      </c>
      <c r="K13" s="160">
        <f>J13*(100%-'Données projet'!$C$24)*(100%-'Données projet'!$C$25)*(100%-'Données projet'!$C$26)*(100%-'Données projet'!$C$27)</f>
        <v>0.79942500000000005</v>
      </c>
      <c r="L13" s="161">
        <f t="shared" ca="1" si="2"/>
        <v>28.49297163423309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>Merisier</v>
      </c>
      <c r="B14" s="163">
        <f>'Données projet'!D17</f>
        <v>0.1045</v>
      </c>
      <c r="C14" s="156">
        <f ca="1">IF(OR('Données projet'!B17="",'Données projet'!C17="",'Données projet'!C17=0%),0,Calculateur!GE3)</f>
        <v>292.57482726862594</v>
      </c>
      <c r="D14" s="156">
        <f>IF(OR('Données projet'!B17="",'Données projet'!C17="",'Données projet'!C17=0%),0,Calculateur!GF3)</f>
        <v>283.48738729114024</v>
      </c>
      <c r="E14" s="156">
        <f t="shared" ca="1" si="0"/>
        <v>283.48738729114024</v>
      </c>
      <c r="F14" s="156">
        <f t="shared" ca="1" si="1"/>
        <v>29.624431971924153</v>
      </c>
      <c r="G14" s="156">
        <f ca="1">F14*(100%-'Données projet'!$C$24)*(100%-'Données projet'!$C$25)*(100%-'Données projet'!$C$26)*(100%-'Données projet'!$C$27)</f>
        <v>26.661988774731739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1.4368749999999999</v>
      </c>
      <c r="K14" s="160">
        <f>J14*(100%-'Données projet'!$C$24)*(100%-'Données projet'!$C$25)*(100%-'Données projet'!$C$26)*(100%-'Données projet'!$C$27)</f>
        <v>1.2931874999999999</v>
      </c>
      <c r="L14" s="161">
        <f t="shared" ca="1" si="2"/>
        <v>27.955176274731738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>Tilleul</v>
      </c>
      <c r="B15" s="166">
        <f>'Données projet'!D18</f>
        <v>8.3599999999999994E-2</v>
      </c>
      <c r="C15" s="167">
        <f ca="1">IF(OR('Données projet'!B18="",'Données projet'!C18="",'Données projet'!C18=0%),0,Calculateur!GZ3)</f>
        <v>343.33067866534634</v>
      </c>
      <c r="D15" s="167">
        <f>IF(OR('Données projet'!B18="",'Données projet'!C18="",'Données projet'!C18=0%),0,Calculateur!HA3)</f>
        <v>261.91036689641402</v>
      </c>
      <c r="E15" s="167">
        <f t="shared" ca="1" si="0"/>
        <v>261.91036689641402</v>
      </c>
      <c r="F15" s="168">
        <f t="shared" ca="1" si="1"/>
        <v>21.895706672540211</v>
      </c>
      <c r="G15" s="168">
        <f ca="1">F15*(100%-'Données projet'!$C$24)*(100%-'Données projet'!$C$25)*(100%-'Données projet'!$C$26)*(100%-'Données projet'!$C$27)</f>
        <v>19.70613600528619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1.1253846153846152</v>
      </c>
      <c r="K15" s="172">
        <f>J15*(100%-'Données projet'!$C$24)*(100%-'Données projet'!$C$25)*(100%-'Données projet'!$C$26)*(100%-'Données projet'!$C$27)</f>
        <v>1.0128461538461537</v>
      </c>
      <c r="L15" s="173">
        <f t="shared" ca="1" si="2"/>
        <v>20.718982159132345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5"/>
      <c r="B16" s="232"/>
      <c r="C16" s="233"/>
      <c r="D16" s="25"/>
      <c r="E16" s="25"/>
      <c r="F16" s="174">
        <f t="shared" ref="F16:L16" ca="1" si="3">SUM(F6:F15)</f>
        <v>612.62873020000825</v>
      </c>
      <c r="G16" s="175">
        <f t="shared" ca="1" si="3"/>
        <v>551.36585718000731</v>
      </c>
      <c r="H16" s="176">
        <f t="shared" si="3"/>
        <v>0</v>
      </c>
      <c r="I16" s="176">
        <f t="shared" si="3"/>
        <v>0</v>
      </c>
      <c r="J16" s="177">
        <f t="shared" si="3"/>
        <v>30.939100641025643</v>
      </c>
      <c r="K16" s="177">
        <f t="shared" si="3"/>
        <v>27.845190576923081</v>
      </c>
      <c r="L16" s="178">
        <f t="shared" ca="1" si="3"/>
        <v>579.21104775693027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Erable plane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Erable sycomore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Erable champêtre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Châtaignier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Charme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Alisier torminal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>Merisier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>Tilleul</v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55" zoomScaleNormal="55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856.39980013028867</v>
      </c>
      <c r="U10" s="190">
        <f>'Données projet'!D9</f>
        <v>0.52249999999999996</v>
      </c>
      <c r="V10" s="189">
        <f>U10*T10</f>
        <v>447.46889556807582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Chêne pubescent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743.27139725979214</v>
      </c>
      <c r="U11" s="190">
        <f>'Données projet'!D10</f>
        <v>0.41799999999999998</v>
      </c>
      <c r="V11" s="189">
        <f t="shared" ref="V11" si="0">U11*T11</f>
        <v>310.68744405459313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Erable plane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1699.4277672067174</v>
      </c>
      <c r="U12" s="190">
        <f>'Données projet'!D11</f>
        <v>0.20899999999999999</v>
      </c>
      <c r="V12" s="189">
        <f t="shared" ref="V12:V19" si="1">U12*T12</f>
        <v>355.18040334620389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Erable sycomore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1699.4277672067174</v>
      </c>
      <c r="U13" s="190">
        <f>'Données projet'!D12</f>
        <v>0.1045</v>
      </c>
      <c r="V13" s="189">
        <f t="shared" si="1"/>
        <v>177.59020167310194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Erable champêtre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1354.4432004179198</v>
      </c>
      <c r="U14" s="190">
        <f>'Données projet'!D13</f>
        <v>0.1045</v>
      </c>
      <c r="V14" s="189">
        <f t="shared" si="1"/>
        <v>141.53931444367262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0"/>
      <c r="G15" s="326" t="s">
        <v>318</v>
      </c>
      <c r="H15" s="203">
        <v>2024</v>
      </c>
      <c r="I15" s="204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>Châtaignier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2545.6567303550019</v>
      </c>
      <c r="U15" s="190">
        <f>'Données projet'!D14</f>
        <v>0.12539999999999998</v>
      </c>
      <c r="V15" s="189">
        <f t="shared" si="1"/>
        <v>319.22535398651718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>Charme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509.58934385645489</v>
      </c>
      <c r="U16" s="190">
        <f>'Données projet'!D15</f>
        <v>0.20899999999999999</v>
      </c>
      <c r="V16" s="189">
        <f t="shared" si="1"/>
        <v>106.50417286599907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>Alisier torminal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856.39980013028867</v>
      </c>
      <c r="U17" s="190">
        <f>'Données projet'!D16</f>
        <v>0.1045</v>
      </c>
      <c r="V17" s="189">
        <f t="shared" si="1"/>
        <v>89.493779113615162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>Merisier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2125.848774320878</v>
      </c>
      <c r="U18" s="190">
        <f>'Données projet'!D17</f>
        <v>0.1045</v>
      </c>
      <c r="V18" s="189">
        <f t="shared" si="1"/>
        <v>222.15119691653175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>Tilleul</v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807.50230762794411</v>
      </c>
      <c r="U19" s="190">
        <f>'Données projet'!D18</f>
        <v>8.3599999999999994E-2</v>
      </c>
      <c r="V19" s="189">
        <f t="shared" si="1"/>
        <v>67.507192917696116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2024</v>
      </c>
      <c r="I20" s="204">
        <v>9329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/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/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0"/>
      <c r="H23" s="203"/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2237.3479548860068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34</v>
      </c>
      <c r="C24" s="206">
        <v>10</v>
      </c>
      <c r="D24" s="194">
        <f t="shared" ref="D24:D42" si="2">B24*C24</f>
        <v>340</v>
      </c>
      <c r="E24" s="206"/>
      <c r="F24" s="263"/>
      <c r="H24" s="203"/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16207.265350276415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>
        <v>0</v>
      </c>
      <c r="D25" s="194">
        <f t="shared" si="2"/>
        <v>0</v>
      </c>
      <c r="E25" s="206"/>
      <c r="F25" s="263"/>
      <c r="G25" s="1"/>
      <c r="H25" s="203"/>
      <c r="I25" s="204"/>
      <c r="K25" s="224"/>
      <c r="L25" s="270" t="s">
        <v>285</v>
      </c>
      <c r="M25" s="270"/>
      <c r="N25" s="270"/>
      <c r="O25" s="270"/>
      <c r="P25" s="205">
        <v>350</v>
      </c>
      <c r="Q25" s="264"/>
      <c r="R25" s="25"/>
      <c r="S25" s="198" t="s">
        <v>266</v>
      </c>
      <c r="T25" s="340">
        <f ca="1">T23-T24</f>
        <v>-13969.917395390408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56</v>
      </c>
      <c r="C26" s="206">
        <v>10</v>
      </c>
      <c r="D26" s="194">
        <f t="shared" si="2"/>
        <v>560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>
        <v>0</v>
      </c>
      <c r="D27" s="194">
        <f t="shared" si="2"/>
        <v>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56</v>
      </c>
      <c r="C28" s="206">
        <v>10</v>
      </c>
      <c r="D28" s="194">
        <f t="shared" si="2"/>
        <v>560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>
        <v>0</v>
      </c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56</v>
      </c>
      <c r="C30" s="206">
        <v>20</v>
      </c>
      <c r="D30" s="194">
        <f t="shared" si="2"/>
        <v>1120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7754.6724164001989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56</v>
      </c>
      <c r="C32" s="206">
        <v>30</v>
      </c>
      <c r="D32" s="194">
        <f t="shared" si="2"/>
        <v>1680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>
        <v>0</v>
      </c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350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56</v>
      </c>
      <c r="C34" s="206">
        <v>40</v>
      </c>
      <c r="D34" s="194">
        <f t="shared" si="2"/>
        <v>2240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334.9282296650718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0</v>
      </c>
      <c r="C35" s="206"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320.5054829330831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56</v>
      </c>
      <c r="C36" s="206">
        <v>70</v>
      </c>
      <c r="D36" s="194">
        <f t="shared" si="2"/>
        <v>3920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306.70381141921825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100</v>
      </c>
      <c r="B37" s="193">
        <f>'Données projet'!D50</f>
        <v>55</v>
      </c>
      <c r="C37" s="206">
        <v>100</v>
      </c>
      <c r="D37" s="194">
        <f t="shared" si="2"/>
        <v>5500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293.49647025762522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110</v>
      </c>
      <c r="B38" s="193">
        <f>'Données projet'!D51</f>
        <v>51</v>
      </c>
      <c r="C38" s="206">
        <v>120</v>
      </c>
      <c r="D38" s="194">
        <f t="shared" si="2"/>
        <v>6120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280.85786627523942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120</v>
      </c>
      <c r="B39" s="193">
        <f>'Données projet'!D52</f>
        <v>47</v>
      </c>
      <c r="C39" s="206">
        <v>120</v>
      </c>
      <c r="D39" s="194">
        <f t="shared" si="2"/>
        <v>5640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268.76350839735841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130</v>
      </c>
      <c r="B40" s="193">
        <f>'Données projet'!D53</f>
        <v>44</v>
      </c>
      <c r="C40" s="206">
        <v>150</v>
      </c>
      <c r="D40" s="194">
        <f t="shared" si="2"/>
        <v>6600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257.18996018885969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140</v>
      </c>
      <c r="B41" s="193">
        <f>'Données projet'!D54</f>
        <v>41</v>
      </c>
      <c r="C41" s="206">
        <v>200</v>
      </c>
      <c r="D41" s="194">
        <f t="shared" si="2"/>
        <v>8200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246.11479443910025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37</v>
      </c>
      <c r="C42" s="206">
        <v>200</v>
      </c>
      <c r="D42" s="194">
        <f t="shared" si="2"/>
        <v>7400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235.51654970248828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225.37468871051516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215.66955857465564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206.38235270301979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197.49507435695674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188.99050177699215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180.85215481051878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173.06426297657308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165.61173490581155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158.48012909647039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151.65562592963676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145.12500088960459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6">
        <v>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138.87559893742065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34</v>
      </c>
      <c r="C55" s="206">
        <v>10</v>
      </c>
      <c r="D55" s="191">
        <f t="shared" ref="D55:D73" si="4">B55*C55</f>
        <v>340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132.89530998796238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0</v>
      </c>
      <c r="C56" s="206">
        <v>0</v>
      </c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127.17254544302619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56</v>
      </c>
      <c r="C57" s="206">
        <v>10</v>
      </c>
      <c r="D57" s="191">
        <f t="shared" si="4"/>
        <v>560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121.69621573495333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0</v>
      </c>
      <c r="C58" s="206">
        <v>0</v>
      </c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116.45570883727592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56</v>
      </c>
      <c r="C59" s="206">
        <v>10</v>
      </c>
      <c r="D59" s="191">
        <f t="shared" si="4"/>
        <v>560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111.44086970074254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0</v>
      </c>
      <c r="C60" s="206"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106.64198057487323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56</v>
      </c>
      <c r="C61" s="206">
        <v>20</v>
      </c>
      <c r="D61" s="191">
        <f t="shared" si="4"/>
        <v>1120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102.04974217691222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0</v>
      </c>
      <c r="C62" s="206"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97.655255671686319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56</v>
      </c>
      <c r="C63" s="206">
        <v>30</v>
      </c>
      <c r="D63" s="191">
        <f t="shared" si="4"/>
        <v>1680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93.450005427451046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0</v>
      </c>
      <c r="C64" s="206"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89.425842514307206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56</v>
      </c>
      <c r="C65" s="206">
        <v>40</v>
      </c>
      <c r="D65" s="191">
        <f t="shared" si="4"/>
        <v>2240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85.574968913212686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0</v>
      </c>
      <c r="C66" s="206"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81.889922404988226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56</v>
      </c>
      <c r="C67" s="206">
        <v>70</v>
      </c>
      <c r="D67" s="191">
        <f t="shared" si="4"/>
        <v>3920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78.363562110036582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100</v>
      </c>
      <c r="B68" s="193">
        <f>'Données projet'!D76</f>
        <v>55</v>
      </c>
      <c r="C68" s="206">
        <v>100</v>
      </c>
      <c r="D68" s="191">
        <f t="shared" si="4"/>
        <v>5500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74.98905465075272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110</v>
      </c>
      <c r="B69" s="193">
        <f>'Données projet'!D77</f>
        <v>51</v>
      </c>
      <c r="C69" s="206">
        <v>120</v>
      </c>
      <c r="D69" s="191">
        <f t="shared" si="4"/>
        <v>6120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71.759860909811223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120</v>
      </c>
      <c r="B70" s="193">
        <f>'Données projet'!D78</f>
        <v>47</v>
      </c>
      <c r="C70" s="206">
        <v>120</v>
      </c>
      <c r="D70" s="191">
        <f t="shared" si="4"/>
        <v>5640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68.669723358671035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130</v>
      </c>
      <c r="B71" s="193">
        <f>'Données projet'!D79</f>
        <v>44</v>
      </c>
      <c r="C71" s="206">
        <v>150</v>
      </c>
      <c r="D71" s="191">
        <f t="shared" si="4"/>
        <v>6600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65.712653931742622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140</v>
      </c>
      <c r="B72" s="193">
        <f>'Données projet'!D80</f>
        <v>41</v>
      </c>
      <c r="C72" s="206">
        <v>200</v>
      </c>
      <c r="D72" s="191">
        <f t="shared" si="4"/>
        <v>8200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62.88292242272022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150</v>
      </c>
      <c r="B73" s="193">
        <f>'Données projet'!D81</f>
        <v>37</v>
      </c>
      <c r="C73" s="206">
        <v>200</v>
      </c>
      <c r="D73" s="191">
        <f t="shared" si="4"/>
        <v>7400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60.175045380593524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57.583775483821562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55.104091372078059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Erable plane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52.731187915864169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50.460466905133188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48.287528138883431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46.208160898453052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44.218335787993347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42.314196926309442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40.492054474937262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38.748377487978253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37.079787069835646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10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35.483049827593931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15</v>
      </c>
      <c r="B86" s="193">
        <f>'Données projet'!D89</f>
        <v>0</v>
      </c>
      <c r="C86" s="204"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33.955071605353041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20</v>
      </c>
      <c r="B87" s="193">
        <f>'Données projet'!D90</f>
        <v>67</v>
      </c>
      <c r="C87" s="204">
        <v>10</v>
      </c>
      <c r="D87" s="191">
        <f t="shared" si="6"/>
        <v>670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32.492891488376131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25</v>
      </c>
      <c r="B88" s="193">
        <f>'Données projet'!D91</f>
        <v>0</v>
      </c>
      <c r="C88" s="206"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31.093676065431698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30</v>
      </c>
      <c r="B89" s="193">
        <f>'Données projet'!D92</f>
        <v>70</v>
      </c>
      <c r="C89" s="206">
        <v>15</v>
      </c>
      <c r="D89" s="191">
        <f t="shared" si="6"/>
        <v>1050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29.754713938212159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35</v>
      </c>
      <c r="B90" s="193">
        <f>'Données projet'!D93</f>
        <v>0</v>
      </c>
      <c r="C90" s="206"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28.473410467188671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40</v>
      </c>
      <c r="B91" s="193">
        <f>'Données projet'!D94</f>
        <v>70</v>
      </c>
      <c r="C91" s="206">
        <v>20</v>
      </c>
      <c r="D91" s="191">
        <f t="shared" si="6"/>
        <v>1400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27.247282743721222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45</v>
      </c>
      <c r="B92" s="193">
        <f>'Données projet'!D95</f>
        <v>0</v>
      </c>
      <c r="C92" s="206"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26.073954778680598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50</v>
      </c>
      <c r="B93" s="193">
        <f>'Données projet'!D96</f>
        <v>43</v>
      </c>
      <c r="C93" s="206">
        <v>30</v>
      </c>
      <c r="D93" s="191">
        <f t="shared" si="6"/>
        <v>1290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24.951152898258947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55</v>
      </c>
      <c r="B94" s="193">
        <f>'Données projet'!D97</f>
        <v>0</v>
      </c>
      <c r="C94" s="206"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23.876701338046836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60</v>
      </c>
      <c r="B95" s="193">
        <f>'Données projet'!D98</f>
        <v>30</v>
      </c>
      <c r="C95" s="206">
        <v>40</v>
      </c>
      <c r="D95" s="191">
        <f t="shared" si="6"/>
        <v>1200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22.848518026839088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65</v>
      </c>
      <c r="B96" s="193">
        <f>'Données projet'!D99</f>
        <v>0</v>
      </c>
      <c r="C96" s="206"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21.864610551999121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70</v>
      </c>
      <c r="B97" s="193">
        <f>'Données projet'!D100</f>
        <v>26</v>
      </c>
      <c r="C97" s="206">
        <v>55</v>
      </c>
      <c r="D97" s="191">
        <f t="shared" si="6"/>
        <v>1430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20.923072298563767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75</v>
      </c>
      <c r="B98" s="193">
        <f>'Données projet'!D101</f>
        <v>0</v>
      </c>
      <c r="C98" s="206"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20.022078754606476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80</v>
      </c>
      <c r="B99" s="193">
        <f>'Données projet'!D102</f>
        <v>342</v>
      </c>
      <c r="C99" s="206">
        <v>60</v>
      </c>
      <c r="D99" s="191">
        <f t="shared" si="6"/>
        <v>20520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19.15988397569998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18.334817201626773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17.545279618781606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16.789741261991967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Erable sycomore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10</v>
      </c>
      <c r="B116" s="193">
        <f>'Données projet'!D114</f>
        <v>0</v>
      </c>
      <c r="C116" s="204"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15</v>
      </c>
      <c r="B117" s="193">
        <f>'Données projet'!D115</f>
        <v>0</v>
      </c>
      <c r="C117" s="204"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20</v>
      </c>
      <c r="B118" s="193">
        <f>'Données projet'!D116</f>
        <v>67</v>
      </c>
      <c r="C118" s="204">
        <v>10</v>
      </c>
      <c r="D118" s="191">
        <f t="shared" si="8"/>
        <v>670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25</v>
      </c>
      <c r="B119" s="193">
        <f>'Données projet'!D117</f>
        <v>0</v>
      </c>
      <c r="C119" s="206"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30</v>
      </c>
      <c r="B120" s="193">
        <f>'Données projet'!D118</f>
        <v>70</v>
      </c>
      <c r="C120" s="206">
        <v>15</v>
      </c>
      <c r="D120" s="191">
        <f t="shared" si="8"/>
        <v>1050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35</v>
      </c>
      <c r="B121" s="193">
        <f>'Données projet'!D119</f>
        <v>0</v>
      </c>
      <c r="C121" s="206"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40</v>
      </c>
      <c r="B122" s="193">
        <f>'Données projet'!D120</f>
        <v>70</v>
      </c>
      <c r="C122" s="206">
        <v>20</v>
      </c>
      <c r="D122" s="191">
        <f t="shared" si="8"/>
        <v>1400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45</v>
      </c>
      <c r="B123" s="193">
        <f>'Données projet'!D121</f>
        <v>0</v>
      </c>
      <c r="C123" s="206"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50</v>
      </c>
      <c r="B124" s="193">
        <f>'Données projet'!D122</f>
        <v>43</v>
      </c>
      <c r="C124" s="206">
        <v>30</v>
      </c>
      <c r="D124" s="191">
        <f t="shared" si="8"/>
        <v>1290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55</v>
      </c>
      <c r="B125" s="193">
        <f>'Données projet'!D123</f>
        <v>0</v>
      </c>
      <c r="C125" s="206"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60</v>
      </c>
      <c r="B126" s="193">
        <f>'Données projet'!D124</f>
        <v>30</v>
      </c>
      <c r="C126" s="206">
        <v>40</v>
      </c>
      <c r="D126" s="191">
        <f t="shared" si="8"/>
        <v>1200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65</v>
      </c>
      <c r="B127" s="193">
        <f>'Données projet'!D125</f>
        <v>0</v>
      </c>
      <c r="C127" s="206"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70</v>
      </c>
      <c r="B128" s="193">
        <f>'Données projet'!D126</f>
        <v>26</v>
      </c>
      <c r="C128" s="206">
        <v>55</v>
      </c>
      <c r="D128" s="191">
        <f t="shared" si="8"/>
        <v>1430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75</v>
      </c>
      <c r="B129" s="193">
        <f>'Données projet'!D127</f>
        <v>0</v>
      </c>
      <c r="C129" s="206"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80</v>
      </c>
      <c r="B130" s="193">
        <f>'Données projet'!D128</f>
        <v>342</v>
      </c>
      <c r="C130" s="206">
        <v>60</v>
      </c>
      <c r="D130" s="191">
        <f t="shared" si="8"/>
        <v>20520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Erable champêtre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7">
        <f>'Données projet'!D140</f>
        <v>0</v>
      </c>
      <c r="C147" s="204"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7">
        <f>'Données projet'!D141</f>
        <v>43</v>
      </c>
      <c r="C148" s="204">
        <v>10</v>
      </c>
      <c r="D148" s="194">
        <f t="shared" ref="D148:D166" si="10">B148*C148</f>
        <v>430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7">
        <f>'Données projet'!D142</f>
        <v>0</v>
      </c>
      <c r="C149" s="204"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7">
        <f>'Données projet'!D143</f>
        <v>56</v>
      </c>
      <c r="C150" s="206">
        <v>15</v>
      </c>
      <c r="D150" s="194">
        <f t="shared" si="10"/>
        <v>840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7">
        <f>'Données projet'!D144</f>
        <v>0</v>
      </c>
      <c r="C151" s="206"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7">
        <f>'Données projet'!D145</f>
        <v>56</v>
      </c>
      <c r="C152" s="206">
        <v>20</v>
      </c>
      <c r="D152" s="194">
        <f t="shared" si="10"/>
        <v>1120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7">
        <f>'Données projet'!D146</f>
        <v>0</v>
      </c>
      <c r="C153" s="206"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7">
        <f>'Données projet'!D147</f>
        <v>39</v>
      </c>
      <c r="C154" s="206">
        <v>30</v>
      </c>
      <c r="D154" s="194">
        <f t="shared" si="10"/>
        <v>1170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7">
        <f>'Données projet'!D148</f>
        <v>0</v>
      </c>
      <c r="C155" s="206"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7">
        <f>'Données projet'!D149</f>
        <v>25</v>
      </c>
      <c r="C156" s="206">
        <v>40</v>
      </c>
      <c r="D156" s="194">
        <f t="shared" si="10"/>
        <v>1000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7">
        <f>'Données projet'!D150</f>
        <v>0</v>
      </c>
      <c r="C157" s="206"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7">
        <f>'Données projet'!D151</f>
        <v>21</v>
      </c>
      <c r="C158" s="206">
        <v>55</v>
      </c>
      <c r="D158" s="194">
        <f t="shared" si="10"/>
        <v>1155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7">
        <f>'Données projet'!D152</f>
        <v>0</v>
      </c>
      <c r="C159" s="206"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7">
        <f>'Données projet'!D153</f>
        <v>285</v>
      </c>
      <c r="C160" s="206">
        <v>60</v>
      </c>
      <c r="D160" s="194">
        <f t="shared" si="10"/>
        <v>17100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6"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Châtaignier</v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10</v>
      </c>
      <c r="B178" s="193">
        <f>'Données projet'!D166</f>
        <v>0</v>
      </c>
      <c r="C178" s="206"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15</v>
      </c>
      <c r="B179" s="193">
        <f>'Données projet'!D167</f>
        <v>0</v>
      </c>
      <c r="C179" s="206"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20</v>
      </c>
      <c r="B180" s="193">
        <f>'Données projet'!D168</f>
        <v>67</v>
      </c>
      <c r="C180" s="206">
        <v>10</v>
      </c>
      <c r="D180" s="191">
        <f t="shared" si="11"/>
        <v>670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25</v>
      </c>
      <c r="B181" s="193">
        <f>'Données projet'!D169</f>
        <v>0</v>
      </c>
      <c r="C181" s="204"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30</v>
      </c>
      <c r="B182" s="193">
        <f>'Données projet'!D170</f>
        <v>70</v>
      </c>
      <c r="C182" s="204">
        <v>10</v>
      </c>
      <c r="D182" s="191">
        <f t="shared" si="11"/>
        <v>700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35</v>
      </c>
      <c r="B183" s="193">
        <f>'Données projet'!D171</f>
        <v>0</v>
      </c>
      <c r="C183" s="204"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40</v>
      </c>
      <c r="B184" s="193">
        <f>'Données projet'!D172</f>
        <v>70</v>
      </c>
      <c r="C184" s="204">
        <v>20</v>
      </c>
      <c r="D184" s="191">
        <f t="shared" si="11"/>
        <v>1400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45</v>
      </c>
      <c r="B185" s="193">
        <f>'Données projet'!D173</f>
        <v>0</v>
      </c>
      <c r="C185" s="204"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50</v>
      </c>
      <c r="B186" s="193">
        <f>'Données projet'!D174</f>
        <v>43</v>
      </c>
      <c r="C186" s="204">
        <v>30</v>
      </c>
      <c r="D186" s="191">
        <f t="shared" si="11"/>
        <v>1290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55</v>
      </c>
      <c r="B187" s="193">
        <f>'Données projet'!D175</f>
        <v>0</v>
      </c>
      <c r="C187" s="204"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60</v>
      </c>
      <c r="B188" s="193">
        <f>'Données projet'!D176</f>
        <v>30</v>
      </c>
      <c r="C188" s="204">
        <v>40</v>
      </c>
      <c r="D188" s="191">
        <f t="shared" si="11"/>
        <v>1200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65</v>
      </c>
      <c r="B189" s="193">
        <f>'Données projet'!D177</f>
        <v>0</v>
      </c>
      <c r="C189" s="204"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70</v>
      </c>
      <c r="B190" s="193">
        <f>'Données projet'!D178</f>
        <v>26</v>
      </c>
      <c r="C190" s="204">
        <v>80</v>
      </c>
      <c r="D190" s="191">
        <f t="shared" si="11"/>
        <v>2080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75</v>
      </c>
      <c r="B191" s="193">
        <f>'Données projet'!D179</f>
        <v>0</v>
      </c>
      <c r="C191" s="204"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80</v>
      </c>
      <c r="B192" s="193">
        <f>'Données projet'!D180</f>
        <v>342</v>
      </c>
      <c r="C192" s="204">
        <v>150</v>
      </c>
      <c r="D192" s="191">
        <f t="shared" si="11"/>
        <v>51300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Charme</v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15</v>
      </c>
      <c r="B209" s="193">
        <f>'Données projet'!D192</f>
        <v>0</v>
      </c>
      <c r="C209" s="204"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20</v>
      </c>
      <c r="B210" s="193">
        <f>'Données projet'!D193</f>
        <v>0</v>
      </c>
      <c r="C210" s="204"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25</v>
      </c>
      <c r="B211" s="193">
        <f>'Données projet'!D194</f>
        <v>35.897435897435898</v>
      </c>
      <c r="C211" s="204">
        <v>10</v>
      </c>
      <c r="D211" s="191">
        <f t="shared" si="12"/>
        <v>358.97435897435901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30</v>
      </c>
      <c r="B212" s="193">
        <f>'Données projet'!D195</f>
        <v>0</v>
      </c>
      <c r="C212" s="204"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35</v>
      </c>
      <c r="B213" s="193">
        <f>'Données projet'!D196</f>
        <v>33.333333333333336</v>
      </c>
      <c r="C213" s="204">
        <v>10</v>
      </c>
      <c r="D213" s="191">
        <f t="shared" si="12"/>
        <v>333.33333333333337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40</v>
      </c>
      <c r="B214" s="193">
        <f>'Données projet'!D197</f>
        <v>0</v>
      </c>
      <c r="C214" s="204"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45</v>
      </c>
      <c r="B215" s="193">
        <f>'Données projet'!D198</f>
        <v>34.615384615384613</v>
      </c>
      <c r="C215" s="204">
        <v>15</v>
      </c>
      <c r="D215" s="191">
        <f t="shared" si="12"/>
        <v>519.23076923076917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50</v>
      </c>
      <c r="B216" s="193">
        <f>'Données projet'!D199</f>
        <v>0</v>
      </c>
      <c r="C216" s="204"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55</v>
      </c>
      <c r="B217" s="193">
        <f>'Données projet'!D200</f>
        <v>34.615384615384613</v>
      </c>
      <c r="C217" s="204">
        <v>20</v>
      </c>
      <c r="D217" s="191">
        <f t="shared" si="12"/>
        <v>692.30769230769226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60</v>
      </c>
      <c r="B218" s="193">
        <f>'Données projet'!D201</f>
        <v>0</v>
      </c>
      <c r="C218" s="204"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65</v>
      </c>
      <c r="B219" s="193">
        <f>'Données projet'!D202</f>
        <v>32.692307692307693</v>
      </c>
      <c r="C219" s="204">
        <v>20</v>
      </c>
      <c r="D219" s="191">
        <f t="shared" si="12"/>
        <v>653.84615384615381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70</v>
      </c>
      <c r="B220" s="193">
        <f>'Données projet'!D203</f>
        <v>0</v>
      </c>
      <c r="C220" s="204"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75</v>
      </c>
      <c r="B221" s="193">
        <f>'Données projet'!D204</f>
        <v>30.769230769230766</v>
      </c>
      <c r="C221" s="204">
        <v>25</v>
      </c>
      <c r="D221" s="191">
        <f t="shared" si="12"/>
        <v>769.23076923076917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80</v>
      </c>
      <c r="B222" s="193">
        <f>'Données projet'!D205</f>
        <v>0</v>
      </c>
      <c r="C222" s="204"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85</v>
      </c>
      <c r="B223" s="193">
        <f>'Données projet'!D206</f>
        <v>28.846153846153847</v>
      </c>
      <c r="C223" s="204">
        <v>30</v>
      </c>
      <c r="D223" s="191">
        <f t="shared" si="12"/>
        <v>865.38461538461536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90</v>
      </c>
      <c r="B224" s="193">
        <f>'Données projet'!D207</f>
        <v>0</v>
      </c>
      <c r="C224" s="206"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95</v>
      </c>
      <c r="B225" s="193">
        <f>'Données projet'!D208</f>
        <v>27.564102564102562</v>
      </c>
      <c r="C225" s="206">
        <v>35</v>
      </c>
      <c r="D225" s="191">
        <f t="shared" si="12"/>
        <v>964.74358974358972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100</v>
      </c>
      <c r="B226" s="193">
        <f>'Données projet'!D209</f>
        <v>0</v>
      </c>
      <c r="C226" s="206"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110</v>
      </c>
      <c r="B227" s="193">
        <f>'Données projet'!D210</f>
        <v>37.820512820512818</v>
      </c>
      <c r="C227" s="206">
        <v>40</v>
      </c>
      <c r="D227" s="191">
        <f t="shared" si="12"/>
        <v>1512.8205128205127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120</v>
      </c>
      <c r="B228" s="193">
        <f>'Données projet'!D211</f>
        <v>285.89743589743591</v>
      </c>
      <c r="C228" s="206">
        <v>50</v>
      </c>
      <c r="D228" s="191">
        <f t="shared" si="12"/>
        <v>14294.871794871795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Alisier torminal</v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20</v>
      </c>
      <c r="B240" s="193">
        <f>'Données projet'!D218</f>
        <v>0</v>
      </c>
      <c r="C240" s="206"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25</v>
      </c>
      <c r="B241" s="193">
        <f>'Données projet'!D219</f>
        <v>34</v>
      </c>
      <c r="C241" s="206">
        <v>10</v>
      </c>
      <c r="D241" s="191">
        <f t="shared" ref="D241:D259" si="13">B241*C241</f>
        <v>340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30</v>
      </c>
      <c r="B242" s="193">
        <f>'Données projet'!D220</f>
        <v>0</v>
      </c>
      <c r="C242" s="206"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35</v>
      </c>
      <c r="B243" s="193">
        <f>'Données projet'!D221</f>
        <v>56</v>
      </c>
      <c r="C243" s="206">
        <v>10</v>
      </c>
      <c r="D243" s="191">
        <f t="shared" si="13"/>
        <v>560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40</v>
      </c>
      <c r="B244" s="193">
        <f>'Données projet'!D222</f>
        <v>0</v>
      </c>
      <c r="C244" s="206"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45</v>
      </c>
      <c r="B245" s="193">
        <f>'Données projet'!D223</f>
        <v>56</v>
      </c>
      <c r="C245" s="206">
        <v>10</v>
      </c>
      <c r="D245" s="191">
        <f t="shared" si="13"/>
        <v>560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50</v>
      </c>
      <c r="B246" s="193">
        <f>'Données projet'!D224</f>
        <v>0</v>
      </c>
      <c r="C246" s="206"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55</v>
      </c>
      <c r="B247" s="193">
        <f>'Données projet'!D225</f>
        <v>56</v>
      </c>
      <c r="C247" s="206">
        <v>20</v>
      </c>
      <c r="D247" s="191">
        <f t="shared" si="13"/>
        <v>1120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60</v>
      </c>
      <c r="B248" s="193">
        <f>'Données projet'!D226</f>
        <v>0</v>
      </c>
      <c r="C248" s="206"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65</v>
      </c>
      <c r="B249" s="193">
        <f>'Données projet'!D227</f>
        <v>56</v>
      </c>
      <c r="C249" s="206">
        <v>30</v>
      </c>
      <c r="D249" s="191">
        <f t="shared" si="13"/>
        <v>1680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70</v>
      </c>
      <c r="B250" s="193">
        <f>'Données projet'!D228</f>
        <v>0</v>
      </c>
      <c r="C250" s="206"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75</v>
      </c>
      <c r="B251" s="193">
        <f>'Données projet'!D229</f>
        <v>56</v>
      </c>
      <c r="C251" s="206">
        <v>40</v>
      </c>
      <c r="D251" s="191">
        <f t="shared" si="13"/>
        <v>2240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80</v>
      </c>
      <c r="B252" s="193">
        <f>'Données projet'!D230</f>
        <v>0</v>
      </c>
      <c r="C252" s="206"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90</v>
      </c>
      <c r="B253" s="193">
        <f>'Données projet'!D231</f>
        <v>56</v>
      </c>
      <c r="C253" s="206">
        <v>70</v>
      </c>
      <c r="D253" s="191">
        <f t="shared" si="13"/>
        <v>3920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100</v>
      </c>
      <c r="B254" s="193">
        <f>'Données projet'!D232</f>
        <v>55</v>
      </c>
      <c r="C254" s="206">
        <v>100</v>
      </c>
      <c r="D254" s="191">
        <f t="shared" si="13"/>
        <v>5500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110</v>
      </c>
      <c r="B255" s="193">
        <f>'Données projet'!D233</f>
        <v>51</v>
      </c>
      <c r="C255" s="206">
        <v>120</v>
      </c>
      <c r="D255" s="191">
        <f t="shared" si="13"/>
        <v>6120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120</v>
      </c>
      <c r="B256" s="193">
        <f>'Données projet'!D234</f>
        <v>47</v>
      </c>
      <c r="C256" s="206">
        <v>120</v>
      </c>
      <c r="D256" s="191">
        <f t="shared" si="13"/>
        <v>5640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130</v>
      </c>
      <c r="B257" s="193">
        <f>'Données projet'!D235</f>
        <v>44</v>
      </c>
      <c r="C257" s="206">
        <v>150</v>
      </c>
      <c r="D257" s="191">
        <f t="shared" si="13"/>
        <v>6600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140</v>
      </c>
      <c r="B258" s="193">
        <f>'Données projet'!D236</f>
        <v>41</v>
      </c>
      <c r="C258" s="206">
        <v>200</v>
      </c>
      <c r="D258" s="191">
        <f t="shared" si="13"/>
        <v>8200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150</v>
      </c>
      <c r="B259" s="193">
        <f>'Données projet'!D237</f>
        <v>37</v>
      </c>
      <c r="C259" s="206">
        <v>200</v>
      </c>
      <c r="D259" s="191">
        <f t="shared" si="13"/>
        <v>7400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>Merisier</v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15</v>
      </c>
      <c r="B271" s="193">
        <f>'Données projet'!D244</f>
        <v>0</v>
      </c>
      <c r="C271" s="206"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20</v>
      </c>
      <c r="B272" s="193">
        <f>'Données projet'!D245</f>
        <v>0</v>
      </c>
      <c r="C272" s="206"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25</v>
      </c>
      <c r="B273" s="193">
        <f>'Données projet'!D246</f>
        <v>55</v>
      </c>
      <c r="C273" s="204">
        <v>10</v>
      </c>
      <c r="D273" s="191">
        <f t="shared" si="14"/>
        <v>550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31</v>
      </c>
      <c r="B274" s="193">
        <f>'Données projet'!D247</f>
        <v>36</v>
      </c>
      <c r="C274" s="204">
        <v>10</v>
      </c>
      <c r="D274" s="191">
        <f t="shared" si="14"/>
        <v>360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37</v>
      </c>
      <c r="B275" s="193">
        <f>'Données projet'!D248</f>
        <v>36</v>
      </c>
      <c r="C275" s="204">
        <v>15</v>
      </c>
      <c r="D275" s="191">
        <f t="shared" si="14"/>
        <v>540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44</v>
      </c>
      <c r="B276" s="193">
        <f>'Données projet'!D249</f>
        <v>43</v>
      </c>
      <c r="C276" s="204">
        <v>20</v>
      </c>
      <c r="D276" s="191">
        <f t="shared" si="14"/>
        <v>860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52</v>
      </c>
      <c r="B277" s="193">
        <f>'Données projet'!D250</f>
        <v>48</v>
      </c>
      <c r="C277" s="204">
        <v>40</v>
      </c>
      <c r="D277" s="191">
        <f t="shared" si="14"/>
        <v>1920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60</v>
      </c>
      <c r="B278" s="193">
        <f>'Données projet'!D251</f>
        <v>47</v>
      </c>
      <c r="C278" s="204">
        <v>50</v>
      </c>
      <c r="D278" s="191">
        <f t="shared" si="14"/>
        <v>2350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69</v>
      </c>
      <c r="B279" s="193">
        <f>'Données projet'!D252</f>
        <v>328</v>
      </c>
      <c r="C279" s="204">
        <v>80</v>
      </c>
      <c r="D279" s="191">
        <f t="shared" si="14"/>
        <v>26240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4"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>Tilleul</v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10</v>
      </c>
      <c r="B302" s="193">
        <f>'Données projet'!D270</f>
        <v>0</v>
      </c>
      <c r="C302" s="204"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15</v>
      </c>
      <c r="B303" s="193">
        <f>'Données projet'!D271</f>
        <v>19.871794871794872</v>
      </c>
      <c r="C303" s="206">
        <v>10</v>
      </c>
      <c r="D303" s="194">
        <f t="shared" ref="D303:D321" si="15">B303*C303</f>
        <v>198.71794871794873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20</v>
      </c>
      <c r="B304" s="193">
        <f>'Données projet'!D272</f>
        <v>0</v>
      </c>
      <c r="C304" s="206"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25</v>
      </c>
      <c r="B305" s="193">
        <f>'Données projet'!D273</f>
        <v>33.974358974358971</v>
      </c>
      <c r="C305" s="206">
        <v>10</v>
      </c>
      <c r="D305" s="194">
        <f t="shared" si="15"/>
        <v>339.74358974358972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30</v>
      </c>
      <c r="B306" s="193">
        <f>'Données projet'!D274</f>
        <v>0</v>
      </c>
      <c r="C306" s="206"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35</v>
      </c>
      <c r="B307" s="193">
        <f>'Données projet'!D275</f>
        <v>37.179487179487175</v>
      </c>
      <c r="C307" s="206">
        <v>15</v>
      </c>
      <c r="D307" s="194">
        <f t="shared" si="15"/>
        <v>557.69230769230762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40</v>
      </c>
      <c r="B308" s="193">
        <f>'Données projet'!D276</f>
        <v>0</v>
      </c>
      <c r="C308" s="206"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45</v>
      </c>
      <c r="B309" s="193">
        <f>'Données projet'!D277</f>
        <v>36.53846153846154</v>
      </c>
      <c r="C309" s="206">
        <v>20</v>
      </c>
      <c r="D309" s="194">
        <f t="shared" si="15"/>
        <v>730.76923076923083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50</v>
      </c>
      <c r="B310" s="193">
        <f>'Données projet'!D278</f>
        <v>0</v>
      </c>
      <c r="C310" s="206"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55</v>
      </c>
      <c r="B311" s="193">
        <f>'Données projet'!D279</f>
        <v>32.692307692307693</v>
      </c>
      <c r="C311" s="206">
        <v>30</v>
      </c>
      <c r="D311" s="194">
        <f t="shared" si="15"/>
        <v>980.76923076923083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60</v>
      </c>
      <c r="B312" s="193">
        <f>'Données projet'!D280</f>
        <v>0</v>
      </c>
      <c r="C312" s="206"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65</v>
      </c>
      <c r="B313" s="193">
        <f>'Données projet'!D281</f>
        <v>31.410256410256409</v>
      </c>
      <c r="C313" s="206">
        <v>40</v>
      </c>
      <c r="D313" s="194">
        <f t="shared" si="15"/>
        <v>1256.4102564102564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70</v>
      </c>
      <c r="B314" s="193">
        <f>'Données projet'!D282</f>
        <v>0</v>
      </c>
      <c r="C314" s="206"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75</v>
      </c>
      <c r="B315" s="193">
        <f>'Données projet'!D283</f>
        <v>28.846153846153847</v>
      </c>
      <c r="C315" s="206">
        <v>50</v>
      </c>
      <c r="D315" s="194">
        <f t="shared" si="15"/>
        <v>1442.3076923076924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80</v>
      </c>
      <c r="B316" s="193">
        <f>'Données projet'!D284</f>
        <v>0</v>
      </c>
      <c r="C316" s="206"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85</v>
      </c>
      <c r="B317" s="193">
        <f>'Données projet'!D285</f>
        <v>27.564102564102562</v>
      </c>
      <c r="C317" s="206">
        <v>60</v>
      </c>
      <c r="D317" s="194">
        <f t="shared" si="15"/>
        <v>1653.8461538461538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90</v>
      </c>
      <c r="B318" s="193">
        <f>'Données projet'!D286</f>
        <v>0</v>
      </c>
      <c r="C318" s="206"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95</v>
      </c>
      <c r="B319" s="193">
        <f>'Données projet'!D287</f>
        <v>25</v>
      </c>
      <c r="C319" s="206">
        <v>65</v>
      </c>
      <c r="D319" s="194">
        <f t="shared" si="15"/>
        <v>1625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100</v>
      </c>
      <c r="B320" s="193">
        <f>'Données projet'!D288</f>
        <v>0</v>
      </c>
      <c r="C320" s="206"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110</v>
      </c>
      <c r="B321" s="193">
        <f>'Données projet'!D289</f>
        <v>358.33333333333331</v>
      </c>
      <c r="C321" s="206">
        <v>70</v>
      </c>
      <c r="D321" s="194">
        <f t="shared" si="15"/>
        <v>25083.333333333332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2024-09-11T12:11:53Z</dcterms:modified>
</cp:coreProperties>
</file>