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J:\1- LABEL BAS CARBONE\1- PROJETS LBC\P0051 TAYAC [BERRY]\Documents LBC\"/>
    </mc:Choice>
  </mc:AlternateContent>
  <xr:revisionPtr revIDLastSave="0" documentId="13_ncr:1_{37B32202-13D6-4760-905B-B506D2A43564}" xr6:coauthVersionLast="47" xr6:coauthVersionMax="47" xr10:uidLastSave="{00000000-0000-0000-0000-000000000000}"/>
  <bookViews>
    <workbookView xWindow="-30828" yWindow="-24" windowWidth="30936" windowHeight="1689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6" i="1" l="1"/>
  <c r="D92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B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EX18" i="2"/>
  <c r="HG18" i="2"/>
  <c r="FS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EC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EA33" i="2"/>
  <c r="EV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HI43" i="2"/>
  <c r="EX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FS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HG74" i="2"/>
  <c r="FS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HG87" i="2"/>
  <c r="EX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HG113" i="2"/>
  <c r="FS113" i="2"/>
  <c r="EB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FS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X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B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FS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DH164" i="2"/>
  <c r="FS164" i="2"/>
  <c r="EV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A167" i="2"/>
  <c r="EB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HH179" i="2"/>
  <c r="EV179" i="2"/>
  <c r="DF179" i="2"/>
  <c r="EA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HI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EB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FR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EB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G195" i="2" l="1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HH199" i="2"/>
  <c r="FS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X202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47" i="2" a="1"/>
  <c r="BC47" i="2" s="1"/>
  <c r="BC126" i="2" a="1"/>
  <c r="BC126" i="2" s="1"/>
  <c r="BC181" i="2" a="1"/>
  <c r="BC181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68" i="2" l="1" a="1"/>
  <c r="BC68" i="2" s="1"/>
  <c r="BC117" i="2" a="1"/>
  <c r="BC117" i="2" s="1"/>
  <c r="BC58" i="2" a="1"/>
  <c r="BC58" i="2" s="1"/>
  <c r="BC65" i="2" a="1"/>
  <c r="BC65" i="2" s="1"/>
  <c r="BC114" i="2" a="1"/>
  <c r="BC114" i="2" s="1"/>
  <c r="BC82" i="2" a="1"/>
  <c r="BC82" i="2" s="1"/>
  <c r="AH92" i="2" a="1"/>
  <c r="AH92" i="2" s="1"/>
  <c r="AH62" i="2" a="1"/>
  <c r="AH62" i="2" s="1"/>
  <c r="AH19" i="2" a="1"/>
  <c r="AH19" i="2" s="1"/>
  <c r="AH90" i="2" a="1"/>
  <c r="AH90" i="2" s="1"/>
  <c r="AH163" i="2" a="1"/>
  <c r="AH163" i="2" s="1"/>
  <c r="AH199" i="2" a="1"/>
  <c r="AH199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0" i="2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D182" i="2" l="1"/>
  <c r="CD60" i="2"/>
  <c r="CD154" i="2"/>
  <c r="CD76" i="2"/>
  <c r="CD87" i="2"/>
  <c r="CD167" i="2"/>
  <c r="CD77" i="2"/>
  <c r="CD44" i="2"/>
  <c r="CD78" i="2"/>
  <c r="CD47" i="2"/>
  <c r="CD46" i="2"/>
  <c r="CD7" i="2"/>
  <c r="CD42" i="2"/>
  <c r="CD141" i="2"/>
  <c r="CD91" i="2"/>
  <c r="CD37" i="2"/>
  <c r="CD163" i="2"/>
  <c r="CD36" i="2"/>
  <c r="CD73" i="2"/>
  <c r="CD138" i="2"/>
  <c r="CD199" i="2"/>
  <c r="CD125" i="2"/>
  <c r="CD58" i="2"/>
  <c r="CD83" i="2"/>
  <c r="CD95" i="2"/>
  <c r="CD166" i="2"/>
  <c r="CD201" i="2"/>
  <c r="CD67" i="2"/>
  <c r="CD56" i="2"/>
  <c r="CD189" i="2"/>
  <c r="CD160" i="2"/>
  <c r="CD66" i="2"/>
  <c r="CD157" i="2"/>
  <c r="CD90" i="2"/>
  <c r="CD89" i="2"/>
  <c r="CD161" i="2"/>
  <c r="CD150" i="2"/>
  <c r="CD129" i="2"/>
  <c r="CD159" i="2"/>
  <c r="CD71" i="2"/>
  <c r="CD108" i="2"/>
  <c r="CD5" i="2"/>
  <c r="CD127" i="2"/>
  <c r="CD172" i="2"/>
  <c r="CD178" i="2"/>
  <c r="CD17" i="2"/>
  <c r="CD145" i="2"/>
  <c r="CD20" i="2"/>
  <c r="CD119" i="2"/>
  <c r="CD121" i="2"/>
  <c r="CD50" i="2"/>
  <c r="CD45" i="2"/>
  <c r="CD123" i="2"/>
  <c r="CD106" i="2"/>
  <c r="CD27" i="2"/>
  <c r="CD94" i="2"/>
  <c r="CD170" i="2"/>
  <c r="CD176" i="2"/>
  <c r="CD41" i="2"/>
  <c r="CD133" i="2"/>
  <c r="CD51" i="2"/>
  <c r="CD98" i="2"/>
  <c r="CD202" i="2"/>
  <c r="CD187" i="2"/>
  <c r="CD14" i="2"/>
  <c r="CD29" i="2"/>
  <c r="CD155" i="2"/>
  <c r="CD11" i="2"/>
  <c r="CD96" i="2"/>
  <c r="CD139" i="2"/>
  <c r="CD21" i="2"/>
  <c r="CD164" i="2"/>
  <c r="CD149" i="2"/>
  <c r="CD136" i="2"/>
  <c r="CD183" i="2"/>
  <c r="CD70" i="2"/>
  <c r="CD200" i="2"/>
  <c r="CD9" i="2"/>
  <c r="CD84" i="2"/>
  <c r="CD177" i="2"/>
  <c r="CD195" i="2"/>
  <c r="CD55" i="2"/>
  <c r="CD92" i="2"/>
  <c r="CD135" i="2"/>
  <c r="CD63" i="2"/>
  <c r="CD43" i="2"/>
  <c r="CD8" i="2"/>
  <c r="CD104" i="2"/>
  <c r="CD53" i="2"/>
  <c r="CD151" i="2"/>
  <c r="CD122" i="2"/>
  <c r="CD48" i="2"/>
  <c r="CD34" i="2"/>
  <c r="CD57" i="2"/>
  <c r="CD25" i="2"/>
  <c r="CD12" i="2"/>
  <c r="CD198" i="2"/>
  <c r="CD30" i="2"/>
  <c r="CD19" i="2"/>
  <c r="CD148" i="2"/>
  <c r="CD115" i="2"/>
  <c r="CD62" i="2"/>
  <c r="CD103" i="2"/>
  <c r="CD69" i="2"/>
  <c r="CD97" i="2"/>
  <c r="CD132" i="2"/>
  <c r="CD162" i="2"/>
  <c r="CD181" i="2"/>
  <c r="CD24" i="2"/>
  <c r="CD86" i="2"/>
  <c r="CD39" i="2"/>
  <c r="CD72" i="2"/>
  <c r="CD102" i="2"/>
  <c r="CD165" i="2"/>
  <c r="CD168" i="2"/>
  <c r="CD35" i="2"/>
  <c r="CD4" i="2"/>
  <c r="CD26" i="2"/>
  <c r="CD173" i="2"/>
  <c r="CD52" i="2"/>
  <c r="CD128" i="2"/>
  <c r="CD110" i="2"/>
  <c r="CD13" i="2"/>
  <c r="CD109" i="2"/>
  <c r="CD59" i="2"/>
  <c r="CD99" i="2"/>
  <c r="CD184" i="2"/>
  <c r="CD193" i="2"/>
  <c r="CD28" i="2"/>
  <c r="CD85" i="2"/>
  <c r="CD152" i="2"/>
  <c r="CD118" i="2"/>
  <c r="CD68" i="2"/>
  <c r="CD158" i="2"/>
  <c r="CD147" i="2"/>
  <c r="CD196" i="2"/>
  <c r="CD61" i="2"/>
  <c r="CD175" i="2"/>
  <c r="CD140" i="2"/>
  <c r="CD79" i="2"/>
  <c r="CD144" i="2"/>
  <c r="CD105" i="2"/>
  <c r="CD191" i="2"/>
  <c r="CD203" i="2"/>
  <c r="CD101" i="2"/>
  <c r="CD188" i="2"/>
  <c r="CD3" i="2"/>
  <c r="C9" i="4" s="1"/>
  <c r="E9" i="4" s="1"/>
  <c r="F9" i="4" s="1"/>
  <c r="G9" i="4" s="1"/>
  <c r="L9" i="4" s="1"/>
  <c r="CD80" i="2"/>
  <c r="CD23" i="2"/>
  <c r="CD16" i="2"/>
  <c r="CD190" i="2"/>
  <c r="CD117" i="2"/>
  <c r="CD10" i="2"/>
  <c r="CD197" i="2"/>
  <c r="CD134" i="2"/>
  <c r="CD156" i="2"/>
  <c r="CD131" i="2"/>
  <c r="CD33" i="2"/>
  <c r="CD186" i="2"/>
  <c r="CD124" i="2"/>
  <c r="CD126" i="2"/>
  <c r="CD40" i="2"/>
  <c r="CD143" i="2"/>
  <c r="CD153" i="2"/>
  <c r="CD88" i="2"/>
  <c r="CD142" i="2"/>
  <c r="CD192" i="2"/>
  <c r="CD194" i="2"/>
  <c r="CD74" i="2"/>
  <c r="CD75" i="2"/>
  <c r="CD54" i="2"/>
  <c r="CD22" i="2"/>
  <c r="CD81" i="2"/>
  <c r="CD32" i="2"/>
  <c r="CD146" i="2"/>
  <c r="CD116" i="2"/>
  <c r="CD114" i="2"/>
  <c r="CD31" i="2"/>
  <c r="CD64" i="2"/>
  <c r="CD82" i="2"/>
  <c r="CD113" i="2"/>
  <c r="CD111" i="2"/>
  <c r="CD169" i="2"/>
  <c r="CD179" i="2"/>
  <c r="CD65" i="2"/>
  <c r="CD107" i="2"/>
  <c r="CD185" i="2"/>
  <c r="CD180" i="2"/>
  <c r="CD38" i="2"/>
  <c r="CD174" i="2"/>
  <c r="CD120" i="2"/>
  <c r="CD93" i="2"/>
  <c r="CD112" i="2"/>
  <c r="CD171" i="2"/>
  <c r="CD130" i="2"/>
  <c r="CD49" i="2"/>
  <c r="CD137" i="2"/>
  <c r="CD15" i="2"/>
  <c r="CD6" i="2"/>
  <c r="CD18" i="2"/>
  <c r="CD100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70" i="2" l="1"/>
  <c r="BI20" i="2"/>
  <c r="BI91" i="2"/>
  <c r="BI188" i="2"/>
  <c r="BI126" i="2"/>
  <c r="BI45" i="2"/>
  <c r="BI120" i="2"/>
  <c r="BI77" i="2"/>
  <c r="BI60" i="2"/>
  <c r="BI84" i="2"/>
  <c r="BI125" i="2"/>
  <c r="BI134" i="2"/>
  <c r="BI99" i="2"/>
  <c r="BI58" i="2"/>
  <c r="BI116" i="2"/>
  <c r="BI57" i="2"/>
  <c r="BI22" i="2"/>
  <c r="BI176" i="2"/>
  <c r="BI68" i="2"/>
  <c r="BI154" i="2"/>
  <c r="BI7" i="2"/>
  <c r="BI129" i="2"/>
  <c r="BI164" i="2"/>
  <c r="BI144" i="2"/>
  <c r="BI111" i="2"/>
  <c r="BI49" i="2"/>
  <c r="BI107" i="2"/>
  <c r="BI185" i="2"/>
  <c r="BI44" i="2"/>
  <c r="BI23" i="2"/>
  <c r="BI61" i="2"/>
  <c r="BI138" i="2"/>
  <c r="BI187" i="2"/>
  <c r="BI146" i="2"/>
  <c r="BI168" i="2"/>
  <c r="BI65" i="2"/>
  <c r="BI89" i="2"/>
  <c r="BI145" i="2"/>
  <c r="BI48" i="2"/>
  <c r="BI11" i="2"/>
  <c r="BI180" i="2"/>
  <c r="BI196" i="2"/>
  <c r="BI178" i="2"/>
  <c r="BI118" i="2"/>
  <c r="BI121" i="2"/>
  <c r="BI186" i="2"/>
  <c r="BI31" i="2"/>
  <c r="BI92" i="2"/>
  <c r="BI25" i="2"/>
  <c r="BI47" i="2"/>
  <c r="BI139" i="2"/>
  <c r="BI181" i="2"/>
  <c r="BI16" i="2"/>
  <c r="BI127" i="2"/>
  <c r="BI199" i="2"/>
  <c r="BI64" i="2"/>
  <c r="BI18" i="2"/>
  <c r="BI67" i="2"/>
  <c r="BI21" i="2"/>
  <c r="BI34" i="2"/>
  <c r="BI184" i="2"/>
  <c r="BI56" i="2"/>
  <c r="BI50" i="2"/>
  <c r="BI192" i="2"/>
  <c r="BI70" i="2"/>
  <c r="BI72" i="2"/>
  <c r="BI167" i="2"/>
  <c r="BI106" i="2"/>
  <c r="BI171" i="2"/>
  <c r="BI100" i="2"/>
  <c r="BI76" i="2"/>
  <c r="BI59" i="2"/>
  <c r="BI39" i="2"/>
  <c r="BI28" i="2"/>
  <c r="BI155" i="2"/>
  <c r="BI81" i="2"/>
  <c r="BI104" i="2"/>
  <c r="BI142" i="2"/>
  <c r="BI166" i="2"/>
  <c r="BI148" i="2"/>
  <c r="BI14" i="2"/>
  <c r="BI53" i="2"/>
  <c r="BI51" i="2"/>
  <c r="BI195" i="2"/>
  <c r="BI115" i="2"/>
  <c r="BI66" i="2"/>
  <c r="BI157" i="2"/>
  <c r="BI112" i="2"/>
  <c r="BI32" i="2"/>
  <c r="BI29" i="2"/>
  <c r="BI6" i="2"/>
  <c r="BI55" i="2"/>
  <c r="BI15" i="2"/>
  <c r="BI63" i="2"/>
  <c r="BI198" i="2"/>
  <c r="BI117" i="2"/>
  <c r="BI203" i="2"/>
  <c r="BI37" i="2"/>
  <c r="BI41" i="2"/>
  <c r="BI42" i="2"/>
  <c r="BI94" i="2"/>
  <c r="BI110" i="2"/>
  <c r="BI9" i="2"/>
  <c r="BI5" i="2"/>
  <c r="BI24" i="2"/>
  <c r="BI197" i="2"/>
  <c r="BI101" i="2"/>
  <c r="BI174" i="2"/>
  <c r="BI87" i="2"/>
  <c r="BI161" i="2"/>
  <c r="BI190" i="2"/>
  <c r="BI95" i="2"/>
  <c r="BI141" i="2"/>
  <c r="BI200" i="2"/>
  <c r="BI98" i="2"/>
  <c r="BI128" i="2"/>
  <c r="BI169" i="2"/>
  <c r="BI12" i="2"/>
  <c r="BI162" i="2"/>
  <c r="BI147" i="2"/>
  <c r="BI36" i="2"/>
  <c r="BI93" i="2"/>
  <c r="BI83" i="2"/>
  <c r="BI88" i="2"/>
  <c r="BI90" i="2"/>
  <c r="BI3" i="2"/>
  <c r="C8" i="4" s="1"/>
  <c r="E8" i="4" s="1"/>
  <c r="F8" i="4" s="1"/>
  <c r="G8" i="4" s="1"/>
  <c r="L8" i="4" s="1"/>
  <c r="BI75" i="2"/>
  <c r="BI189" i="2"/>
  <c r="BI105" i="2"/>
  <c r="BI74" i="2"/>
  <c r="BI109" i="2"/>
  <c r="BI163" i="2"/>
  <c r="BI96" i="2"/>
  <c r="BI135" i="2"/>
  <c r="BI149" i="2"/>
  <c r="BI173" i="2"/>
  <c r="BI179" i="2"/>
  <c r="BI159" i="2"/>
  <c r="BI133" i="2"/>
  <c r="BI52" i="2"/>
  <c r="BI73" i="2"/>
  <c r="BI191" i="2"/>
  <c r="BI4" i="2"/>
  <c r="BI103" i="2"/>
  <c r="BI177" i="2"/>
  <c r="BI71" i="2"/>
  <c r="BI79" i="2"/>
  <c r="BI143" i="2"/>
  <c r="BI172" i="2"/>
  <c r="BI85" i="2"/>
  <c r="BI153" i="2"/>
  <c r="BI13" i="2"/>
  <c r="BI182" i="2"/>
  <c r="BI152" i="2"/>
  <c r="BI202" i="2"/>
  <c r="BI69" i="2"/>
  <c r="BI86" i="2"/>
  <c r="BI114" i="2"/>
  <c r="BI123" i="2"/>
  <c r="BI158" i="2"/>
  <c r="BI131" i="2"/>
  <c r="BI80" i="2"/>
  <c r="BI102" i="2"/>
  <c r="BI183" i="2"/>
  <c r="BI156" i="2"/>
  <c r="BI194" i="2"/>
  <c r="BI26" i="2"/>
  <c r="BI27" i="2"/>
  <c r="BI137" i="2"/>
  <c r="BI160" i="2"/>
  <c r="BI130" i="2"/>
  <c r="BI193" i="2"/>
  <c r="BI136" i="2"/>
  <c r="BI175" i="2"/>
  <c r="BI150" i="2"/>
  <c r="BI140" i="2"/>
  <c r="BI124" i="2"/>
  <c r="BI108" i="2"/>
  <c r="BI122" i="2"/>
  <c r="BI54" i="2"/>
  <c r="BI43" i="2"/>
  <c r="BI113" i="2"/>
  <c r="BI40" i="2"/>
  <c r="BI17" i="2"/>
  <c r="BI132" i="2"/>
  <c r="BI38" i="2"/>
  <c r="BI19" i="2"/>
  <c r="BI97" i="2"/>
  <c r="BI8" i="2"/>
  <c r="BI151" i="2"/>
  <c r="BI119" i="2"/>
  <c r="BI46" i="2"/>
  <c r="BI30" i="2"/>
  <c r="BI82" i="2"/>
  <c r="BI33" i="2"/>
  <c r="BI62" i="2"/>
  <c r="BI10" i="2"/>
  <c r="BI201" i="2"/>
  <c r="BI78" i="2"/>
  <c r="BI165" i="2"/>
  <c r="BI35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<sst xmlns="http://schemas.openxmlformats.org/spreadsheetml/2006/main" count="1172" uniqueCount="324">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</sst>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2.6519655211592874</c:v>
                </c:pt>
                <c:pt idx="2">
                  <c:v>3.2610223314459752</c:v>
                </c:pt>
                <c:pt idx="3">
                  <c:v>4.0104905158163051</c:v>
                </c:pt>
                <c:pt idx="4">
                  <c:v>4.9328564726428068</c:v>
                </c:pt>
                <c:pt idx="5">
                  <c:v>6.068147991440398</c:v>
                </c:pt>
                <c:pt idx="6">
                  <c:v>7.4656903389318279</c:v>
                </c:pt>
                <c:pt idx="7">
                  <c:v>9.1862724344194735</c:v>
                </c:pt>
                <c:pt idx="8">
                  <c:v>11.304819130811806</c:v>
                </c:pt>
                <c:pt idx="9">
                  <c:v>13.913688152008866</c:v>
                </c:pt>
                <c:pt idx="10">
                  <c:v>17.126738071781514</c:v>
                </c:pt>
                <c:pt idx="11">
                  <c:v>21.084348102790369</c:v>
                </c:pt>
                <c:pt idx="12">
                  <c:v>25.959612940843225</c:v>
                </c:pt>
                <c:pt idx="13">
                  <c:v>31.965988387315338</c:v>
                </c:pt>
                <c:pt idx="14">
                  <c:v>39.366728311080898</c:v>
                </c:pt>
                <c:pt idx="15">
                  <c:v>48.486533626988098</c:v>
                </c:pt>
                <c:pt idx="16">
                  <c:v>59.725932966858835</c:v>
                </c:pt>
                <c:pt idx="17">
                  <c:v>73.579037059713301</c:v>
                </c:pt>
                <c:pt idx="18">
                  <c:v>90.655460033245092</c:v>
                </c:pt>
                <c:pt idx="19">
                  <c:v>111.70738771533587</c:v>
                </c:pt>
                <c:pt idx="20">
                  <c:v>137.66300398229683</c:v>
                </c:pt>
                <c:pt idx="21">
                  <c:v>141.70314168283105</c:v>
                </c:pt>
                <c:pt idx="22">
                  <c:v>156.7381873159442</c:v>
                </c:pt>
                <c:pt idx="23">
                  <c:v>171.73898922232453</c:v>
                </c:pt>
                <c:pt idx="24">
                  <c:v>186.70896148611726</c:v>
                </c:pt>
                <c:pt idx="25">
                  <c:v>201.65092519188457</c:v>
                </c:pt>
                <c:pt idx="26">
                  <c:v>216.56724871446315</c:v>
                </c:pt>
                <c:pt idx="27">
                  <c:v>231.45994723108015</c:v>
                </c:pt>
                <c:pt idx="28">
                  <c:v>246.33075522558093</c:v>
                </c:pt>
                <c:pt idx="29">
                  <c:v>261.18118053705035</c:v>
                </c:pt>
                <c:pt idx="30">
                  <c:v>276.01254545472335</c:v>
                </c:pt>
                <c:pt idx="31">
                  <c:v>194.36550298334649</c:v>
                </c:pt>
                <c:pt idx="32">
                  <c:v>214.38589248354251</c:v>
                </c:pt>
                <c:pt idx="33">
                  <c:v>234.36323716840602</c:v>
                </c:pt>
                <c:pt idx="34">
                  <c:v>254.30172220416441</c:v>
                </c:pt>
                <c:pt idx="35">
                  <c:v>274.20482243650338</c:v>
                </c:pt>
                <c:pt idx="36">
                  <c:v>294.07546687495898</c:v>
                </c:pt>
                <c:pt idx="37">
                  <c:v>313.91615631143912</c:v>
                </c:pt>
                <c:pt idx="38">
                  <c:v>333.72904960580678</c:v>
                </c:pt>
                <c:pt idx="39">
                  <c:v>353.51602838820548</c:v>
                </c:pt>
                <c:pt idx="40">
                  <c:v>373.27874650728057</c:v>
                </c:pt>
                <c:pt idx="41">
                  <c:v>292.63136713800856</c:v>
                </c:pt>
                <c:pt idx="42">
                  <c:v>312.83467185841931</c:v>
                </c:pt>
                <c:pt idx="43">
                  <c:v>333.00904545770453</c:v>
                </c:pt>
                <c:pt idx="44">
                  <c:v>353.15648638435545</c:v>
                </c:pt>
                <c:pt idx="45">
                  <c:v>373.27874650728046</c:v>
                </c:pt>
                <c:pt idx="46">
                  <c:v>393.37737346788646</c:v>
                </c:pt>
                <c:pt idx="47">
                  <c:v>413.45374392164439</c:v>
                </c:pt>
                <c:pt idx="48">
                  <c:v>433.50908998495447</c:v>
                </c:pt>
                <c:pt idx="49">
                  <c:v>453.54452053248133</c:v>
                </c:pt>
                <c:pt idx="50">
                  <c:v>473.56103853531016</c:v>
                </c:pt>
                <c:pt idx="51">
                  <c:v>390.86628899650503</c:v>
                </c:pt>
                <c:pt idx="52">
                  <c:v>408.43666822000955</c:v>
                </c:pt>
                <c:pt idx="53">
                  <c:v>425.99072614453195</c:v>
                </c:pt>
                <c:pt idx="54">
                  <c:v>443.52922971069125</c:v>
                </c:pt>
                <c:pt idx="55">
                  <c:v>461.05288028198476</c:v>
                </c:pt>
                <c:pt idx="56">
                  <c:v>478.56232158259263</c:v>
                </c:pt>
                <c:pt idx="57">
                  <c:v>496.0581464132178</c:v>
                </c:pt>
                <c:pt idx="58">
                  <c:v>513.54090237038565</c:v>
                </c:pt>
                <c:pt idx="59">
                  <c:v>531.01109674664531</c:v>
                </c:pt>
                <c:pt idx="60">
                  <c:v>548.46920075259288</c:v>
                </c:pt>
                <c:pt idx="61">
                  <c:v>463.73380248274316</c:v>
                </c:pt>
                <c:pt idx="62">
                  <c:v>478.91951340591186</c:v>
                </c:pt>
                <c:pt idx="63">
                  <c:v>494.09499021774013</c:v>
                </c:pt>
                <c:pt idx="64">
                  <c:v>509.26059140461649</c:v>
                </c:pt>
                <c:pt idx="65">
                  <c:v>524.41665236850611</c:v>
                </c:pt>
                <c:pt idx="66">
                  <c:v>539.56348755148167</c:v>
                </c:pt>
                <c:pt idx="67">
                  <c:v>554.70139230936422</c:v>
                </c:pt>
                <c:pt idx="68">
                  <c:v>569.83064457027274</c:v>
                </c:pt>
                <c:pt idx="69">
                  <c:v>584.95150630794706</c:v>
                </c:pt>
                <c:pt idx="70">
                  <c:v>600.06422485487678</c:v>
                </c:pt>
                <c:pt idx="71">
                  <c:v>513.54090237038565</c:v>
                </c:pt>
                <c:pt idx="72">
                  <c:v>526.73381719865961</c:v>
                </c:pt>
                <c:pt idx="73">
                  <c:v>539.91977501567953</c:v>
                </c:pt>
                <c:pt idx="74">
                  <c:v>553.09896961944332</c:v>
                </c:pt>
                <c:pt idx="75">
                  <c:v>566.27158482196944</c:v>
                </c:pt>
                <c:pt idx="76">
                  <c:v>579.43779518903796</c:v>
                </c:pt>
                <c:pt idx="77">
                  <c:v>592.59776670922179</c:v>
                </c:pt>
                <c:pt idx="78">
                  <c:v>605.75165740042166</c:v>
                </c:pt>
                <c:pt idx="79">
                  <c:v>618.89961786100014</c:v>
                </c:pt>
                <c:pt idx="80">
                  <c:v>632.0417917716685</c:v>
                </c:pt>
                <c:pt idx="81">
                  <c:v>544.19484035365758</c:v>
                </c:pt>
                <c:pt idx="82">
                  <c:v>555.94765399766129</c:v>
                </c:pt>
                <c:pt idx="83">
                  <c:v>567.69526466939328</c:v>
                </c:pt>
                <c:pt idx="84">
                  <c:v>579.43779518903796</c:v>
                </c:pt>
                <c:pt idx="85">
                  <c:v>591.17536299398307</c:v>
                </c:pt>
                <c:pt idx="86">
                  <c:v>602.90808047917312</c:v>
                </c:pt>
                <c:pt idx="87">
                  <c:v>614.63605530959683</c:v>
                </c:pt>
                <c:pt idx="88">
                  <c:v>626.35939070769689</c:v>
                </c:pt>
                <c:pt idx="89">
                  <c:v>638.07818571814698</c:v>
                </c:pt>
                <c:pt idx="90">
                  <c:v>649.79253545217807</c:v>
                </c:pt>
                <c:pt idx="91">
                  <c:v>560.7541165002707</c:v>
                </c:pt>
                <c:pt idx="92">
                  <c:v>571.25413823451788</c:v>
                </c:pt>
                <c:pt idx="93">
                  <c:v>581.75012922929784</c:v>
                </c:pt>
                <c:pt idx="94">
                  <c:v>592.24217245006037</c:v>
                </c:pt>
                <c:pt idx="95">
                  <c:v>602.73034768336277</c:v>
                </c:pt>
                <c:pt idx="96">
                  <c:v>613.2147317130424</c:v>
                </c:pt>
                <c:pt idx="97">
                  <c:v>623.69539848371835</c:v>
                </c:pt>
                <c:pt idx="98">
                  <c:v>634.17241925273436</c:v>
                </c:pt>
                <c:pt idx="99">
                  <c:v>644.64586273154202</c:v>
                </c:pt>
                <c:pt idx="100">
                  <c:v>655.11579521742192</c:v>
                </c:pt>
                <c:pt idx="101">
                  <c:v>566.62751179237432</c:v>
                </c:pt>
                <c:pt idx="102">
                  <c:v>575.87998196277465</c:v>
                </c:pt>
                <c:pt idx="103">
                  <c:v>585.12934986312894</c:v>
                </c:pt>
                <c:pt idx="104">
                  <c:v>594.37567144551679</c:v>
                </c:pt>
                <c:pt idx="105">
                  <c:v>603.61900077928829</c:v>
                </c:pt>
                <c:pt idx="106">
                  <c:v>612.85939014289318</c:v>
                </c:pt>
                <c:pt idx="107">
                  <c:v>622.09689010988507</c:v>
                </c:pt>
                <c:pt idx="108">
                  <c:v>631.33154962955348</c:v>
                </c:pt>
                <c:pt idx="109">
                  <c:v>640.56341610259108</c:v>
                </c:pt>
                <c:pt idx="110">
                  <c:v>649.79253545217739</c:v>
                </c:pt>
                <c:pt idx="111">
                  <c:v>567.16139348415504</c:v>
                </c:pt>
                <c:pt idx="112">
                  <c:v>575.16836435383277</c:v>
                </c:pt>
                <c:pt idx="113">
                  <c:v>583.17300871029261</c:v>
                </c:pt>
                <c:pt idx="114">
                  <c:v>591.17536299398284</c:v>
                </c:pt>
                <c:pt idx="115">
                  <c:v>599.17546257825927</c:v>
                </c:pt>
                <c:pt idx="116">
                  <c:v>607.17334181477145</c:v>
                </c:pt>
                <c:pt idx="117">
                  <c:v>615.1690340763322</c:v>
                </c:pt>
                <c:pt idx="118">
                  <c:v>623.16257179744446</c:v>
                </c:pt>
                <c:pt idx="119">
                  <c:v>631.15398651263843</c:v>
                </c:pt>
                <c:pt idx="120">
                  <c:v>639.1433088927696</c:v>
                </c:pt>
                <c:pt idx="121">
                  <c:v>562.89004481391976</c:v>
                </c:pt>
                <c:pt idx="122">
                  <c:v>570.18652494495871</c:v>
                </c:pt>
                <c:pt idx="123">
                  <c:v>577.48105450943058</c:v>
                </c:pt>
                <c:pt idx="124">
                  <c:v>584.77366162583417</c:v>
                </c:pt>
                <c:pt idx="125">
                  <c:v>592.06437365402064</c:v>
                </c:pt>
                <c:pt idx="126">
                  <c:v>599.35321722495371</c:v>
                </c:pt>
                <c:pt idx="127">
                  <c:v>606.64021826894884</c:v>
                </c:pt>
                <c:pt idx="128">
                  <c:v>613.9254020424836</c:v>
                </c:pt>
                <c:pt idx="129">
                  <c:v>621.2087931536704</c:v>
                </c:pt>
                <c:pt idx="130">
                  <c:v>628.49041558647207</c:v>
                </c:pt>
                <c:pt idx="131">
                  <c:v>557.01583171739901</c:v>
                </c:pt>
                <c:pt idx="132">
                  <c:v>563.77996485783626</c:v>
                </c:pt>
                <c:pt idx="133">
                  <c:v>570.5424006783586</c:v>
                </c:pt>
                <c:pt idx="134">
                  <c:v>577.30316213955939</c:v>
                </c:pt>
                <c:pt idx="135">
                  <c:v>584.06227162025073</c:v>
                </c:pt>
                <c:pt idx="136">
                  <c:v>590.81975093891413</c:v>
                </c:pt>
                <c:pt idx="137">
                  <c:v>597.57562137411867</c:v>
                </c:pt>
                <c:pt idx="138">
                  <c:v>604.32990368396679</c:v>
                </c:pt>
                <c:pt idx="139">
                  <c:v>611.08261812462547</c:v>
                </c:pt>
                <c:pt idx="140">
                  <c:v>617.8337844679985</c:v>
                </c:pt>
                <c:pt idx="141">
                  <c:v>550.96225460584606</c:v>
                </c:pt>
                <c:pt idx="142">
                  <c:v>557.01583171739912</c:v>
                </c:pt>
                <c:pt idx="143">
                  <c:v>563.06803117603829</c:v>
                </c:pt>
                <c:pt idx="144">
                  <c:v>569.11886988378967</c:v>
                </c:pt>
                <c:pt idx="145">
                  <c:v>575.16836435383323</c:v>
                </c:pt>
                <c:pt idx="146">
                  <c:v>581.2165307235349</c:v>
                </c:pt>
                <c:pt idx="147">
                  <c:v>587.26338476690717</c:v>
                </c:pt>
                <c:pt idx="148">
                  <c:v>593.3089419065285</c:v>
                </c:pt>
                <c:pt idx="149">
                  <c:v>599.35321722495371</c:v>
                </c:pt>
                <c:pt idx="150">
                  <c:v>605.39622547563852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2.1678131716944233</c:v>
                </c:pt>
                <c:pt idx="2">
                  <c:v>3.5431500243981913</c:v>
                </c:pt>
                <c:pt idx="3">
                  <c:v>5.7953892832721081</c:v>
                </c:pt>
                <c:pt idx="4">
                  <c:v>9.4862258144470459</c:v>
                </c:pt>
                <c:pt idx="5">
                  <c:v>15.538682546202004</c:v>
                </c:pt>
                <c:pt idx="6">
                  <c:v>27.631449712834435</c:v>
                </c:pt>
                <c:pt idx="7">
                  <c:v>39.57144522625908</c:v>
                </c:pt>
                <c:pt idx="8">
                  <c:v>51.412660945630584</c:v>
                </c:pt>
                <c:pt idx="9">
                  <c:v>63.181363362790329</c:v>
                </c:pt>
                <c:pt idx="10">
                  <c:v>74.893062993520473</c:v>
                </c:pt>
                <c:pt idx="11">
                  <c:v>93.752499892955015</c:v>
                </c:pt>
                <c:pt idx="12">
                  <c:v>112.51689001238564</c:v>
                </c:pt>
                <c:pt idx="13">
                  <c:v>131.20438415717538</c:v>
                </c:pt>
                <c:pt idx="14">
                  <c:v>149.82750311610323</c:v>
                </c:pt>
                <c:pt idx="15">
                  <c:v>168.39538613670894</c:v>
                </c:pt>
                <c:pt idx="16">
                  <c:v>192.13220578608482</c:v>
                </c:pt>
                <c:pt idx="17">
                  <c:v>215.80073494968897</c:v>
                </c:pt>
                <c:pt idx="18">
                  <c:v>239.40951894940147</c:v>
                </c:pt>
                <c:pt idx="19">
                  <c:v>262.96527740761485</c:v>
                </c:pt>
                <c:pt idx="20">
                  <c:v>286.47342663122544</c:v>
                </c:pt>
                <c:pt idx="21">
                  <c:v>312.59393015364213</c:v>
                </c:pt>
                <c:pt idx="22">
                  <c:v>338.66602643411824</c:v>
                </c:pt>
                <c:pt idx="23">
                  <c:v>364.69396301288299</c:v>
                </c:pt>
                <c:pt idx="24">
                  <c:v>390.68133182046586</c:v>
                </c:pt>
                <c:pt idx="25">
                  <c:v>416.63120815746657</c:v>
                </c:pt>
                <c:pt idx="26">
                  <c:v>9.2427828175423786E-13</c:v>
                </c:pt>
                <c:pt idx="27">
                  <c:v>9.2427828175423786E-13</c:v>
                </c:pt>
                <c:pt idx="28">
                  <c:v>9.2427828175423786E-13</c:v>
                </c:pt>
                <c:pt idx="29">
                  <c:v>9.2427828175423786E-13</c:v>
                </c:pt>
                <c:pt idx="30">
                  <c:v>9.2427828175423786E-13</c:v>
                </c:pt>
                <c:pt idx="31">
                  <c:v>9.2427828175423786E-13</c:v>
                </c:pt>
                <c:pt idx="32">
                  <c:v>9.2427828175423786E-13</c:v>
                </c:pt>
                <c:pt idx="33">
                  <c:v>9.2427828175423786E-13</c:v>
                </c:pt>
                <c:pt idx="34">
                  <c:v>9.2427828175423786E-13</c:v>
                </c:pt>
                <c:pt idx="35">
                  <c:v>9.2427828175423786E-13</c:v>
                </c:pt>
                <c:pt idx="36">
                  <c:v>9.2427828175423786E-13</c:v>
                </c:pt>
                <c:pt idx="37">
                  <c:v>9.2427828175423786E-13</c:v>
                </c:pt>
                <c:pt idx="38">
                  <c:v>9.2427828175423786E-13</c:v>
                </c:pt>
                <c:pt idx="39">
                  <c:v>9.2427828175423786E-13</c:v>
                </c:pt>
                <c:pt idx="40">
                  <c:v>9.2427828175423786E-13</c:v>
                </c:pt>
                <c:pt idx="41">
                  <c:v>9.2427828175423786E-13</c:v>
                </c:pt>
                <c:pt idx="42">
                  <c:v>9.2427828175423786E-13</c:v>
                </c:pt>
                <c:pt idx="43">
                  <c:v>9.2427828175423786E-13</c:v>
                </c:pt>
                <c:pt idx="44">
                  <c:v>9.2427828175423786E-13</c:v>
                </c:pt>
                <c:pt idx="45">
                  <c:v>9.2427828175423786E-13</c:v>
                </c:pt>
                <c:pt idx="46">
                  <c:v>9.2427828175423786E-13</c:v>
                </c:pt>
                <c:pt idx="47">
                  <c:v>9.2427828175423786E-13</c:v>
                </c:pt>
                <c:pt idx="48">
                  <c:v>9.2427828175423786E-13</c:v>
                </c:pt>
                <c:pt idx="49">
                  <c:v>9.2427828175423786E-13</c:v>
                </c:pt>
                <c:pt idx="50">
                  <c:v>9.2427828175423786E-13</c:v>
                </c:pt>
                <c:pt idx="51">
                  <c:v>9.2427828175423786E-13</c:v>
                </c:pt>
                <c:pt idx="52">
                  <c:v>9.2427828175423786E-13</c:v>
                </c:pt>
                <c:pt idx="53">
                  <c:v>9.2427828175423786E-13</c:v>
                </c:pt>
                <c:pt idx="54">
                  <c:v>9.2427828175423786E-13</c:v>
                </c:pt>
                <c:pt idx="55">
                  <c:v>9.2427828175423786E-13</c:v>
                </c:pt>
                <c:pt idx="56">
                  <c:v>9.2427828175423786E-13</c:v>
                </c:pt>
                <c:pt idx="57">
                  <c:v>9.2427828175423786E-13</c:v>
                </c:pt>
                <c:pt idx="58">
                  <c:v>9.2427828175423786E-13</c:v>
                </c:pt>
                <c:pt idx="59">
                  <c:v>9.2427828175423786E-13</c:v>
                </c:pt>
                <c:pt idx="60">
                  <c:v>9.2427828175423786E-13</c:v>
                </c:pt>
                <c:pt idx="61">
                  <c:v>9.2427828175423786E-13</c:v>
                </c:pt>
                <c:pt idx="62">
                  <c:v>9.2427828175423786E-13</c:v>
                </c:pt>
                <c:pt idx="63">
                  <c:v>9.2427828175423786E-13</c:v>
                </c:pt>
                <c:pt idx="64">
                  <c:v>9.2427828175423786E-13</c:v>
                </c:pt>
                <c:pt idx="65">
                  <c:v>9.2427828175423786E-13</c:v>
                </c:pt>
                <c:pt idx="66">
                  <c:v>9.2427828175423786E-13</c:v>
                </c:pt>
                <c:pt idx="67">
                  <c:v>9.2427828175423786E-13</c:v>
                </c:pt>
                <c:pt idx="68">
                  <c:v>9.2427828175423786E-13</c:v>
                </c:pt>
                <c:pt idx="69">
                  <c:v>9.2427828175423786E-13</c:v>
                </c:pt>
                <c:pt idx="70">
                  <c:v>9.2427828175423786E-13</c:v>
                </c:pt>
                <c:pt idx="71">
                  <c:v>9.2427828175423786E-13</c:v>
                </c:pt>
                <c:pt idx="72">
                  <c:v>9.2427828175423786E-13</c:v>
                </c:pt>
                <c:pt idx="73">
                  <c:v>9.2427828175423786E-13</c:v>
                </c:pt>
                <c:pt idx="74">
                  <c:v>9.2427828175423786E-13</c:v>
                </c:pt>
                <c:pt idx="75">
                  <c:v>9.2427828175423786E-13</c:v>
                </c:pt>
                <c:pt idx="76">
                  <c:v>9.2427828175423786E-13</c:v>
                </c:pt>
                <c:pt idx="77">
                  <c:v>9.2427828175423786E-13</c:v>
                </c:pt>
                <c:pt idx="78">
                  <c:v>9.2427828175423786E-13</c:v>
                </c:pt>
                <c:pt idx="79">
                  <c:v>9.2427828175423786E-13</c:v>
                </c:pt>
                <c:pt idx="80">
                  <c:v>9.2427828175423786E-13</c:v>
                </c:pt>
                <c:pt idx="81">
                  <c:v>9.2427828175423786E-13</c:v>
                </c:pt>
                <c:pt idx="82">
                  <c:v>9.2427828175423786E-13</c:v>
                </c:pt>
                <c:pt idx="83">
                  <c:v>9.2427828175423786E-13</c:v>
                </c:pt>
                <c:pt idx="84">
                  <c:v>9.2427828175423786E-13</c:v>
                </c:pt>
                <c:pt idx="85">
                  <c:v>9.2427828175423786E-13</c:v>
                </c:pt>
                <c:pt idx="86">
                  <c:v>9.2427828175423786E-13</c:v>
                </c:pt>
                <c:pt idx="87">
                  <c:v>9.2427828175423786E-13</c:v>
                </c:pt>
                <c:pt idx="88">
                  <c:v>9.2427828175423786E-13</c:v>
                </c:pt>
                <c:pt idx="89">
                  <c:v>9.2427828175423786E-13</c:v>
                </c:pt>
                <c:pt idx="90">
                  <c:v>9.2427828175423786E-13</c:v>
                </c:pt>
                <c:pt idx="91">
                  <c:v>9.2427828175423786E-13</c:v>
                </c:pt>
                <c:pt idx="92">
                  <c:v>9.2427828175423786E-13</c:v>
                </c:pt>
                <c:pt idx="93">
                  <c:v>9.2427828175423786E-13</c:v>
                </c:pt>
                <c:pt idx="94">
                  <c:v>9.2427828175423786E-13</c:v>
                </c:pt>
                <c:pt idx="95">
                  <c:v>9.2427828175423786E-13</c:v>
                </c:pt>
                <c:pt idx="96">
                  <c:v>9.2427828175423786E-13</c:v>
                </c:pt>
                <c:pt idx="97">
                  <c:v>9.2427828175423786E-13</c:v>
                </c:pt>
                <c:pt idx="98">
                  <c:v>9.2427828175423786E-13</c:v>
                </c:pt>
                <c:pt idx="99">
                  <c:v>9.2427828175423786E-13</c:v>
                </c:pt>
                <c:pt idx="100">
                  <c:v>9.2427828175423786E-13</c:v>
                </c:pt>
                <c:pt idx="101">
                  <c:v>9.2427828175423786E-13</c:v>
                </c:pt>
                <c:pt idx="102">
                  <c:v>9.2427828175423786E-13</c:v>
                </c:pt>
                <c:pt idx="103">
                  <c:v>9.2427828175423786E-13</c:v>
                </c:pt>
                <c:pt idx="104">
                  <c:v>9.2427828175423786E-13</c:v>
                </c:pt>
                <c:pt idx="105">
                  <c:v>9.2427828175423786E-13</c:v>
                </c:pt>
                <c:pt idx="106">
                  <c:v>9.2427828175423786E-13</c:v>
                </c:pt>
                <c:pt idx="107">
                  <c:v>9.2427828175423786E-13</c:v>
                </c:pt>
                <c:pt idx="108">
                  <c:v>9.2427828175423786E-13</c:v>
                </c:pt>
                <c:pt idx="109">
                  <c:v>9.2427828175423786E-13</c:v>
                </c:pt>
                <c:pt idx="110">
                  <c:v>9.2427828175423786E-13</c:v>
                </c:pt>
                <c:pt idx="111">
                  <c:v>9.2427828175423786E-13</c:v>
                </c:pt>
                <c:pt idx="112">
                  <c:v>9.2427828175423786E-13</c:v>
                </c:pt>
                <c:pt idx="113">
                  <c:v>9.2427828175423786E-13</c:v>
                </c:pt>
                <c:pt idx="114">
                  <c:v>9.2427828175423786E-13</c:v>
                </c:pt>
                <c:pt idx="115">
                  <c:v>9.2427828175423786E-13</c:v>
                </c:pt>
                <c:pt idx="116">
                  <c:v>9.2427828175423786E-13</c:v>
                </c:pt>
                <c:pt idx="117">
                  <c:v>9.2427828175423786E-13</c:v>
                </c:pt>
                <c:pt idx="118">
                  <c:v>9.2427828175423786E-13</c:v>
                </c:pt>
                <c:pt idx="119">
                  <c:v>9.2427828175423786E-13</c:v>
                </c:pt>
                <c:pt idx="120">
                  <c:v>9.2427828175423786E-13</c:v>
                </c:pt>
                <c:pt idx="121">
                  <c:v>9.2427828175423786E-13</c:v>
                </c:pt>
                <c:pt idx="122">
                  <c:v>9.2427828175423786E-13</c:v>
                </c:pt>
                <c:pt idx="123">
                  <c:v>9.2427828175423786E-13</c:v>
                </c:pt>
                <c:pt idx="124">
                  <c:v>9.2427828175423786E-13</c:v>
                </c:pt>
                <c:pt idx="125">
                  <c:v>9.2427828175423786E-13</c:v>
                </c:pt>
                <c:pt idx="126">
                  <c:v>9.2427828175423786E-13</c:v>
                </c:pt>
                <c:pt idx="127">
                  <c:v>9.2427828175423786E-13</c:v>
                </c:pt>
                <c:pt idx="128">
                  <c:v>9.2427828175423786E-13</c:v>
                </c:pt>
                <c:pt idx="129">
                  <c:v>9.2427828175423786E-13</c:v>
                </c:pt>
                <c:pt idx="130">
                  <c:v>9.2427828175423786E-13</c:v>
                </c:pt>
                <c:pt idx="131">
                  <c:v>9.2427828175423786E-13</c:v>
                </c:pt>
                <c:pt idx="132">
                  <c:v>9.2427828175423786E-13</c:v>
                </c:pt>
                <c:pt idx="133">
                  <c:v>9.2427828175423786E-13</c:v>
                </c:pt>
                <c:pt idx="134">
                  <c:v>9.2427828175423786E-13</c:v>
                </c:pt>
                <c:pt idx="135">
                  <c:v>9.2427828175423786E-13</c:v>
                </c:pt>
                <c:pt idx="136">
                  <c:v>9.2427828175423786E-13</c:v>
                </c:pt>
                <c:pt idx="137">
                  <c:v>9.2427828175423786E-13</c:v>
                </c:pt>
                <c:pt idx="138">
                  <c:v>9.2427828175423786E-13</c:v>
                </c:pt>
                <c:pt idx="139">
                  <c:v>9.2427828175423786E-13</c:v>
                </c:pt>
                <c:pt idx="140">
                  <c:v>9.2427828175423786E-13</c:v>
                </c:pt>
                <c:pt idx="141">
                  <c:v>9.2427828175423786E-13</c:v>
                </c:pt>
                <c:pt idx="142">
                  <c:v>9.2427828175423786E-13</c:v>
                </c:pt>
                <c:pt idx="143">
                  <c:v>9.2427828175423786E-13</c:v>
                </c:pt>
                <c:pt idx="144">
                  <c:v>9.2427828175423786E-13</c:v>
                </c:pt>
                <c:pt idx="145">
                  <c:v>9.2427828175423786E-13</c:v>
                </c:pt>
                <c:pt idx="146">
                  <c:v>9.2427828175423786E-13</c:v>
                </c:pt>
                <c:pt idx="147">
                  <c:v>9.2427828175423786E-13</c:v>
                </c:pt>
                <c:pt idx="148">
                  <c:v>9.2427828175423786E-13</c:v>
                </c:pt>
                <c:pt idx="149">
                  <c:v>9.2427828175423786E-13</c:v>
                </c:pt>
                <c:pt idx="150">
                  <c:v>9.2427828175423786E-13</c:v>
                </c:pt>
                <c:pt idx="151">
                  <c:v>9.2427828175423786E-13</c:v>
                </c:pt>
                <c:pt idx="152">
                  <c:v>9.2427828175423786E-13</c:v>
                </c:pt>
                <c:pt idx="153">
                  <c:v>9.2427828175423786E-13</c:v>
                </c:pt>
                <c:pt idx="154">
                  <c:v>9.2427828175423786E-13</c:v>
                </c:pt>
                <c:pt idx="155">
                  <c:v>9.2427828175423786E-13</c:v>
                </c:pt>
                <c:pt idx="156">
                  <c:v>9.2427828175423786E-13</c:v>
                </c:pt>
                <c:pt idx="157">
                  <c:v>9.2427828175423786E-13</c:v>
                </c:pt>
                <c:pt idx="158">
                  <c:v>9.2427828175423786E-13</c:v>
                </c:pt>
                <c:pt idx="159">
                  <c:v>9.2427828175423786E-13</c:v>
                </c:pt>
                <c:pt idx="160">
                  <c:v>9.2427828175423786E-13</c:v>
                </c:pt>
                <c:pt idx="161">
                  <c:v>9.2427828175423786E-13</c:v>
                </c:pt>
                <c:pt idx="162">
                  <c:v>9.2427828175423786E-13</c:v>
                </c:pt>
                <c:pt idx="163">
                  <c:v>9.2427828175423786E-13</c:v>
                </c:pt>
                <c:pt idx="164">
                  <c:v>9.2427828175423786E-13</c:v>
                </c:pt>
                <c:pt idx="165">
                  <c:v>9.2427828175423786E-13</c:v>
                </c:pt>
                <c:pt idx="166">
                  <c:v>9.2427828175423786E-13</c:v>
                </c:pt>
                <c:pt idx="167">
                  <c:v>9.2427828175423786E-13</c:v>
                </c:pt>
                <c:pt idx="168">
                  <c:v>9.2427828175423786E-13</c:v>
                </c:pt>
                <c:pt idx="169">
                  <c:v>9.2427828175423786E-13</c:v>
                </c:pt>
                <c:pt idx="170">
                  <c:v>9.2427828175423786E-13</c:v>
                </c:pt>
                <c:pt idx="171">
                  <c:v>9.2427828175423786E-13</c:v>
                </c:pt>
                <c:pt idx="172">
                  <c:v>9.2427828175423786E-13</c:v>
                </c:pt>
                <c:pt idx="173">
                  <c:v>9.2427828175423786E-13</c:v>
                </c:pt>
                <c:pt idx="174">
                  <c:v>9.2427828175423786E-13</c:v>
                </c:pt>
                <c:pt idx="175">
                  <c:v>9.2427828175423786E-13</c:v>
                </c:pt>
                <c:pt idx="176">
                  <c:v>9.2427828175423786E-13</c:v>
                </c:pt>
                <c:pt idx="177">
                  <c:v>9.2427828175423786E-13</c:v>
                </c:pt>
                <c:pt idx="178">
                  <c:v>9.2427828175423786E-13</c:v>
                </c:pt>
                <c:pt idx="179">
                  <c:v>9.2427828175423786E-13</c:v>
                </c:pt>
                <c:pt idx="180">
                  <c:v>9.2427828175423786E-13</c:v>
                </c:pt>
                <c:pt idx="181">
                  <c:v>9.2427828175423786E-13</c:v>
                </c:pt>
                <c:pt idx="182">
                  <c:v>9.2427828175423786E-13</c:v>
                </c:pt>
                <c:pt idx="183">
                  <c:v>9.2427828175423786E-13</c:v>
                </c:pt>
                <c:pt idx="184">
                  <c:v>9.2427828175423786E-13</c:v>
                </c:pt>
                <c:pt idx="185">
                  <c:v>9.2427828175423786E-13</c:v>
                </c:pt>
                <c:pt idx="186">
                  <c:v>9.2427828175423786E-13</c:v>
                </c:pt>
                <c:pt idx="187">
                  <c:v>9.2427828175423786E-13</c:v>
                </c:pt>
                <c:pt idx="188">
                  <c:v>9.2427828175423786E-13</c:v>
                </c:pt>
                <c:pt idx="189">
                  <c:v>9.2427828175423786E-13</c:v>
                </c:pt>
                <c:pt idx="190">
                  <c:v>9.2427828175423786E-13</c:v>
                </c:pt>
                <c:pt idx="191">
                  <c:v>9.2427828175423786E-13</c:v>
                </c:pt>
                <c:pt idx="192">
                  <c:v>9.2427828175423786E-13</c:v>
                </c:pt>
                <c:pt idx="193">
                  <c:v>9.2427828175423786E-13</c:v>
                </c:pt>
                <c:pt idx="194">
                  <c:v>9.2427828175423786E-13</c:v>
                </c:pt>
                <c:pt idx="195">
                  <c:v>9.2427828175423786E-13</c:v>
                </c:pt>
                <c:pt idx="196">
                  <c:v>9.2427828175423786E-13</c:v>
                </c:pt>
                <c:pt idx="197">
                  <c:v>9.2427828175423786E-13</c:v>
                </c:pt>
                <c:pt idx="198">
                  <c:v>9.2427828175423786E-13</c:v>
                </c:pt>
                <c:pt idx="199">
                  <c:v>9.2427828175423786E-13</c:v>
                </c:pt>
                <c:pt idx="200">
                  <c:v>9.2427828175423786E-13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2.2528629391850843</c:v>
                </c:pt>
                <c:pt idx="2">
                  <c:v>3.3872427072937548</c:v>
                </c:pt>
                <c:pt idx="3">
                  <c:v>5.0954499224297445</c:v>
                </c:pt>
                <c:pt idx="4">
                  <c:v>7.6690066256728668</c:v>
                </c:pt>
                <c:pt idx="5">
                  <c:v>11.548127877904008</c:v>
                </c:pt>
                <c:pt idx="6">
                  <c:v>22.150600112227853</c:v>
                </c:pt>
                <c:pt idx="7">
                  <c:v>32.602444010232531</c:v>
                </c:pt>
                <c:pt idx="8">
                  <c:v>42.960542086371028</c:v>
                </c:pt>
                <c:pt idx="9">
                  <c:v>53.251042499039698</c:v>
                </c:pt>
                <c:pt idx="10">
                  <c:v>63.48896137851137</c:v>
                </c:pt>
                <c:pt idx="11">
                  <c:v>80.375306570703842</c:v>
                </c:pt>
                <c:pt idx="12">
                  <c:v>97.171393338215012</c:v>
                </c:pt>
                <c:pt idx="13">
                  <c:v>113.89510003942347</c:v>
                </c:pt>
                <c:pt idx="14">
                  <c:v>130.55858287355287</c:v>
                </c:pt>
                <c:pt idx="15">
                  <c:v>147.17062472096634</c:v>
                </c:pt>
                <c:pt idx="16">
                  <c:v>168.39944895866276</c:v>
                </c:pt>
                <c:pt idx="17">
                  <c:v>189.56513782483114</c:v>
                </c:pt>
                <c:pt idx="18">
                  <c:v>210.67573650314338</c:v>
                </c:pt>
                <c:pt idx="19">
                  <c:v>231.7375429372147</c:v>
                </c:pt>
                <c:pt idx="20">
                  <c:v>252.7556152753244</c:v>
                </c:pt>
                <c:pt idx="21">
                  <c:v>274.70029901793112</c:v>
                </c:pt>
                <c:pt idx="22">
                  <c:v>296.60560306072142</c:v>
                </c:pt>
                <c:pt idx="23">
                  <c:v>318.47484340321108</c:v>
                </c:pt>
                <c:pt idx="24">
                  <c:v>340.3108434507613</c:v>
                </c:pt>
                <c:pt idx="25">
                  <c:v>362.11603476604569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5" t="s">
        <v>291</v>
      </c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</row>
    <row r="13" spans="2:13" ht="15" customHeight="1" x14ac:dyDescent="0.3">
      <c r="B13" s="255"/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</row>
    <row r="14" spans="2:13" ht="15" customHeight="1" x14ac:dyDescent="0.3">
      <c r="B14" s="255"/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</row>
    <row r="15" spans="2:13" ht="18.75" customHeight="1" x14ac:dyDescent="0.3">
      <c r="B15" s="255"/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</row>
    <row r="16" spans="2:13" ht="18.75" customHeight="1" x14ac:dyDescent="0.3">
      <c r="B16" s="255"/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</row>
    <row r="18" spans="2:13" ht="12" customHeight="1" x14ac:dyDescent="0.3">
      <c r="B18" s="255" t="s">
        <v>292</v>
      </c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</row>
    <row r="19" spans="2:13" ht="12" customHeight="1" x14ac:dyDescent="0.3">
      <c r="B19" s="255"/>
      <c r="C19" s="255"/>
      <c r="D19" s="255"/>
      <c r="E19" s="255"/>
      <c r="F19" s="255"/>
      <c r="G19" s="255"/>
      <c r="H19" s="255"/>
      <c r="I19" s="255"/>
      <c r="J19" s="255"/>
      <c r="K19" s="255"/>
      <c r="L19" s="255"/>
      <c r="M19" s="255"/>
    </row>
    <row r="20" spans="2:13" ht="12" customHeight="1" x14ac:dyDescent="0.3">
      <c r="B20" s="255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</row>
    <row r="21" spans="2:13" ht="12" customHeight="1" x14ac:dyDescent="0.3">
      <c r="B21" s="255"/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</row>
    <row r="22" spans="2:13" ht="12" customHeight="1" x14ac:dyDescent="0.3">
      <c r="B22" s="255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</row>
    <row r="23" spans="2:13" ht="12" customHeight="1" x14ac:dyDescent="0.3">
      <c r="B23" s="255"/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</row>
    <row r="24" spans="2:13" ht="12" customHeight="1" x14ac:dyDescent="0.3"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</row>
    <row r="25" spans="2:13" ht="12" customHeight="1" x14ac:dyDescent="0.3"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</row>
    <row r="26" spans="2:13" ht="12" customHeight="1" x14ac:dyDescent="0.3">
      <c r="B26" s="255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</row>
    <row r="27" spans="2:13" ht="12" customHeight="1" x14ac:dyDescent="0.3">
      <c r="B27" s="255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</row>
    <row r="28" spans="2:13" ht="12" customHeight="1" x14ac:dyDescent="0.3">
      <c r="B28" s="255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</row>
    <row r="29" spans="2:13" ht="12" customHeight="1" x14ac:dyDescent="0.3"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</row>
    <row r="30" spans="2:13" ht="12" customHeight="1" x14ac:dyDescent="0.3">
      <c r="B30" s="255"/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</row>
    <row r="31" spans="2:13" ht="12" customHeight="1" x14ac:dyDescent="0.3">
      <c r="B31" s="255"/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zoomScale="55" zoomScaleNormal="55" zoomScaleSheetLayoutView="40" workbookViewId="0">
      <selection activeCell="I107" sqref="A1:I107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6" t="s">
        <v>190</v>
      </c>
      <c r="D1" s="256"/>
      <c r="E1" s="25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1" t="s">
        <v>192</v>
      </c>
      <c r="C3" s="262"/>
      <c r="D3" s="262"/>
      <c r="E3" s="262"/>
      <c r="F3" s="263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6" t="s">
        <v>231</v>
      </c>
      <c r="B5" s="266"/>
      <c r="C5" s="24">
        <v>9.6199999999999992</v>
      </c>
      <c r="D5" s="267" t="s">
        <v>229</v>
      </c>
      <c r="E5" s="268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5" t="s">
        <v>226</v>
      </c>
      <c r="B7" s="265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11</v>
      </c>
      <c r="C9" s="32">
        <v>0.1</v>
      </c>
      <c r="D9" s="33">
        <f t="shared" ref="D9:D18" si="0">C9*$C$5</f>
        <v>0.96199999999999997</v>
      </c>
      <c r="E9" s="34">
        <v>150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112</v>
      </c>
      <c r="C10" s="32">
        <v>0.42</v>
      </c>
      <c r="D10" s="33">
        <f t="shared" si="0"/>
        <v>4.0403999999999991</v>
      </c>
      <c r="E10" s="34">
        <v>25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32</v>
      </c>
      <c r="C11" s="32">
        <v>0.48</v>
      </c>
      <c r="D11" s="33">
        <f t="shared" si="0"/>
        <v>4.6175999999999995</v>
      </c>
      <c r="E11" s="34">
        <v>25</v>
      </c>
      <c r="F11" s="35" t="str">
        <f t="array" ref="F11">IF(E11="","",IF(INDEX(A:A,MAX(IF(ISNUMBER($A$88:$A$107),ROW($A$88:$A$107),"")))&lt;&gt;E11,"Corrigez : révolution incorrecte","OK"))</f>
        <v>OK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9.6199999999999974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4" t="s">
        <v>232</v>
      </c>
      <c r="B22" s="26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5" t="s">
        <v>227</v>
      </c>
      <c r="B30" s="265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pédonculé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57" t="s">
        <v>186</v>
      </c>
      <c r="D34" s="257"/>
      <c r="E34" s="258" t="s">
        <v>187</v>
      </c>
      <c r="F34" s="259"/>
      <c r="G34" s="259"/>
      <c r="H34" s="26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20</v>
      </c>
      <c r="B36" s="60">
        <v>73</v>
      </c>
      <c r="C36" s="60">
        <v>1</v>
      </c>
      <c r="D36" s="60">
        <v>6</v>
      </c>
      <c r="E36" s="51"/>
      <c r="F36" s="51"/>
      <c r="G36" s="51"/>
      <c r="H36" s="51">
        <v>1</v>
      </c>
      <c r="I36" s="49">
        <f>IFERROR(B36/A36,"")</f>
        <v>3.65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30</v>
      </c>
      <c r="B37" s="60">
        <v>149</v>
      </c>
      <c r="C37" s="60">
        <v>2</v>
      </c>
      <c r="D37" s="60">
        <v>56</v>
      </c>
      <c r="E37" s="51"/>
      <c r="F37" s="51"/>
      <c r="G37" s="51"/>
      <c r="H37" s="51">
        <v>1</v>
      </c>
      <c r="I37" s="53">
        <f t="shared" ref="I37:I55" si="1">IF(A37&lt;&gt;0,(B37-(B36-D36))/(A37-A36),"")</f>
        <v>8.1999999999999993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40</v>
      </c>
      <c r="B38" s="60">
        <v>203</v>
      </c>
      <c r="C38" s="60">
        <v>3</v>
      </c>
      <c r="D38" s="60">
        <v>56</v>
      </c>
      <c r="E38" s="51"/>
      <c r="F38" s="51"/>
      <c r="G38" s="51"/>
      <c r="H38" s="51">
        <v>1</v>
      </c>
      <c r="I38" s="53">
        <f t="shared" si="1"/>
        <v>11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50</v>
      </c>
      <c r="B39" s="60">
        <v>259</v>
      </c>
      <c r="C39" s="60">
        <v>4</v>
      </c>
      <c r="D39" s="60">
        <v>56</v>
      </c>
      <c r="E39" s="51">
        <v>0.85</v>
      </c>
      <c r="F39" s="51"/>
      <c r="G39" s="51"/>
      <c r="H39" s="51">
        <v>0.15</v>
      </c>
      <c r="I39" s="49">
        <f t="shared" si="1"/>
        <v>11.2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60</v>
      </c>
      <c r="B40" s="60">
        <v>301</v>
      </c>
      <c r="C40" s="60">
        <v>5</v>
      </c>
      <c r="D40" s="60">
        <v>56</v>
      </c>
      <c r="E40" s="51">
        <v>0.85</v>
      </c>
      <c r="F40" s="51"/>
      <c r="G40" s="51"/>
      <c r="H40" s="51">
        <v>0.15</v>
      </c>
      <c r="I40" s="49">
        <f t="shared" si="1"/>
        <v>9.8000000000000007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70</v>
      </c>
      <c r="B41" s="60">
        <v>330</v>
      </c>
      <c r="C41" s="60">
        <v>6</v>
      </c>
      <c r="D41" s="60">
        <v>56</v>
      </c>
      <c r="E41" s="51">
        <v>0.85</v>
      </c>
      <c r="F41" s="51"/>
      <c r="G41" s="51"/>
      <c r="H41" s="51">
        <v>0.15</v>
      </c>
      <c r="I41" s="53">
        <f t="shared" si="1"/>
        <v>8.5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80</v>
      </c>
      <c r="B42" s="60">
        <v>348</v>
      </c>
      <c r="C42" s="60">
        <v>7</v>
      </c>
      <c r="D42" s="60">
        <v>56</v>
      </c>
      <c r="E42" s="51">
        <v>0.85</v>
      </c>
      <c r="F42" s="51"/>
      <c r="G42" s="51"/>
      <c r="H42" s="51">
        <v>0.15</v>
      </c>
      <c r="I42" s="53">
        <f t="shared" si="1"/>
        <v>7.4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90</v>
      </c>
      <c r="B43" s="60">
        <v>358</v>
      </c>
      <c r="C43" s="60">
        <v>8</v>
      </c>
      <c r="D43" s="60">
        <v>56</v>
      </c>
      <c r="E43" s="51">
        <v>0.85</v>
      </c>
      <c r="F43" s="51"/>
      <c r="G43" s="51"/>
      <c r="H43" s="51">
        <v>0.15</v>
      </c>
      <c r="I43" s="49">
        <f t="shared" si="1"/>
        <v>6.6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100</v>
      </c>
      <c r="B44" s="60">
        <v>361</v>
      </c>
      <c r="C44" s="60">
        <v>9</v>
      </c>
      <c r="D44" s="60">
        <v>55</v>
      </c>
      <c r="E44" s="51">
        <v>0.85</v>
      </c>
      <c r="F44" s="51"/>
      <c r="G44" s="51"/>
      <c r="H44" s="51">
        <v>0.15</v>
      </c>
      <c r="I44" s="49">
        <f t="shared" si="1"/>
        <v>5.9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110</v>
      </c>
      <c r="B45" s="60">
        <v>358</v>
      </c>
      <c r="C45" s="60">
        <v>10</v>
      </c>
      <c r="D45" s="60">
        <v>51</v>
      </c>
      <c r="E45" s="51">
        <v>0.85</v>
      </c>
      <c r="F45" s="51"/>
      <c r="G45" s="51"/>
      <c r="H45" s="51">
        <v>0.15</v>
      </c>
      <c r="I45" s="49">
        <f t="shared" si="1"/>
        <v>5.2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120</v>
      </c>
      <c r="B46" s="60">
        <v>352</v>
      </c>
      <c r="C46" s="60">
        <v>11</v>
      </c>
      <c r="D46" s="60">
        <v>47</v>
      </c>
      <c r="E46" s="51">
        <v>0.85</v>
      </c>
      <c r="F46" s="51"/>
      <c r="G46" s="51"/>
      <c r="H46" s="51">
        <v>0.15</v>
      </c>
      <c r="I46" s="49">
        <f t="shared" si="1"/>
        <v>4.5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>
        <v>130</v>
      </c>
      <c r="B47" s="60">
        <v>346</v>
      </c>
      <c r="C47" s="60">
        <v>12</v>
      </c>
      <c r="D47" s="60">
        <v>44</v>
      </c>
      <c r="E47" s="51">
        <v>0.85</v>
      </c>
      <c r="F47" s="51"/>
      <c r="G47" s="51"/>
      <c r="H47" s="51">
        <v>0.15</v>
      </c>
      <c r="I47" s="49">
        <f t="shared" si="1"/>
        <v>4.0999999999999996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>
        <v>140</v>
      </c>
      <c r="B48" s="60">
        <v>340</v>
      </c>
      <c r="C48" s="60">
        <v>13</v>
      </c>
      <c r="D48" s="60">
        <v>41</v>
      </c>
      <c r="E48" s="51">
        <v>0.85</v>
      </c>
      <c r="F48" s="51"/>
      <c r="G48" s="51"/>
      <c r="H48" s="51">
        <v>0.15</v>
      </c>
      <c r="I48" s="49">
        <f t="shared" si="1"/>
        <v>3.8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>
        <v>150</v>
      </c>
      <c r="B49" s="60">
        <v>333</v>
      </c>
      <c r="C49" s="60">
        <v>14</v>
      </c>
      <c r="D49" s="60">
        <v>333</v>
      </c>
      <c r="E49" s="51">
        <v>0.85</v>
      </c>
      <c r="F49" s="51"/>
      <c r="G49" s="51"/>
      <c r="H49" s="51">
        <v>0.15</v>
      </c>
      <c r="I49" s="49">
        <f t="shared" si="1"/>
        <v>3.4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Peuplier Koster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57" t="s">
        <v>186</v>
      </c>
      <c r="D60" s="257"/>
      <c r="E60" s="258" t="s">
        <v>187</v>
      </c>
      <c r="F60" s="259"/>
      <c r="G60" s="259"/>
      <c r="H60" s="26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5</v>
      </c>
      <c r="B62" s="60">
        <v>12.8</v>
      </c>
      <c r="C62" s="60">
        <v>1</v>
      </c>
      <c r="D62" s="60">
        <v>0</v>
      </c>
      <c r="E62" s="51"/>
      <c r="F62" s="51"/>
      <c r="G62" s="51"/>
      <c r="H62" s="51"/>
      <c r="I62" s="53">
        <f>IFERROR(B62/A62,"")</f>
        <v>2.56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10</v>
      </c>
      <c r="B63" s="60">
        <v>64.7</v>
      </c>
      <c r="C63" s="60">
        <v>2</v>
      </c>
      <c r="D63" s="60">
        <v>0</v>
      </c>
      <c r="E63" s="51"/>
      <c r="F63" s="51"/>
      <c r="G63" s="51"/>
      <c r="H63" s="51"/>
      <c r="I63" s="49">
        <f>IF(A63&lt;&gt;0,(B63-(B62-D62))/(A63-A62),"")</f>
        <v>10.38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15</v>
      </c>
      <c r="B64" s="60">
        <v>148.69999999999999</v>
      </c>
      <c r="C64" s="60">
        <v>3</v>
      </c>
      <c r="D64" s="60">
        <v>0</v>
      </c>
      <c r="E64" s="51"/>
      <c r="F64" s="51"/>
      <c r="G64" s="51"/>
      <c r="H64" s="51"/>
      <c r="I64" s="49">
        <f>IF(A64&lt;&gt;0,(B64-(B63-D63))/(A64-A63),"")</f>
        <v>16.799999999999997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20</v>
      </c>
      <c r="B65" s="60">
        <v>256.39999999999998</v>
      </c>
      <c r="C65" s="60">
        <v>4</v>
      </c>
      <c r="D65" s="60">
        <v>0</v>
      </c>
      <c r="E65" s="51"/>
      <c r="F65" s="51"/>
      <c r="G65" s="51"/>
      <c r="H65" s="51"/>
      <c r="I65" s="49">
        <f>IF(A65&lt;&gt;0,(B65-(B64-D64))/(A65-A64),"")</f>
        <v>21.54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25</v>
      </c>
      <c r="B66" s="60">
        <v>376.3</v>
      </c>
      <c r="C66" s="60">
        <v>5</v>
      </c>
      <c r="D66" s="60">
        <f>B66</f>
        <v>376.3</v>
      </c>
      <c r="E66" s="51">
        <v>0.8</v>
      </c>
      <c r="F66" s="51"/>
      <c r="G66" s="51">
        <v>0.1</v>
      </c>
      <c r="H66" s="51">
        <v>0.1</v>
      </c>
      <c r="I66" s="49">
        <f t="shared" ref="I66:I81" si="2">IF(A66&lt;&gt;0,(B66-(B65-D65))/(A66-A65),"")</f>
        <v>23.980000000000008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Peuplier non cultivé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57" t="s">
        <v>186</v>
      </c>
      <c r="D86" s="257"/>
      <c r="E86" s="258" t="s">
        <v>187</v>
      </c>
      <c r="F86" s="259"/>
      <c r="G86" s="259"/>
      <c r="H86" s="26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5</v>
      </c>
      <c r="B88" s="60">
        <v>8.3000000000000007</v>
      </c>
      <c r="C88" s="60">
        <v>1</v>
      </c>
      <c r="D88" s="60">
        <v>0</v>
      </c>
      <c r="E88" s="51"/>
      <c r="F88" s="51"/>
      <c r="G88" s="51"/>
      <c r="H88" s="51"/>
      <c r="I88" s="53">
        <f>IFERROR(B88/A88,"")</f>
        <v>1.6600000000000001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10</v>
      </c>
      <c r="B89" s="60">
        <v>48.1</v>
      </c>
      <c r="C89" s="60">
        <v>2</v>
      </c>
      <c r="D89" s="60">
        <v>0</v>
      </c>
      <c r="E89" s="51"/>
      <c r="F89" s="51"/>
      <c r="G89" s="51"/>
      <c r="H89" s="51"/>
      <c r="I89" s="53">
        <f t="shared" ref="I89:I107" si="3">IF(A89&lt;&gt;0,(B89-(B88-D88))/(A89-A88),"")</f>
        <v>7.9599999999999991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15</v>
      </c>
      <c r="B90" s="60">
        <v>114.1</v>
      </c>
      <c r="C90" s="60">
        <v>3</v>
      </c>
      <c r="D90" s="60">
        <v>0</v>
      </c>
      <c r="E90" s="51"/>
      <c r="F90" s="51"/>
      <c r="G90" s="51"/>
      <c r="H90" s="51"/>
      <c r="I90" s="53">
        <f t="shared" si="3"/>
        <v>13.2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20</v>
      </c>
      <c r="B91" s="60">
        <v>198.7</v>
      </c>
      <c r="C91" s="60">
        <v>4</v>
      </c>
      <c r="D91" s="60">
        <v>0</v>
      </c>
      <c r="E91" s="51"/>
      <c r="F91" s="51"/>
      <c r="G91" s="51"/>
      <c r="H91" s="51"/>
      <c r="I91" s="53">
        <f t="shared" si="3"/>
        <v>16.919999999999998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25</v>
      </c>
      <c r="B92" s="60">
        <v>287.2</v>
      </c>
      <c r="C92" s="60">
        <v>5</v>
      </c>
      <c r="D92" s="60">
        <f>B92</f>
        <v>287.2</v>
      </c>
      <c r="E92" s="51">
        <v>0.8</v>
      </c>
      <c r="F92" s="51"/>
      <c r="G92" s="51">
        <v>0.1</v>
      </c>
      <c r="H92" s="51">
        <v>0.1</v>
      </c>
      <c r="I92" s="53">
        <f t="shared" si="3"/>
        <v>17.7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51"/>
      <c r="F93" s="51"/>
      <c r="G93" s="51"/>
      <c r="H93" s="51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51"/>
      <c r="F94" s="51"/>
      <c r="G94" s="51"/>
      <c r="H94" s="51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51"/>
      <c r="F95" s="51"/>
      <c r="G95" s="51"/>
      <c r="H95" s="51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51"/>
      <c r="F96" s="51"/>
      <c r="G96" s="51"/>
      <c r="H96" s="51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51"/>
      <c r="F97" s="51"/>
      <c r="G97" s="51"/>
      <c r="H97" s="51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51"/>
      <c r="F98" s="51"/>
      <c r="G98" s="51"/>
      <c r="H98" s="51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51"/>
      <c r="F99" s="51"/>
      <c r="G99" s="51"/>
      <c r="H99" s="51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51"/>
      <c r="F100" s="51"/>
      <c r="G100" s="51"/>
      <c r="H100" s="51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51"/>
      <c r="F101" s="51"/>
      <c r="G101" s="51"/>
      <c r="H101" s="51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57" t="s">
        <v>186</v>
      </c>
      <c r="D112" s="257"/>
      <c r="E112" s="258" t="s">
        <v>187</v>
      </c>
      <c r="F112" s="259"/>
      <c r="G112" s="259"/>
      <c r="H112" s="26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51"/>
      <c r="F120" s="51"/>
      <c r="G120" s="51"/>
      <c r="H120" s="51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51"/>
      <c r="F121" s="51"/>
      <c r="G121" s="51"/>
      <c r="H121" s="51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51"/>
      <c r="F122" s="51"/>
      <c r="G122" s="51"/>
      <c r="H122" s="51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51"/>
      <c r="F123" s="51"/>
      <c r="G123" s="51"/>
      <c r="H123" s="51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51"/>
      <c r="F124" s="51"/>
      <c r="G124" s="51"/>
      <c r="H124" s="51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51"/>
      <c r="F125" s="51"/>
      <c r="G125" s="51"/>
      <c r="H125" s="51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51"/>
      <c r="F126" s="51"/>
      <c r="G126" s="51"/>
      <c r="H126" s="51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51"/>
      <c r="F127" s="51"/>
      <c r="G127" s="51"/>
      <c r="H127" s="51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57" t="s">
        <v>186</v>
      </c>
      <c r="D138" s="257"/>
      <c r="E138" s="258" t="s">
        <v>187</v>
      </c>
      <c r="F138" s="259"/>
      <c r="G138" s="259"/>
      <c r="H138" s="26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57" t="s">
        <v>186</v>
      </c>
      <c r="D164" s="257"/>
      <c r="E164" s="258" t="s">
        <v>187</v>
      </c>
      <c r="F164" s="259"/>
      <c r="G164" s="259"/>
      <c r="H164" s="26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57" t="s">
        <v>186</v>
      </c>
      <c r="D190" s="257"/>
      <c r="E190" s="258" t="s">
        <v>187</v>
      </c>
      <c r="F190" s="259"/>
      <c r="G190" s="259"/>
      <c r="H190" s="26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57" t="s">
        <v>186</v>
      </c>
      <c r="D216" s="257"/>
      <c r="E216" s="258" t="s">
        <v>187</v>
      </c>
      <c r="F216" s="259"/>
      <c r="G216" s="259"/>
      <c r="H216" s="26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57" t="s">
        <v>186</v>
      </c>
      <c r="D242" s="257"/>
      <c r="E242" s="258" t="s">
        <v>187</v>
      </c>
      <c r="F242" s="259"/>
      <c r="G242" s="259"/>
      <c r="H242" s="26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57" t="s">
        <v>186</v>
      </c>
      <c r="D268" s="257"/>
      <c r="E268" s="258" t="s">
        <v>187</v>
      </c>
      <c r="F268" s="259"/>
      <c r="G268" s="259"/>
      <c r="H268" s="26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scale="33" fitToHeight="0" orientation="portrait" r:id="rId1"/>
  <rowBreaks count="1" manualBreakCount="1">
    <brk id="82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AL163"/>
  <sheetViews>
    <sheetView zoomScaleNormal="100" workbookViewId="0">
      <selection activeCell="B27" sqref="B2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0" t="s">
        <v>191</v>
      </c>
      <c r="C2" s="271"/>
      <c r="D2" s="271"/>
      <c r="E2" s="271"/>
      <c r="F2" s="271"/>
      <c r="G2" s="27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69"/>
      <c r="C4" s="269"/>
      <c r="D4" s="269"/>
      <c r="E4" s="269"/>
      <c r="F4" s="269"/>
      <c r="G4" s="26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1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6" t="s">
        <v>176</v>
      </c>
      <c r="C1" s="277"/>
      <c r="D1" s="277"/>
      <c r="E1" s="277"/>
      <c r="F1" s="277"/>
      <c r="G1" s="277"/>
      <c r="H1" s="278"/>
      <c r="I1" s="273" t="str">
        <f>IF('Données projet'!$B$9="","",'Données projet'!$B$9)</f>
        <v>Chêne pédonculé</v>
      </c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5"/>
      <c r="AD1" s="274" t="str">
        <f>IF('Données projet'!$B$10="","",'Données projet'!$B$10)</f>
        <v>Peuplier Koster</v>
      </c>
      <c r="AE1" s="274"/>
      <c r="AF1" s="274"/>
      <c r="AG1" s="274"/>
      <c r="AH1" s="274"/>
      <c r="AI1" s="274"/>
      <c r="AJ1" s="274"/>
      <c r="AK1" s="274"/>
      <c r="AL1" s="274"/>
      <c r="AM1" s="274"/>
      <c r="AN1" s="274"/>
      <c r="AO1" s="274"/>
      <c r="AP1" s="274"/>
      <c r="AQ1" s="274"/>
      <c r="AR1" s="274"/>
      <c r="AS1" s="274"/>
      <c r="AT1" s="274"/>
      <c r="AU1" s="274"/>
      <c r="AV1" s="274"/>
      <c r="AW1" s="274"/>
      <c r="AX1" s="275"/>
      <c r="AY1" s="273" t="str">
        <f>IF('Données projet'!$B$11="","",'Données projet'!$B$11)</f>
        <v>Peuplier non cultivé</v>
      </c>
      <c r="AZ1" s="274"/>
      <c r="BA1" s="274"/>
      <c r="BB1" s="274"/>
      <c r="BC1" s="274"/>
      <c r="BD1" s="274"/>
      <c r="BE1" s="274"/>
      <c r="BF1" s="274"/>
      <c r="BG1" s="274"/>
      <c r="BH1" s="274"/>
      <c r="BI1" s="274"/>
      <c r="BJ1" s="274"/>
      <c r="BK1" s="274"/>
      <c r="BL1" s="274"/>
      <c r="BM1" s="274"/>
      <c r="BN1" s="274"/>
      <c r="BO1" s="274"/>
      <c r="BP1" s="274"/>
      <c r="BQ1" s="274"/>
      <c r="BR1" s="274"/>
      <c r="BS1" s="275"/>
      <c r="BT1" s="273" t="str">
        <f>IF('Données projet'!$B$12="","",'Données projet'!$B$12)</f>
        <v/>
      </c>
      <c r="BU1" s="274"/>
      <c r="BV1" s="274"/>
      <c r="BW1" s="274"/>
      <c r="BX1" s="274"/>
      <c r="BY1" s="274"/>
      <c r="BZ1" s="274"/>
      <c r="CA1" s="274"/>
      <c r="CB1" s="274"/>
      <c r="CC1" s="274"/>
      <c r="CD1" s="274"/>
      <c r="CE1" s="274"/>
      <c r="CF1" s="274"/>
      <c r="CG1" s="274"/>
      <c r="CH1" s="274"/>
      <c r="CI1" s="274"/>
      <c r="CJ1" s="274"/>
      <c r="CK1" s="274"/>
      <c r="CL1" s="274"/>
      <c r="CM1" s="274"/>
      <c r="CN1" s="275"/>
      <c r="CO1" s="273" t="str">
        <f>IF('Données projet'!$B$13="","",'Données projet'!$B$13)</f>
        <v/>
      </c>
      <c r="CP1" s="274"/>
      <c r="CQ1" s="274"/>
      <c r="CR1" s="274"/>
      <c r="CS1" s="274"/>
      <c r="CT1" s="274"/>
      <c r="CU1" s="274"/>
      <c r="CV1" s="274"/>
      <c r="CW1" s="274"/>
      <c r="CX1" s="274"/>
      <c r="CY1" s="274"/>
      <c r="CZ1" s="274"/>
      <c r="DA1" s="274"/>
      <c r="DB1" s="274"/>
      <c r="DC1" s="274"/>
      <c r="DD1" s="274"/>
      <c r="DE1" s="274"/>
      <c r="DF1" s="274"/>
      <c r="DG1" s="274"/>
      <c r="DH1" s="274"/>
      <c r="DI1" s="275"/>
      <c r="DJ1" s="273" t="str">
        <f>IF('Données projet'!$B$14="","",'Données projet'!$B$14)</f>
        <v/>
      </c>
      <c r="DK1" s="274"/>
      <c r="DL1" s="274"/>
      <c r="DM1" s="274"/>
      <c r="DN1" s="274"/>
      <c r="DO1" s="274"/>
      <c r="DP1" s="274"/>
      <c r="DQ1" s="274"/>
      <c r="DR1" s="274"/>
      <c r="DS1" s="274"/>
      <c r="DT1" s="274"/>
      <c r="DU1" s="274"/>
      <c r="DV1" s="274"/>
      <c r="DW1" s="274"/>
      <c r="DX1" s="274"/>
      <c r="DY1" s="274"/>
      <c r="DZ1" s="274"/>
      <c r="EA1" s="274"/>
      <c r="EB1" s="274"/>
      <c r="EC1" s="274"/>
      <c r="ED1" s="275"/>
      <c r="EE1" s="273" t="str">
        <f>IF('Données projet'!$B$15="","",'Données projet'!$B$15)</f>
        <v/>
      </c>
      <c r="EF1" s="274"/>
      <c r="EG1" s="274"/>
      <c r="EH1" s="274"/>
      <c r="EI1" s="274"/>
      <c r="EJ1" s="274"/>
      <c r="EK1" s="274"/>
      <c r="EL1" s="274"/>
      <c r="EM1" s="274"/>
      <c r="EN1" s="274"/>
      <c r="EO1" s="274"/>
      <c r="EP1" s="274"/>
      <c r="EQ1" s="274"/>
      <c r="ER1" s="274"/>
      <c r="ES1" s="274"/>
      <c r="ET1" s="274"/>
      <c r="EU1" s="274"/>
      <c r="EV1" s="274"/>
      <c r="EW1" s="274"/>
      <c r="EX1" s="274"/>
      <c r="EY1" s="275"/>
      <c r="EZ1" s="273" t="str">
        <f>IF('Données projet'!$B$16="","",'Données projet'!$B$16)</f>
        <v/>
      </c>
      <c r="FA1" s="274"/>
      <c r="FB1" s="274"/>
      <c r="FC1" s="274"/>
      <c r="FD1" s="274"/>
      <c r="FE1" s="274"/>
      <c r="FF1" s="274"/>
      <c r="FG1" s="274"/>
      <c r="FH1" s="274"/>
      <c r="FI1" s="274"/>
      <c r="FJ1" s="274"/>
      <c r="FK1" s="274"/>
      <c r="FL1" s="274"/>
      <c r="FM1" s="274"/>
      <c r="FN1" s="274"/>
      <c r="FO1" s="274"/>
      <c r="FP1" s="274"/>
      <c r="FQ1" s="274"/>
      <c r="FR1" s="274"/>
      <c r="FS1" s="274"/>
      <c r="FT1" s="275"/>
      <c r="FU1" s="273" t="str">
        <f>IF('Données projet'!$B$17="","",'Données projet'!$B$17)</f>
        <v/>
      </c>
      <c r="FV1" s="274"/>
      <c r="FW1" s="274"/>
      <c r="FX1" s="274"/>
      <c r="FY1" s="274"/>
      <c r="FZ1" s="274"/>
      <c r="GA1" s="274"/>
      <c r="GB1" s="274"/>
      <c r="GC1" s="274"/>
      <c r="GD1" s="274"/>
      <c r="GE1" s="274"/>
      <c r="GF1" s="274"/>
      <c r="GG1" s="274"/>
      <c r="GH1" s="274"/>
      <c r="GI1" s="274"/>
      <c r="GJ1" s="274"/>
      <c r="GK1" s="274"/>
      <c r="GL1" s="274"/>
      <c r="GM1" s="274"/>
      <c r="GN1" s="274"/>
      <c r="GO1" s="275"/>
      <c r="GP1" s="273" t="str">
        <f>IF('Données projet'!$B$18="","",'Données projet'!$B$18)</f>
        <v/>
      </c>
      <c r="GQ1" s="274"/>
      <c r="GR1" s="274"/>
      <c r="GS1" s="274"/>
      <c r="GT1" s="274"/>
      <c r="GU1" s="274"/>
      <c r="GV1" s="274"/>
      <c r="GW1" s="274"/>
      <c r="GX1" s="274"/>
      <c r="GY1" s="274"/>
      <c r="GZ1" s="274"/>
      <c r="HA1" s="274"/>
      <c r="HB1" s="274"/>
      <c r="HC1" s="274"/>
      <c r="HD1" s="274"/>
      <c r="HE1" s="274"/>
      <c r="HF1" s="274"/>
      <c r="HG1" s="274"/>
      <c r="HH1" s="274"/>
      <c r="HI1" s="274"/>
      <c r="HJ1" s="275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256.66666666666669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328.34986205643321</v>
      </c>
      <c r="T3" s="59">
        <f>IF('Données projet'!E9&gt;30,$R$33-$H$33,LOOKUP('Données projet'!$E$9,$A$3:$A$203,R3:R203)-LOOKUP('Données projet'!$E$9,$A$3:$A$203,$H$3:$H$203))</f>
        <v>251.60894449147008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141.98581704643658</v>
      </c>
      <c r="AO3" s="59">
        <f>IF('Données projet'!E10&gt;30,$AM$33-$H$33,LOOKUP('Données projet'!$E$10,$A$3:$A$203,AM3:AM203)-LOOKUP('Données projet'!$E$10,$A$3:$A$203,$H$3:$H$203))</f>
        <v>396.03373990407204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122.36861947722917</v>
      </c>
      <c r="BJ3" s="59">
        <f>IF('Données projet'!E11&gt;30,$BH$33-$H$33,LOOKUP('Données projet'!$E$11,$A$3:$A$203,BH3:BH203)-LOOKUP('Données projet'!$E$11,$A$3:$A$203,$H$3:$H$203))</f>
        <v>341.51856651265109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6">
        <f t="shared" ref="H4:H67" si="1">(B4+E4+F4)*44/12+(C4+D4)*0.475*44/12</f>
        <v>258.93888080135036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3.65</v>
      </c>
      <c r="N4" s="13">
        <f>IF('Données projet'!$A$36&gt;35,N3+M4-V3,IF(A4&lt;'Données projet'!$A$36,$K$205^A4,IF(A4='Données projet'!$A$36,'Données projet'!$B$36,N3+M4-V3)))</f>
        <v>1.2392705892426346</v>
      </c>
      <c r="O4" s="13">
        <f>N4*VLOOKUP('Données projet'!$B$9,Paramètres!$A$1:$I$89,3,0)*VLOOKUP('Données projet'!$B$9,Paramètres!$A$1:$I$89,5,0)</f>
        <v>1.0439615443779955</v>
      </c>
      <c r="P4" s="13">
        <f>EXP(-1.0587+0.8836*LN(O4)+0.284)</f>
        <v>0.478698084995758</v>
      </c>
      <c r="Q4" s="20">
        <f t="shared" ref="Q4:Q34" si="2">(O4+P4)*0.475*44/12</f>
        <v>2.6519655211592874</v>
      </c>
      <c r="R4" s="59">
        <f t="shared" si="0"/>
        <v>260.54085441004815</v>
      </c>
      <c r="S4" s="59">
        <f ca="1">AVERAGE(OFFSET($R$3,0,0,'Données projet'!$E$9+1,1))-AVERAGE(OFFSET($H$3,0,0,'Données projet'!$E$9+1,1))</f>
        <v>328.34986205643321</v>
      </c>
      <c r="T4" s="59">
        <f>$T$3</f>
        <v>251.60894449147008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2.56</v>
      </c>
      <c r="AI4" s="13">
        <f>IF('Données projet'!$A$62&gt;35,AI3+AH4-AQ3,IF(A4&lt;'Données projet'!$A$62,$AF$205^A4,IF(A4='Données projet'!$A$62,'Données projet'!$B$62,AI3+AH4-AQ3)))</f>
        <v>1.6651064148037464</v>
      </c>
      <c r="AJ4" s="13">
        <f>AI4*VLOOKUP('Données projet'!$B$10,Paramètres!$A$1:$I$89,3,0)*VLOOKUP('Données projet'!$B$10,Paramètres!$A$1:$I$89,5,0)</f>
        <v>0.84680651831259346</v>
      </c>
      <c r="AK4" s="13">
        <f>EXP(-1.0587+0.8836*LN(AJ4)+0.284)</f>
        <v>0.39787090084209936</v>
      </c>
      <c r="AL4" s="20">
        <f t="shared" ref="AL4:AL67" si="4">(AJ4+AK4)*0.475*44/12</f>
        <v>2.1678131716944233</v>
      </c>
      <c r="AM4" s="59">
        <f t="shared" ref="AM4:AM67" si="5">AL4+(AD4+AE4)*44/12</f>
        <v>260.05670206058329</v>
      </c>
      <c r="AN4" s="59">
        <f ca="1">AVERAGE(OFFSET($AM$3,0,0,'Données projet'!$E$10+1,1))-AVERAGE(OFFSET($H$3,0,0,'Données projet'!$E$10+1,1))</f>
        <v>141.98581704643658</v>
      </c>
      <c r="AO4" s="59">
        <f>$AO$3</f>
        <v>396.03373990407204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1.6600000000000001</v>
      </c>
      <c r="BD4" s="12">
        <f>IF('Données projet'!$A$88&gt;35,BD3+BC4-BL3,IF(A4&lt;'Données projet'!$A$88,$BA$205^A4,IF(A4='Données projet'!$A$88,'Données projet'!$B$88,BD3+BC4-BL3)))</f>
        <v>1.5269176613775752</v>
      </c>
      <c r="BE4" s="13">
        <f>BD4*VLOOKUP('Données projet'!$B$11,Paramètres!$A$1:$I$89,3,0)*VLOOKUP('Données projet'!$B$11,Paramètres!$A$1:$I$89,5,0)</f>
        <v>0.88133687414713646</v>
      </c>
      <c r="BF4" s="13">
        <f>EXP(-1.0587+0.8836*LN(BE4)+0.284)</f>
        <v>0.41217294739453891</v>
      </c>
      <c r="BG4" s="20">
        <f t="shared" ref="BG4:BG67" si="7">(BE4+BF4)*0.475*44/12</f>
        <v>2.2528629391850843</v>
      </c>
      <c r="BH4" s="59">
        <f t="shared" ref="BH4:BH67" si="8">BG4+(AY4+AZ4)*44/12</f>
        <v>260.14175182807395</v>
      </c>
      <c r="BI4" s="59">
        <f ca="1">AVERAGE(OFFSET($BH$3,0,0,'Données projet'!$E$11+1,1))-AVERAGE(OFFSET($H$3,0,0,'Données projet'!$E$11+1,1))</f>
        <v>122.36861947722917</v>
      </c>
      <c r="BJ4" s="59">
        <f>$BJ$3</f>
        <v>341.51856651265109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6">
        <f t="shared" si="1"/>
        <v>261.0989294343297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3.65</v>
      </c>
      <c r="N5" s="13">
        <f>IF('Données projet'!$A$36&gt;35,N4+M5-V4,IF(A5&lt;'Données projet'!$A$36,$K$205^A5,IF(A5='Données projet'!$A$36,'Données projet'!$B$36,N4+M5-V4)))</f>
        <v>1.5357915933617867</v>
      </c>
      <c r="O5" s="13">
        <f>N5*VLOOKUP('Données projet'!$B$9,Paramètres!$A$1:$I$89,3,0)*VLOOKUP('Données projet'!$B$9,Paramètres!$A$1:$I$89,5,0)</f>
        <v>1.2937508382479692</v>
      </c>
      <c r="P5" s="13">
        <f t="shared" ref="P5:P68" si="33">EXP(-1.0587+0.8836*LN(O5)+0.284)</f>
        <v>0.57860648124254321</v>
      </c>
      <c r="Q5" s="20">
        <f t="shared" si="2"/>
        <v>3.2610223314459752</v>
      </c>
      <c r="R5" s="59">
        <f t="shared" si="0"/>
        <v>262.37213344255713</v>
      </c>
      <c r="S5" s="59">
        <f ca="1">AVERAGE(OFFSET($R$3,0,0,'Données projet'!$E$9+1,1))-AVERAGE(OFFSET($H$3,0,0,'Données projet'!$E$9+1,1))</f>
        <v>328.34986205643321</v>
      </c>
      <c r="T5" s="59">
        <f t="shared" ref="T5:T68" si="34">$T$3</f>
        <v>251.60894449147008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2.56</v>
      </c>
      <c r="AI5" s="13">
        <f>IF('Données projet'!$A$62&gt;35,AI4+AH5-AQ4,IF(A5&lt;'Données projet'!$A$62,$AF$205^A5,IF(A5='Données projet'!$A$62,'Données projet'!$B$62,AI4+AH5-AQ4)))</f>
        <v>2.7725793726205863</v>
      </c>
      <c r="AJ5" s="13">
        <f>AI5*VLOOKUP('Données projet'!$B$10,Paramètres!$A$1:$I$89,3,0)*VLOOKUP('Données projet'!$B$10,Paramètres!$A$1:$I$89,5,0)</f>
        <v>1.4100229657399255</v>
      </c>
      <c r="AK5" s="13">
        <f t="shared" ref="AK5:AK68" si="35">EXP(-1.0587+0.8836*LN(AJ5)+0.284)</f>
        <v>0.62432154587626132</v>
      </c>
      <c r="AL5" s="20">
        <f t="shared" si="4"/>
        <v>3.5431500243981913</v>
      </c>
      <c r="AM5" s="59">
        <f t="shared" si="5"/>
        <v>262.65426113550933</v>
      </c>
      <c r="AN5" s="59">
        <f ca="1">AVERAGE(OFFSET($AM$3,0,0,'Données projet'!$E$10+1,1))-AVERAGE(OFFSET($H$3,0,0,'Données projet'!$E$10+1,1))</f>
        <v>141.98581704643658</v>
      </c>
      <c r="AO5" s="59">
        <f t="shared" ref="AO5:AO68" si="36">$AO$3</f>
        <v>396.03373990407204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1.6600000000000001</v>
      </c>
      <c r="BD5" s="12">
        <f>IF('Données projet'!$A$88&gt;35,BD4+BC5-BL4,IF(A5&lt;'Données projet'!$A$88,$BA$205^A5,IF(A5='Données projet'!$A$88,'Données projet'!$B$88,BD4+BC5-BL4)))</f>
        <v>2.3314775446267637</v>
      </c>
      <c r="BE5" s="13">
        <f>BD5*VLOOKUP('Données projet'!$B$11,Paramètres!$A$1:$I$89,3,0)*VLOOKUP('Données projet'!$B$11,Paramètres!$A$1:$I$89,5,0)</f>
        <v>1.345728838758568</v>
      </c>
      <c r="BF5" s="13">
        <f t="shared" ref="BF5:BF68" si="37">EXP(-1.0587+0.8836*LN(BE5)+0.284)</f>
        <v>0.59909950992684169</v>
      </c>
      <c r="BG5" s="20">
        <f t="shared" si="7"/>
        <v>3.3872427072937548</v>
      </c>
      <c r="BH5" s="59">
        <f t="shared" si="8"/>
        <v>262.49835381840489</v>
      </c>
      <c r="BI5" s="59">
        <f ca="1">AVERAGE(OFFSET($BH$3,0,0,'Données projet'!$E$11+1,1))-AVERAGE(OFFSET($H$3,0,0,'Données projet'!$E$11+1,1))</f>
        <v>122.36861947722917</v>
      </c>
      <c r="BJ5" s="59">
        <f t="shared" ref="BJ5:BJ68" si="38">$BJ$3</f>
        <v>341.51856651265109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6">
        <f t="shared" si="1"/>
        <v>263.22275424061456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3.65</v>
      </c>
      <c r="N6" s="13">
        <f>IF('Données projet'!$A$36&gt;35,N5+M6-V5,IF(A6&lt;'Données projet'!$A$36,$K$205^A6,IF(A6='Données projet'!$A$36,'Données projet'!$B$36,N5+M6-V5)))</f>
        <v>1.9032613528593461</v>
      </c>
      <c r="O6" s="13">
        <f>N6*VLOOKUP('Données projet'!$B$9,Paramètres!$A$1:$I$89,3,0)*VLOOKUP('Données projet'!$B$9,Paramètres!$A$1:$I$89,5,0)</f>
        <v>1.6033073636487132</v>
      </c>
      <c r="P6" s="13">
        <f t="shared" si="33"/>
        <v>0.69936661672428513</v>
      </c>
      <c r="Q6" s="20">
        <f t="shared" si="2"/>
        <v>4.0104905158163051</v>
      </c>
      <c r="R6" s="59">
        <f t="shared" si="0"/>
        <v>264.3438238491496</v>
      </c>
      <c r="S6" s="59">
        <f ca="1">AVERAGE(OFFSET($R$3,0,0,'Données projet'!$E$9+1,1))-AVERAGE(OFFSET($H$3,0,0,'Données projet'!$E$9+1,1))</f>
        <v>328.34986205643321</v>
      </c>
      <c r="T6" s="59">
        <f t="shared" si="34"/>
        <v>251.60894449147008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2.56</v>
      </c>
      <c r="AI6" s="13">
        <f>IF('Données projet'!$A$62&gt;35,AI5+AH6-AQ5,IF(A6&lt;'Données projet'!$A$62,$AF$205^A6,IF(A6='Données projet'!$A$62,'Données projet'!$B$62,AI5+AH6-AQ5)))</f>
        <v>4.6166396989030849</v>
      </c>
      <c r="AJ6" s="13">
        <f>AI6*VLOOKUP('Données projet'!$B$10,Paramètres!$A$1:$I$89,3,0)*VLOOKUP('Données projet'!$B$10,Paramètres!$A$1:$I$89,5,0)</f>
        <v>2.3478382852741531</v>
      </c>
      <c r="AK6" s="13">
        <f t="shared" si="35"/>
        <v>0.97965795392514343</v>
      </c>
      <c r="AL6" s="20">
        <f t="shared" si="4"/>
        <v>5.7953892832721081</v>
      </c>
      <c r="AM6" s="59">
        <f t="shared" si="5"/>
        <v>266.12872261660544</v>
      </c>
      <c r="AN6" s="59">
        <f ca="1">AVERAGE(OFFSET($AM$3,0,0,'Données projet'!$E$10+1,1))-AVERAGE(OFFSET($H$3,0,0,'Données projet'!$E$10+1,1))</f>
        <v>141.98581704643658</v>
      </c>
      <c r="AO6" s="59">
        <f t="shared" si="36"/>
        <v>396.03373990407204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1.6600000000000001</v>
      </c>
      <c r="BD6" s="12">
        <f>IF('Données projet'!$A$88&gt;35,BD5+BC6-BL5,IF(A6&lt;'Données projet'!$A$88,$BA$205^A6,IF(A6='Données projet'!$A$88,'Données projet'!$B$88,BD5+BC6-BL5)))</f>
        <v>3.5599742399958294</v>
      </c>
      <c r="BE6" s="13">
        <f>BD6*VLOOKUP('Données projet'!$B$11,Paramètres!$A$1:$I$89,3,0)*VLOOKUP('Données projet'!$B$11,Paramètres!$A$1:$I$89,5,0)</f>
        <v>2.0548171313255925</v>
      </c>
      <c r="BF6" s="13">
        <f t="shared" si="37"/>
        <v>0.8708000490168446</v>
      </c>
      <c r="BG6" s="20">
        <f t="shared" si="7"/>
        <v>5.0954499224297445</v>
      </c>
      <c r="BH6" s="59">
        <f t="shared" si="8"/>
        <v>265.42878325576305</v>
      </c>
      <c r="BI6" s="59">
        <f ca="1">AVERAGE(OFFSET($BH$3,0,0,'Données projet'!$E$11+1,1))-AVERAGE(OFFSET($H$3,0,0,'Données projet'!$E$11+1,1))</f>
        <v>122.36861947722917</v>
      </c>
      <c r="BJ6" s="59">
        <f t="shared" si="38"/>
        <v>341.51856651265109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6">
        <f t="shared" si="1"/>
        <v>265.32424983728947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3.65</v>
      </c>
      <c r="N7" s="13">
        <f>IF('Données projet'!$A$36&gt;35,N6+M7-V6,IF(A7&lt;'Données projet'!$A$36,$K$205^A7,IF(A7='Données projet'!$A$36,'Données projet'!$B$36,N6+M7-V6)))</f>
        <v>2.3586558182407358</v>
      </c>
      <c r="O7" s="13">
        <f>N7*VLOOKUP('Données projet'!$B$9,Paramètres!$A$1:$I$89,3,0)*VLOOKUP('Données projet'!$B$9,Paramètres!$A$1:$I$89,5,0)</f>
        <v>1.9869316612859962</v>
      </c>
      <c r="P7" s="13">
        <f t="shared" si="33"/>
        <v>0.84533042826968274</v>
      </c>
      <c r="Q7" s="20">
        <f t="shared" si="2"/>
        <v>4.9328564726428068</v>
      </c>
      <c r="R7" s="59">
        <f t="shared" si="0"/>
        <v>266.48841202819835</v>
      </c>
      <c r="S7" s="59">
        <f ca="1">AVERAGE(OFFSET($R$3,0,0,'Données projet'!$E$9+1,1))-AVERAGE(OFFSET($H$3,0,0,'Données projet'!$E$9+1,1))</f>
        <v>328.34986205643321</v>
      </c>
      <c r="T7" s="59">
        <f t="shared" si="34"/>
        <v>251.60894449147008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2.56</v>
      </c>
      <c r="AI7" s="13">
        <f>IF('Données projet'!$A$62&gt;35,AI6+AH7-AQ6,IF(A7&lt;'Données projet'!$A$62,$AF$205^A7,IF(A7='Données projet'!$A$62,'Données projet'!$B$62,AI6+AH7-AQ6)))</f>
        <v>7.6871963774811638</v>
      </c>
      <c r="AJ7" s="13">
        <f>AI7*VLOOKUP('Données projet'!$B$10,Paramètres!$A$1:$I$89,3,0)*VLOOKUP('Données projet'!$B$10,Paramètres!$A$1:$I$89,5,0)</f>
        <v>3.9094005897318214</v>
      </c>
      <c r="AK7" s="13">
        <f t="shared" si="35"/>
        <v>1.5372362415296399</v>
      </c>
      <c r="AL7" s="20">
        <f t="shared" si="4"/>
        <v>9.4862258144470459</v>
      </c>
      <c r="AM7" s="59">
        <f t="shared" si="5"/>
        <v>271.04178137000258</v>
      </c>
      <c r="AN7" s="59">
        <f ca="1">AVERAGE(OFFSET($AM$3,0,0,'Données projet'!$E$10+1,1))-AVERAGE(OFFSET($H$3,0,0,'Données projet'!$E$10+1,1))</f>
        <v>141.98581704643658</v>
      </c>
      <c r="AO7" s="59">
        <f t="shared" si="36"/>
        <v>396.03373990407204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1.6600000000000001</v>
      </c>
      <c r="BD7" s="12">
        <f>IF('Données projet'!$A$88&gt;35,BD6+BC7-BL6,IF(A7&lt;'Données projet'!$A$88,$BA$205^A7,IF(A7='Données projet'!$A$88,'Données projet'!$B$88,BD6+BC7-BL6)))</f>
        <v>5.4357875410988425</v>
      </c>
      <c r="BE7" s="13">
        <f>BD7*VLOOKUP('Données projet'!$B$11,Paramètres!$A$1:$I$89,3,0)*VLOOKUP('Données projet'!$B$11,Paramètres!$A$1:$I$89,5,0)</f>
        <v>3.1375365687222518</v>
      </c>
      <c r="BF7" s="13">
        <f t="shared" si="37"/>
        <v>1.2657208240085807</v>
      </c>
      <c r="BG7" s="20">
        <f t="shared" si="7"/>
        <v>7.6690066256728668</v>
      </c>
      <c r="BH7" s="59">
        <f t="shared" si="8"/>
        <v>269.22456218122841</v>
      </c>
      <c r="BI7" s="59">
        <f ca="1">AVERAGE(OFFSET($BH$3,0,0,'Données projet'!$E$11+1,1))-AVERAGE(OFFSET($H$3,0,0,'Données projet'!$E$11+1,1))</f>
        <v>122.36861947722917</v>
      </c>
      <c r="BJ7" s="59">
        <f t="shared" si="38"/>
        <v>341.51856651265109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6">
        <f t="shared" si="1"/>
        <v>267.40971372031277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3.65</v>
      </c>
      <c r="N8" s="13">
        <f>IF('Données projet'!$A$36&gt;35,N7+M8-V7,IF(A8&lt;'Données projet'!$A$36,$K$205^A8,IF(A8='Données projet'!$A$36,'Données projet'!$B$36,N7+M8-V7)))</f>
        <v>2.9230127856917649</v>
      </c>
      <c r="O8" s="13">
        <f>N8*VLOOKUP('Données projet'!$B$9,Paramètres!$A$1:$I$89,3,0)*VLOOKUP('Données projet'!$B$9,Paramètres!$A$1:$I$89,5,0)</f>
        <v>2.462345970666743</v>
      </c>
      <c r="P8" s="13">
        <f t="shared" si="33"/>
        <v>1.021758139251189</v>
      </c>
      <c r="Q8" s="20">
        <f t="shared" si="2"/>
        <v>6.068147991440398</v>
      </c>
      <c r="R8" s="59">
        <f t="shared" si="0"/>
        <v>268.84592576921818</v>
      </c>
      <c r="S8" s="59">
        <f ca="1">AVERAGE(OFFSET($R$3,0,0,'Données projet'!$E$9+1,1))-AVERAGE(OFFSET($H$3,0,0,'Données projet'!$E$9+1,1))</f>
        <v>328.34986205643321</v>
      </c>
      <c r="T8" s="59">
        <f t="shared" si="34"/>
        <v>251.60894449147008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>
        <f>VLOOKUP(A8,'Données projet'!$A$61:$I$81,2,0)</f>
        <v>12.8</v>
      </c>
      <c r="AG8" s="12">
        <f>VLOOKUP(A8,'Données projet'!$A$61:$I$81,9,0)</f>
        <v>2.56</v>
      </c>
      <c r="AH8" s="12">
        <f t="array" ref="AH8">INDEX(AG:AG,MIN(IF(ISNUMBER(AG8:AG204),ROW(AG8:AG204),"")))</f>
        <v>2.56</v>
      </c>
      <c r="AI8" s="13">
        <f>IF('Données projet'!$A$62&gt;35,AI7+AH8-AQ7,IF(A8&lt;'Données projet'!$A$62,$AF$205^A8,IF(A8='Données projet'!$A$62,'Données projet'!$B$62,AI7+AH8-AQ7)))</f>
        <v>12.8</v>
      </c>
      <c r="AJ8" s="13">
        <f>AI8*VLOOKUP('Données projet'!$B$10,Paramètres!$A$1:$I$89,3,0)*VLOOKUP('Données projet'!$B$10,Paramètres!$A$1:$I$89,5,0)</f>
        <v>6.5095680000000007</v>
      </c>
      <c r="AK8" s="13">
        <f t="shared" si="35"/>
        <v>2.4121636054748334</v>
      </c>
      <c r="AL8" s="20">
        <f t="shared" si="4"/>
        <v>15.538682546202004</v>
      </c>
      <c r="AM8" s="59">
        <f t="shared" si="5"/>
        <v>278.31646032397975</v>
      </c>
      <c r="AN8" s="59">
        <f ca="1">AVERAGE(OFFSET($AM$3,0,0,'Données projet'!$E$10+1,1))-AVERAGE(OFFSET($H$3,0,0,'Données projet'!$E$10+1,1))</f>
        <v>141.98581704643658</v>
      </c>
      <c r="AO8" s="59">
        <f t="shared" si="36"/>
        <v>396.03373990407204</v>
      </c>
      <c r="AP8" s="15">
        <f>IF(ISNA(VLOOKUP(A8,'Données projet'!$A$61:$I$81,3,0)),0,VLOOKUP(A8,'Données projet'!$A$61:$I$81,3,0))</f>
        <v>1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>
        <f>VLOOKUP(A8,'Données projet'!$A$87:$I$107,2,0)</f>
        <v>8.3000000000000007</v>
      </c>
      <c r="BB8" s="12">
        <f>VLOOKUP(A8,'Données projet'!$A$87:$I$107,9,0)</f>
        <v>1.6600000000000001</v>
      </c>
      <c r="BC8" s="12">
        <f t="array" ref="BC8">INDEX(BB:BB,MIN(IF(ISNUMBER(BB8:BB204),ROW(BB8:BB204),"")))</f>
        <v>1.6600000000000001</v>
      </c>
      <c r="BD8" s="12">
        <f>IF('Données projet'!$A$88&gt;35,BD7+BC8-BL7,IF(A8&lt;'Données projet'!$A$88,$BA$205^A8,IF(A8='Données projet'!$A$88,'Données projet'!$B$88,BD7+BC8-BL7)))</f>
        <v>8.3000000000000007</v>
      </c>
      <c r="BE8" s="13">
        <f>BD8*VLOOKUP('Données projet'!$B$11,Paramètres!$A$1:$I$89,3,0)*VLOOKUP('Données projet'!$B$11,Paramètres!$A$1:$I$89,5,0)</f>
        <v>4.7907600000000006</v>
      </c>
      <c r="BF8" s="13">
        <f t="shared" si="37"/>
        <v>1.8397440447295732</v>
      </c>
      <c r="BG8" s="20">
        <f t="shared" si="7"/>
        <v>11.548127877904008</v>
      </c>
      <c r="BH8" s="59">
        <f t="shared" si="8"/>
        <v>274.32590565568177</v>
      </c>
      <c r="BI8" s="59">
        <f ca="1">AVERAGE(OFFSET($BH$3,0,0,'Données projet'!$E$11+1,1))-AVERAGE(OFFSET($H$3,0,0,'Données projet'!$E$11+1,1))</f>
        <v>122.36861947722917</v>
      </c>
      <c r="BJ8" s="59">
        <f t="shared" si="38"/>
        <v>341.51856651265109</v>
      </c>
      <c r="BK8" s="15">
        <f>IF(ISNA(VLOOKUP(A8,'Données projet'!$A$87:$I$107,3,0)),0,VLOOKUP(A8,'Données projet'!$A$87:$I$107,3,0))</f>
        <v>1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6">
        <f t="shared" si="1"/>
        <v>269.48273824430697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3.65</v>
      </c>
      <c r="N9" s="13">
        <f>IF('Données projet'!$A$36&gt;35,N8+M9-V8,IF(A9&lt;'Données projet'!$A$36,$K$205^A9,IF(A9='Données projet'!$A$36,'Données projet'!$B$36,N8+M9-V8)))</f>
        <v>3.6224037772879885</v>
      </c>
      <c r="O9" s="13">
        <f>N9*VLOOKUP('Données projet'!$B$9,Paramètres!$A$1:$I$89,3,0)*VLOOKUP('Données projet'!$B$9,Paramètres!$A$1:$I$89,5,0)</f>
        <v>3.0515129419874016</v>
      </c>
      <c r="P9" s="13">
        <f t="shared" si="33"/>
        <v>1.2350078267772846</v>
      </c>
      <c r="Q9" s="20">
        <f t="shared" si="2"/>
        <v>7.4656903389318279</v>
      </c>
      <c r="R9" s="59">
        <f t="shared" si="0"/>
        <v>271.46569033893184</v>
      </c>
      <c r="S9" s="59">
        <f ca="1">AVERAGE(OFFSET($R$3,0,0,'Données projet'!$E$9+1,1))-AVERAGE(OFFSET($H$3,0,0,'Données projet'!$E$9+1,1))</f>
        <v>328.34986205643321</v>
      </c>
      <c r="T9" s="59">
        <f t="shared" si="34"/>
        <v>251.60894449147008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10.38</v>
      </c>
      <c r="AI9" s="13">
        <f>IF('Données projet'!$A$62&gt;35,AI8+AH9-AQ8,IF(A9&lt;'Données projet'!$A$62,$AF$205^A9,IF(A9='Données projet'!$A$62,'Données projet'!$B$62,AI8+AH9-AQ8)))</f>
        <v>23.18</v>
      </c>
      <c r="AJ9" s="13">
        <f>AI9*VLOOKUP('Données projet'!$B$10,Paramètres!$A$1:$I$89,3,0)*VLOOKUP('Données projet'!$B$10,Paramètres!$A$1:$I$89,5,0)</f>
        <v>11.788420800000001</v>
      </c>
      <c r="AK9" s="13">
        <f t="shared" si="35"/>
        <v>4.076526403541302</v>
      </c>
      <c r="AL9" s="20">
        <f t="shared" si="4"/>
        <v>27.631449712834435</v>
      </c>
      <c r="AM9" s="59">
        <f t="shared" si="5"/>
        <v>291.63144971283441</v>
      </c>
      <c r="AN9" s="59">
        <f ca="1">AVERAGE(OFFSET($AM$3,0,0,'Données projet'!$E$10+1,1))-AVERAGE(OFFSET($H$3,0,0,'Données projet'!$E$10+1,1))</f>
        <v>141.98581704643658</v>
      </c>
      <c r="AO9" s="59">
        <f t="shared" si="36"/>
        <v>396.03373990407204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7.9599999999999991</v>
      </c>
      <c r="BD9" s="12">
        <f>IF('Données projet'!$A$88&gt;35,BD8+BC9-BL8,IF(A9&lt;'Données projet'!$A$88,$BA$205^A9,IF(A9='Données projet'!$A$88,'Données projet'!$B$88,BD8+BC9-BL8)))</f>
        <v>16.259999999999998</v>
      </c>
      <c r="BE9" s="13">
        <f>BD9*VLOOKUP('Données projet'!$B$11,Paramètres!$A$1:$I$89,3,0)*VLOOKUP('Données projet'!$B$11,Paramètres!$A$1:$I$89,5,0)</f>
        <v>9.3852720000000005</v>
      </c>
      <c r="BF9" s="13">
        <f t="shared" si="37"/>
        <v>3.3327759113269986</v>
      </c>
      <c r="BG9" s="20">
        <f t="shared" si="7"/>
        <v>22.150600112227853</v>
      </c>
      <c r="BH9" s="59">
        <f t="shared" si="8"/>
        <v>286.15060011222783</v>
      </c>
      <c r="BI9" s="59">
        <f ca="1">AVERAGE(OFFSET($BH$3,0,0,'Données projet'!$E$11+1,1))-AVERAGE(OFFSET($H$3,0,0,'Données projet'!$E$11+1,1))</f>
        <v>122.36861947722917</v>
      </c>
      <c r="BJ9" s="59">
        <f t="shared" si="38"/>
        <v>341.51856651265109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6">
        <f t="shared" si="1"/>
        <v>271.54563926139667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3.65</v>
      </c>
      <c r="N10" s="13">
        <f>IF('Données projet'!$A$36&gt;35,N9+M10-V9,IF(A10&lt;'Données projet'!$A$36,$K$205^A10,IF(A10='Données projet'!$A$36,'Données projet'!$B$36,N9+M10-V9)))</f>
        <v>4.4891384635544309</v>
      </c>
      <c r="O10" s="13">
        <f>N10*VLOOKUP('Données projet'!$B$9,Paramètres!$A$1:$I$89,3,0)*VLOOKUP('Données projet'!$B$9,Paramètres!$A$1:$I$89,5,0)</f>
        <v>3.7816502416982529</v>
      </c>
      <c r="P10" s="13">
        <f t="shared" si="33"/>
        <v>1.492764553183741</v>
      </c>
      <c r="Q10" s="20">
        <f t="shared" si="2"/>
        <v>9.1862724344194735</v>
      </c>
      <c r="R10" s="59">
        <f t="shared" si="0"/>
        <v>274.40849465664172</v>
      </c>
      <c r="S10" s="59">
        <f ca="1">AVERAGE(OFFSET($R$3,0,0,'Données projet'!$E$9+1,1))-AVERAGE(OFFSET($H$3,0,0,'Données projet'!$E$9+1,1))</f>
        <v>328.34986205643321</v>
      </c>
      <c r="T10" s="59">
        <f t="shared" si="34"/>
        <v>251.60894449147008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10.38</v>
      </c>
      <c r="AI10" s="13">
        <f>IF('Données projet'!$A$62&gt;35,AI9+AH10-AQ9,IF(A10&lt;'Données projet'!$A$62,$AF$205^A10,IF(A10='Données projet'!$A$62,'Données projet'!$B$62,AI9+AH10-AQ9)))</f>
        <v>33.56</v>
      </c>
      <c r="AJ10" s="13">
        <f>AI10*VLOOKUP('Données projet'!$B$10,Paramètres!$A$1:$I$89,3,0)*VLOOKUP('Données projet'!$B$10,Paramètres!$A$1:$I$89,5,0)</f>
        <v>17.067273600000004</v>
      </c>
      <c r="AK10" s="13">
        <f t="shared" si="35"/>
        <v>5.6531734198616679</v>
      </c>
      <c r="AL10" s="20">
        <f t="shared" si="4"/>
        <v>39.57144522625908</v>
      </c>
      <c r="AM10" s="59">
        <f t="shared" si="5"/>
        <v>304.7936674484813</v>
      </c>
      <c r="AN10" s="59">
        <f ca="1">AVERAGE(OFFSET($AM$3,0,0,'Données projet'!$E$10+1,1))-AVERAGE(OFFSET($H$3,0,0,'Données projet'!$E$10+1,1))</f>
        <v>141.98581704643658</v>
      </c>
      <c r="AO10" s="59">
        <f t="shared" si="36"/>
        <v>396.03373990407204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7.9599999999999991</v>
      </c>
      <c r="BD10" s="12">
        <f>IF('Données projet'!$A$88&gt;35,BD9+BC10-BL9,IF(A10&lt;'Données projet'!$A$88,$BA$205^A10,IF(A10='Données projet'!$A$88,'Données projet'!$B$88,BD9+BC10-BL9)))</f>
        <v>24.22</v>
      </c>
      <c r="BE10" s="13">
        <f>BD10*VLOOKUP('Données projet'!$B$11,Paramètres!$A$1:$I$89,3,0)*VLOOKUP('Données projet'!$B$11,Paramètres!$A$1:$I$89,5,0)</f>
        <v>13.979783999999999</v>
      </c>
      <c r="BF10" s="13">
        <f t="shared" si="37"/>
        <v>4.7393226087459528</v>
      </c>
      <c r="BG10" s="20">
        <f t="shared" si="7"/>
        <v>32.602444010232531</v>
      </c>
      <c r="BH10" s="59">
        <f t="shared" si="8"/>
        <v>297.82466623245477</v>
      </c>
      <c r="BI10" s="59">
        <f ca="1">AVERAGE(OFFSET($BH$3,0,0,'Données projet'!$E$11+1,1))-AVERAGE(OFFSET($H$3,0,0,'Données projet'!$E$11+1,1))</f>
        <v>122.36861947722917</v>
      </c>
      <c r="BJ10" s="59">
        <f t="shared" si="38"/>
        <v>341.51856651265109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6">
        <f t="shared" si="1"/>
        <v>273.60002985401661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3.65</v>
      </c>
      <c r="N11" s="13">
        <f>IF('Données projet'!$A$36&gt;35,N10+M11-V10,IF(A11&lt;'Données projet'!$A$36,$K$205^A11,IF(A11='Données projet'!$A$36,'Données projet'!$B$36,N10+M11-V10)))</f>
        <v>5.563257268920875</v>
      </c>
      <c r="O11" s="13">
        <f>N11*VLOOKUP('Données projet'!$B$9,Paramètres!$A$1:$I$89,3,0)*VLOOKUP('Données projet'!$B$9,Paramètres!$A$1:$I$89,5,0)</f>
        <v>4.6864879233389463</v>
      </c>
      <c r="P11" s="13">
        <f t="shared" si="33"/>
        <v>1.8043173192324258</v>
      </c>
      <c r="Q11" s="20">
        <f t="shared" si="2"/>
        <v>11.304819130811806</v>
      </c>
      <c r="R11" s="59">
        <f t="shared" si="0"/>
        <v>277.74926357525624</v>
      </c>
      <c r="S11" s="59">
        <f ca="1">AVERAGE(OFFSET($R$3,0,0,'Données projet'!$E$9+1,1))-AVERAGE(OFFSET($H$3,0,0,'Données projet'!$E$9+1,1))</f>
        <v>328.34986205643321</v>
      </c>
      <c r="T11" s="59">
        <f t="shared" si="34"/>
        <v>251.60894449147008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10.38</v>
      </c>
      <c r="AI11" s="13">
        <f>IF('Données projet'!$A$62&gt;35,AI10+AH11-AQ10,IF(A11&lt;'Données projet'!$A$62,$AF$205^A11,IF(A11='Données projet'!$A$62,'Données projet'!$B$62,AI10+AH11-AQ10)))</f>
        <v>43.940000000000005</v>
      </c>
      <c r="AJ11" s="13">
        <f>AI11*VLOOKUP('Données projet'!$B$10,Paramètres!$A$1:$I$89,3,0)*VLOOKUP('Données projet'!$B$10,Paramètres!$A$1:$I$89,5,0)</f>
        <v>22.346126400000006</v>
      </c>
      <c r="AK11" s="13">
        <f t="shared" si="35"/>
        <v>7.1731047649553519</v>
      </c>
      <c r="AL11" s="20">
        <f t="shared" si="4"/>
        <v>51.412660945630584</v>
      </c>
      <c r="AM11" s="59">
        <f t="shared" si="5"/>
        <v>317.85710539007505</v>
      </c>
      <c r="AN11" s="59">
        <f ca="1">AVERAGE(OFFSET($AM$3,0,0,'Données projet'!$E$10+1,1))-AVERAGE(OFFSET($H$3,0,0,'Données projet'!$E$10+1,1))</f>
        <v>141.98581704643658</v>
      </c>
      <c r="AO11" s="59">
        <f t="shared" si="36"/>
        <v>396.03373990407204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7.9599999999999991</v>
      </c>
      <c r="BD11" s="12">
        <f>IF('Données projet'!$A$88&gt;35,BD10+BC11-BL10,IF(A11&lt;'Données projet'!$A$88,$BA$205^A11,IF(A11='Données projet'!$A$88,'Données projet'!$B$88,BD10+BC11-BL10)))</f>
        <v>32.18</v>
      </c>
      <c r="BE11" s="13">
        <f>BD11*VLOOKUP('Données projet'!$B$11,Paramètres!$A$1:$I$89,3,0)*VLOOKUP('Données projet'!$B$11,Paramètres!$A$1:$I$89,5,0)</f>
        <v>18.574296</v>
      </c>
      <c r="BF11" s="13">
        <f t="shared" si="37"/>
        <v>6.0920439538972415</v>
      </c>
      <c r="BG11" s="20">
        <f t="shared" si="7"/>
        <v>42.960542086371028</v>
      </c>
      <c r="BH11" s="59">
        <f t="shared" si="8"/>
        <v>309.40498653081551</v>
      </c>
      <c r="BI11" s="59">
        <f ca="1">AVERAGE(OFFSET($BH$3,0,0,'Données projet'!$E$11+1,1))-AVERAGE(OFFSET($H$3,0,0,'Données projet'!$E$11+1,1))</f>
        <v>122.36861947722917</v>
      </c>
      <c r="BJ11" s="59">
        <f t="shared" si="38"/>
        <v>341.51856651265109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6">
        <f t="shared" si="1"/>
        <v>275.64709565827621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3.65</v>
      </c>
      <c r="N12" s="13">
        <f>IF('Données projet'!$A$36&gt;35,N11+M12-V11,IF(A12&lt;'Données projet'!$A$36,$K$205^A12,IF(A12='Données projet'!$A$36,'Données projet'!$B$36,N11+M12-V11)))</f>
        <v>6.8943811137639424</v>
      </c>
      <c r="O12" s="13">
        <f>N12*VLOOKUP('Données projet'!$B$9,Paramètres!$A$1:$I$89,3,0)*VLOOKUP('Données projet'!$B$9,Paramètres!$A$1:$I$89,5,0)</f>
        <v>5.8078266502347455</v>
      </c>
      <c r="P12" s="13">
        <f t="shared" si="33"/>
        <v>2.1808938198181922</v>
      </c>
      <c r="Q12" s="20">
        <f t="shared" si="2"/>
        <v>13.913688152008866</v>
      </c>
      <c r="R12" s="59">
        <f t="shared" si="0"/>
        <v>281.58035481867557</v>
      </c>
      <c r="S12" s="59">
        <f ca="1">AVERAGE(OFFSET($R$3,0,0,'Données projet'!$E$9+1,1))-AVERAGE(OFFSET($H$3,0,0,'Données projet'!$E$9+1,1))</f>
        <v>328.34986205643321</v>
      </c>
      <c r="T12" s="59">
        <f t="shared" si="34"/>
        <v>251.60894449147008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10.38</v>
      </c>
      <c r="AI12" s="13">
        <f>IF('Données projet'!$A$62&gt;35,AI11+AH12-AQ11,IF(A12&lt;'Données projet'!$A$62,$AF$205^A12,IF(A12='Données projet'!$A$62,'Données projet'!$B$62,AI11+AH12-AQ11)))</f>
        <v>54.320000000000007</v>
      </c>
      <c r="AJ12" s="13">
        <f>AI12*VLOOKUP('Données projet'!$B$10,Paramètres!$A$1:$I$89,3,0)*VLOOKUP('Données projet'!$B$10,Paramètres!$A$1:$I$89,5,0)</f>
        <v>27.624979200000006</v>
      </c>
      <c r="AK12" s="13">
        <f t="shared" si="35"/>
        <v>8.651401678157125</v>
      </c>
      <c r="AL12" s="20">
        <f t="shared" si="4"/>
        <v>63.181363362790329</v>
      </c>
      <c r="AM12" s="59">
        <f t="shared" si="5"/>
        <v>330.84803002945699</v>
      </c>
      <c r="AN12" s="59">
        <f ca="1">AVERAGE(OFFSET($AM$3,0,0,'Données projet'!$E$10+1,1))-AVERAGE(OFFSET($H$3,0,0,'Données projet'!$E$10+1,1))</f>
        <v>141.98581704643658</v>
      </c>
      <c r="AO12" s="59">
        <f t="shared" si="36"/>
        <v>396.03373990407204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7.9599999999999991</v>
      </c>
      <c r="BD12" s="12">
        <f>IF('Données projet'!$A$88&gt;35,BD11+BC12-BL11,IF(A12&lt;'Données projet'!$A$88,$BA$205^A12,IF(A12='Données projet'!$A$88,'Données projet'!$B$88,BD11+BC12-BL11)))</f>
        <v>40.14</v>
      </c>
      <c r="BE12" s="13">
        <f>BD12*VLOOKUP('Données projet'!$B$11,Paramètres!$A$1:$I$89,3,0)*VLOOKUP('Données projet'!$B$11,Paramètres!$A$1:$I$89,5,0)</f>
        <v>23.168808000000002</v>
      </c>
      <c r="BF12" s="13">
        <f t="shared" si="37"/>
        <v>7.4059532434677662</v>
      </c>
      <c r="BG12" s="20">
        <f t="shared" si="7"/>
        <v>53.251042499039698</v>
      </c>
      <c r="BH12" s="59">
        <f t="shared" si="8"/>
        <v>320.91770916570636</v>
      </c>
      <c r="BI12" s="59">
        <f ca="1">AVERAGE(OFFSET($BH$3,0,0,'Données projet'!$E$11+1,1))-AVERAGE(OFFSET($H$3,0,0,'Données projet'!$E$11+1,1))</f>
        <v>122.36861947722917</v>
      </c>
      <c r="BJ12" s="59">
        <f t="shared" si="38"/>
        <v>341.51856651265109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6">
        <f t="shared" si="1"/>
        <v>277.68774337881695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3.65</v>
      </c>
      <c r="N13" s="13">
        <f>IF('Données projet'!$A$36&gt;35,N12+M13-V12,IF(A13&lt;'Données projet'!$A$36,$K$205^A13,IF(A13='Données projet'!$A$36,'Données projet'!$B$36,N12+M13-V12)))</f>
        <v>8.5440037453175322</v>
      </c>
      <c r="O13" s="13">
        <f>N13*VLOOKUP('Données projet'!$B$9,Paramètres!$A$1:$I$89,3,0)*VLOOKUP('Données projet'!$B$9,Paramètres!$A$1:$I$89,5,0)</f>
        <v>7.1974687550554899</v>
      </c>
      <c r="P13" s="13">
        <f t="shared" si="33"/>
        <v>2.6360650660630816</v>
      </c>
      <c r="Q13" s="20">
        <f t="shared" si="2"/>
        <v>17.126738071781514</v>
      </c>
      <c r="R13" s="59">
        <f t="shared" si="0"/>
        <v>286.01562696067037</v>
      </c>
      <c r="S13" s="59">
        <f ca="1">AVERAGE(OFFSET($R$3,0,0,'Données projet'!$E$9+1,1))-AVERAGE(OFFSET($H$3,0,0,'Données projet'!$E$9+1,1))</f>
        <v>328.34986205643321</v>
      </c>
      <c r="T13" s="59">
        <f t="shared" si="34"/>
        <v>251.60894449147008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64.7</v>
      </c>
      <c r="AG13" s="12">
        <f>VLOOKUP(A13,'Données projet'!$A$61:$I$81,9,0)</f>
        <v>10.38</v>
      </c>
      <c r="AH13" s="12">
        <f t="array" ref="AH13">INDEX(AG:AG,MIN(IF(ISNUMBER(AG13:AG209),ROW(AG13:AG209),"")))</f>
        <v>10.38</v>
      </c>
      <c r="AI13" s="13">
        <f>IF('Données projet'!$A$62&gt;35,AI12+AH13-AQ12,IF(A13&lt;'Données projet'!$A$62,$AF$205^A13,IF(A13='Données projet'!$A$62,'Données projet'!$B$62,AI12+AH13-AQ12)))</f>
        <v>64.7</v>
      </c>
      <c r="AJ13" s="13">
        <f>AI13*VLOOKUP('Données projet'!$B$10,Paramètres!$A$1:$I$89,3,0)*VLOOKUP('Données projet'!$B$10,Paramètres!$A$1:$I$89,5,0)</f>
        <v>32.903832000000001</v>
      </c>
      <c r="AK13" s="13">
        <f t="shared" si="35"/>
        <v>10.096969718767737</v>
      </c>
      <c r="AL13" s="20">
        <f t="shared" si="4"/>
        <v>74.893062993520473</v>
      </c>
      <c r="AM13" s="59">
        <f t="shared" si="5"/>
        <v>343.78195188240932</v>
      </c>
      <c r="AN13" s="59">
        <f ca="1">AVERAGE(OFFSET($AM$3,0,0,'Données projet'!$E$10+1,1))-AVERAGE(OFFSET($H$3,0,0,'Données projet'!$E$10+1,1))</f>
        <v>141.98581704643658</v>
      </c>
      <c r="AO13" s="59">
        <f t="shared" si="36"/>
        <v>396.03373990407204</v>
      </c>
      <c r="AP13" s="15">
        <f>IF(ISNA(VLOOKUP(A13,'Données projet'!$A$61:$I$81,3,0)),0,VLOOKUP(A13,'Données projet'!$A$61:$I$81,3,0))</f>
        <v>2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48.1</v>
      </c>
      <c r="BB13" s="12">
        <f>VLOOKUP(A13,'Données projet'!$A$87:$I$107,9,0)</f>
        <v>7.9599999999999991</v>
      </c>
      <c r="BC13" s="12">
        <f t="array" ref="BC13">INDEX(BB:BB,MIN(IF(ISNUMBER(BB13:BB209),ROW(BB13:BB209),"")))</f>
        <v>7.9599999999999991</v>
      </c>
      <c r="BD13" s="12">
        <f>IF('Données projet'!$A$88&gt;35,BD12+BC13-BL12,IF(A13&lt;'Données projet'!$A$88,$BA$205^A13,IF(A13='Données projet'!$A$88,'Données projet'!$B$88,BD12+BC13-BL12)))</f>
        <v>48.1</v>
      </c>
      <c r="BE13" s="13">
        <f>BD13*VLOOKUP('Données projet'!$B$11,Paramètres!$A$1:$I$89,3,0)*VLOOKUP('Données projet'!$B$11,Paramètres!$A$1:$I$89,5,0)</f>
        <v>27.76332</v>
      </c>
      <c r="BF13" s="13">
        <f t="shared" si="37"/>
        <v>8.6896721790495945</v>
      </c>
      <c r="BG13" s="20">
        <f t="shared" si="7"/>
        <v>63.48896137851137</v>
      </c>
      <c r="BH13" s="59">
        <f t="shared" si="8"/>
        <v>332.37785026740022</v>
      </c>
      <c r="BI13" s="59">
        <f ca="1">AVERAGE(OFFSET($BH$3,0,0,'Données projet'!$E$11+1,1))-AVERAGE(OFFSET($H$3,0,0,'Données projet'!$E$11+1,1))</f>
        <v>122.36861947722917</v>
      </c>
      <c r="BJ13" s="59">
        <f t="shared" si="38"/>
        <v>341.51856651265109</v>
      </c>
      <c r="BK13" s="15">
        <f>IF(ISNA(VLOOKUP(A13,'Données projet'!$A$87:$I$107,3,0)),0,VLOOKUP(A13,'Données projet'!$A$87:$I$107,3,0))</f>
        <v>2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6">
        <f t="shared" si="1"/>
        <v>279.72268788563707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3.65</v>
      </c>
      <c r="N14" s="13">
        <f>IF('Données projet'!$A$36&gt;35,N13+M14-V13,IF(A14&lt;'Données projet'!$A$36,$K$205^A14,IF(A14='Données projet'!$A$36,'Données projet'!$B$36,N13+M14-V13)))</f>
        <v>10.588332555950936</v>
      </c>
      <c r="O14" s="13">
        <f>N14*VLOOKUP('Données projet'!$B$9,Paramètres!$A$1:$I$89,3,0)*VLOOKUP('Données projet'!$B$9,Paramètres!$A$1:$I$89,5,0)</f>
        <v>8.9196113451330703</v>
      </c>
      <c r="P14" s="13">
        <f t="shared" si="33"/>
        <v>3.186234455512118</v>
      </c>
      <c r="Q14" s="20">
        <f t="shared" si="2"/>
        <v>21.084348102790369</v>
      </c>
      <c r="R14" s="59">
        <f t="shared" si="0"/>
        <v>291.19545921390153</v>
      </c>
      <c r="S14" s="59">
        <f ca="1">AVERAGE(OFFSET($R$3,0,0,'Données projet'!$E$9+1,1))-AVERAGE(OFFSET($H$3,0,0,'Données projet'!$E$9+1,1))</f>
        <v>328.34986205643321</v>
      </c>
      <c r="T14" s="59">
        <f t="shared" si="34"/>
        <v>251.60894449147008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16.799999999999997</v>
      </c>
      <c r="AI14" s="13">
        <f>IF('Données projet'!$A$62&gt;35,AI13+AH14-AQ13,IF(A14&lt;'Données projet'!$A$62,$AF$205^A14,IF(A14='Données projet'!$A$62,'Données projet'!$B$62,AI13+AH14-AQ13)))</f>
        <v>81.5</v>
      </c>
      <c r="AJ14" s="13">
        <f>AI14*VLOOKUP('Données projet'!$B$10,Paramètres!$A$1:$I$89,3,0)*VLOOKUP('Données projet'!$B$10,Paramètres!$A$1:$I$89,5,0)</f>
        <v>41.447640000000007</v>
      </c>
      <c r="AK14" s="13">
        <f t="shared" si="35"/>
        <v>12.38154654140957</v>
      </c>
      <c r="AL14" s="20">
        <f t="shared" si="4"/>
        <v>93.752499892955015</v>
      </c>
      <c r="AM14" s="59">
        <f t="shared" si="5"/>
        <v>363.86361100406617</v>
      </c>
      <c r="AN14" s="59">
        <f ca="1">AVERAGE(OFFSET($AM$3,0,0,'Données projet'!$E$10+1,1))-AVERAGE(OFFSET($H$3,0,0,'Données projet'!$E$10+1,1))</f>
        <v>141.98581704643658</v>
      </c>
      <c r="AO14" s="59">
        <f t="shared" si="36"/>
        <v>396.03373990407204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13.2</v>
      </c>
      <c r="BD14" s="12">
        <f>IF('Données projet'!$A$88&gt;35,BD13+BC14-BL13,IF(A14&lt;'Données projet'!$A$88,$BA$205^A14,IF(A14='Données projet'!$A$88,'Données projet'!$B$88,BD13+BC14-BL13)))</f>
        <v>61.3</v>
      </c>
      <c r="BE14" s="13">
        <f>BD14*VLOOKUP('Données projet'!$B$11,Paramètres!$A$1:$I$89,3,0)*VLOOKUP('Données projet'!$B$11,Paramètres!$A$1:$I$89,5,0)</f>
        <v>35.382359999999998</v>
      </c>
      <c r="BF14" s="13">
        <f t="shared" si="37"/>
        <v>10.766141380308428</v>
      </c>
      <c r="BG14" s="20">
        <f t="shared" si="7"/>
        <v>80.375306570703842</v>
      </c>
      <c r="BH14" s="59">
        <f t="shared" si="8"/>
        <v>350.486417681815</v>
      </c>
      <c r="BI14" s="59">
        <f ca="1">AVERAGE(OFFSET($BH$3,0,0,'Données projet'!$E$11+1,1))-AVERAGE(OFFSET($H$3,0,0,'Données projet'!$E$11+1,1))</f>
        <v>122.36861947722917</v>
      </c>
      <c r="BJ14" s="59">
        <f t="shared" si="38"/>
        <v>341.51856651265109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6">
        <f t="shared" si="1"/>
        <v>281.75250661735487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3.65</v>
      </c>
      <c r="N15" s="13">
        <f>IF('Données projet'!$A$36&gt;35,N14+M15-V14,IF(A15&lt;'Données projet'!$A$36,$K$205^A15,IF(A15='Données projet'!$A$36,'Données projet'!$B$36,N14+M15-V14)))</f>
        <v>13.121809125710287</v>
      </c>
      <c r="O15" s="13">
        <f>N15*VLOOKUP('Données projet'!$B$9,Paramètres!$A$1:$I$89,3,0)*VLOOKUP('Données projet'!$B$9,Paramètres!$A$1:$I$89,5,0)</f>
        <v>11.053812007498347</v>
      </c>
      <c r="P15" s="13">
        <f t="shared" si="33"/>
        <v>3.8512289154738402</v>
      </c>
      <c r="Q15" s="20">
        <f t="shared" si="2"/>
        <v>25.959612940843225</v>
      </c>
      <c r="R15" s="59">
        <f t="shared" si="0"/>
        <v>297.29294627417653</v>
      </c>
      <c r="S15" s="59">
        <f ca="1">AVERAGE(OFFSET($R$3,0,0,'Données projet'!$E$9+1,1))-AVERAGE(OFFSET($H$3,0,0,'Données projet'!$E$9+1,1))</f>
        <v>328.34986205643321</v>
      </c>
      <c r="T15" s="59">
        <f t="shared" si="34"/>
        <v>251.60894449147008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16.799999999999997</v>
      </c>
      <c r="AI15" s="13">
        <f>IF('Données projet'!$A$62&gt;35,AI14+AH15-AQ14,IF(A15&lt;'Données projet'!$A$62,$AF$205^A15,IF(A15='Données projet'!$A$62,'Données projet'!$B$62,AI14+AH15-AQ14)))</f>
        <v>98.3</v>
      </c>
      <c r="AJ15" s="13">
        <f>AI15*VLOOKUP('Données projet'!$B$10,Paramètres!$A$1:$I$89,3,0)*VLOOKUP('Données projet'!$B$10,Paramètres!$A$1:$I$89,5,0)</f>
        <v>49.991447999999998</v>
      </c>
      <c r="AK15" s="13">
        <f t="shared" si="35"/>
        <v>14.611551050173585</v>
      </c>
      <c r="AL15" s="20">
        <f t="shared" si="4"/>
        <v>112.51689001238564</v>
      </c>
      <c r="AM15" s="59">
        <f t="shared" si="5"/>
        <v>383.85022334571897</v>
      </c>
      <c r="AN15" s="59">
        <f ca="1">AVERAGE(OFFSET($AM$3,0,0,'Données projet'!$E$10+1,1))-AVERAGE(OFFSET($H$3,0,0,'Données projet'!$E$10+1,1))</f>
        <v>141.98581704643658</v>
      </c>
      <c r="AO15" s="59">
        <f t="shared" si="36"/>
        <v>396.03373990407204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13.2</v>
      </c>
      <c r="BD15" s="12">
        <f>IF('Données projet'!$A$88&gt;35,BD14+BC15-BL14,IF(A15&lt;'Données projet'!$A$88,$BA$205^A15,IF(A15='Données projet'!$A$88,'Données projet'!$B$88,BD14+BC15-BL14)))</f>
        <v>74.5</v>
      </c>
      <c r="BE15" s="13">
        <f>BD15*VLOOKUP('Données projet'!$B$11,Paramètres!$A$1:$I$89,3,0)*VLOOKUP('Données projet'!$B$11,Paramètres!$A$1:$I$89,5,0)</f>
        <v>43.001400000000004</v>
      </c>
      <c r="BF15" s="13">
        <f t="shared" si="37"/>
        <v>12.790787562611481</v>
      </c>
      <c r="BG15" s="20">
        <f t="shared" si="7"/>
        <v>97.171393338215012</v>
      </c>
      <c r="BH15" s="59">
        <f t="shared" si="8"/>
        <v>368.50472667154833</v>
      </c>
      <c r="BI15" s="59">
        <f ca="1">AVERAGE(OFFSET($BH$3,0,0,'Données projet'!$E$11+1,1))-AVERAGE(OFFSET($H$3,0,0,'Données projet'!$E$11+1,1))</f>
        <v>122.36861947722917</v>
      </c>
      <c r="BJ15" s="59">
        <f t="shared" si="38"/>
        <v>341.51856651265109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6">
        <f t="shared" si="1"/>
        <v>283.77767528482127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3.65</v>
      </c>
      <c r="N16" s="13">
        <f>IF('Données projet'!$A$36&gt;35,N15+M16-V15,IF(A16&lt;'Données projet'!$A$36,$K$205^A16,IF(A16='Données projet'!$A$36,'Données projet'!$B$36,N15+M16-V15)))</f>
        <v>16.261472127148366</v>
      </c>
      <c r="O16" s="13">
        <f>N16*VLOOKUP('Données projet'!$B$9,Paramètres!$A$1:$I$89,3,0)*VLOOKUP('Données projet'!$B$9,Paramètres!$A$1:$I$89,5,0)</f>
        <v>13.698664119909786</v>
      </c>
      <c r="P16" s="13">
        <f t="shared" si="33"/>
        <v>4.6550134230463893</v>
      </c>
      <c r="Q16" s="20">
        <f t="shared" si="2"/>
        <v>31.965988387315338</v>
      </c>
      <c r="R16" s="59">
        <f t="shared" si="0"/>
        <v>304.52154394287089</v>
      </c>
      <c r="S16" s="59">
        <f ca="1">AVERAGE(OFFSET($R$3,0,0,'Données projet'!$E$9+1,1))-AVERAGE(OFFSET($H$3,0,0,'Données projet'!$E$9+1,1))</f>
        <v>328.34986205643321</v>
      </c>
      <c r="T16" s="59">
        <f t="shared" si="34"/>
        <v>251.60894449147008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16.799999999999997</v>
      </c>
      <c r="AI16" s="13">
        <f>IF('Données projet'!$A$62&gt;35,AI15+AH16-AQ15,IF(A16&lt;'Données projet'!$A$62,$AF$205^A16,IF(A16='Données projet'!$A$62,'Données projet'!$B$62,AI15+AH16-AQ15)))</f>
        <v>115.1</v>
      </c>
      <c r="AJ16" s="13">
        <f>AI16*VLOOKUP('Données projet'!$B$10,Paramètres!$A$1:$I$89,3,0)*VLOOKUP('Données projet'!$B$10,Paramètres!$A$1:$I$89,5,0)</f>
        <v>58.535255999999997</v>
      </c>
      <c r="AK16" s="13">
        <f t="shared" si="35"/>
        <v>16.797404760100708</v>
      </c>
      <c r="AL16" s="20">
        <f t="shared" si="4"/>
        <v>131.20438415717538</v>
      </c>
      <c r="AM16" s="59">
        <f t="shared" si="5"/>
        <v>403.7599397127309</v>
      </c>
      <c r="AN16" s="59">
        <f ca="1">AVERAGE(OFFSET($AM$3,0,0,'Données projet'!$E$10+1,1))-AVERAGE(OFFSET($H$3,0,0,'Données projet'!$E$10+1,1))</f>
        <v>141.98581704643658</v>
      </c>
      <c r="AO16" s="59">
        <f t="shared" si="36"/>
        <v>396.03373990407204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13.2</v>
      </c>
      <c r="BD16" s="12">
        <f>IF('Données projet'!$A$88&gt;35,BD15+BC16-BL15,IF(A16&lt;'Données projet'!$A$88,$BA$205^A16,IF(A16='Données projet'!$A$88,'Données projet'!$B$88,BD15+BC16-BL15)))</f>
        <v>87.7</v>
      </c>
      <c r="BE16" s="13">
        <f>BD16*VLOOKUP('Données projet'!$B$11,Paramètres!$A$1:$I$89,3,0)*VLOOKUP('Données projet'!$B$11,Paramètres!$A$1:$I$89,5,0)</f>
        <v>50.620440000000002</v>
      </c>
      <c r="BF16" s="13">
        <f t="shared" si="37"/>
        <v>14.773875812109175</v>
      </c>
      <c r="BG16" s="20">
        <f t="shared" si="7"/>
        <v>113.89510003942347</v>
      </c>
      <c r="BH16" s="59">
        <f t="shared" si="8"/>
        <v>386.45065559497903</v>
      </c>
      <c r="BI16" s="59">
        <f ca="1">AVERAGE(OFFSET($BH$3,0,0,'Données projet'!$E$11+1,1))-AVERAGE(OFFSET($H$3,0,0,'Données projet'!$E$11+1,1))</f>
        <v>122.36861947722917</v>
      </c>
      <c r="BJ16" s="59">
        <f t="shared" si="38"/>
        <v>341.51856651265109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6">
        <f t="shared" si="1"/>
        <v>285.79859225515048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3.65</v>
      </c>
      <c r="N17" s="13">
        <f>IF('Données projet'!$A$36&gt;35,N16+M17-V16,IF(A17&lt;'Données projet'!$A$36,$K$205^A17,IF(A17='Données projet'!$A$36,'Données projet'!$B$36,N16+M17-V16)))</f>
        <v>20.152364144963837</v>
      </c>
      <c r="O17" s="13">
        <f>N17*VLOOKUP('Données projet'!$B$9,Paramètres!$A$1:$I$89,3,0)*VLOOKUP('Données projet'!$B$9,Paramètres!$A$1:$I$89,5,0)</f>
        <v>16.976351555717539</v>
      </c>
      <c r="P17" s="13">
        <f t="shared" si="33"/>
        <v>5.6265546516016363</v>
      </c>
      <c r="Q17" s="20">
        <f t="shared" si="2"/>
        <v>39.366728311080898</v>
      </c>
      <c r="R17" s="59">
        <f t="shared" si="0"/>
        <v>313.14450608885869</v>
      </c>
      <c r="S17" s="59">
        <f ca="1">AVERAGE(OFFSET($R$3,0,0,'Données projet'!$E$9+1,1))-AVERAGE(OFFSET($H$3,0,0,'Données projet'!$E$9+1,1))</f>
        <v>328.34986205643321</v>
      </c>
      <c r="T17" s="59">
        <f t="shared" si="34"/>
        <v>251.60894449147008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16.799999999999997</v>
      </c>
      <c r="AI17" s="13">
        <f>IF('Données projet'!$A$62&gt;35,AI16+AH17-AQ16,IF(A17&lt;'Données projet'!$A$62,$AF$205^A17,IF(A17='Données projet'!$A$62,'Données projet'!$B$62,AI16+AH17-AQ16)))</f>
        <v>131.89999999999998</v>
      </c>
      <c r="AJ17" s="13">
        <f>AI17*VLOOKUP('Données projet'!$B$10,Paramètres!$A$1:$I$89,3,0)*VLOOKUP('Données projet'!$B$10,Paramètres!$A$1:$I$89,5,0)</f>
        <v>67.079063999999988</v>
      </c>
      <c r="AK17" s="13">
        <f t="shared" si="35"/>
        <v>18.946296640824848</v>
      </c>
      <c r="AL17" s="20">
        <f t="shared" si="4"/>
        <v>149.82750311610323</v>
      </c>
      <c r="AM17" s="59">
        <f t="shared" si="5"/>
        <v>423.605280893881</v>
      </c>
      <c r="AN17" s="59">
        <f ca="1">AVERAGE(OFFSET($AM$3,0,0,'Données projet'!$E$10+1,1))-AVERAGE(OFFSET($H$3,0,0,'Données projet'!$E$10+1,1))</f>
        <v>141.98581704643658</v>
      </c>
      <c r="AO17" s="59">
        <f t="shared" si="36"/>
        <v>396.03373990407204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13.2</v>
      </c>
      <c r="BD17" s="12">
        <f>IF('Données projet'!$A$88&gt;35,BD16+BC17-BL16,IF(A17&lt;'Données projet'!$A$88,$BA$205^A17,IF(A17='Données projet'!$A$88,'Données projet'!$B$88,BD16+BC17-BL16)))</f>
        <v>100.9</v>
      </c>
      <c r="BE17" s="13">
        <f>BD17*VLOOKUP('Données projet'!$B$11,Paramètres!$A$1:$I$89,3,0)*VLOOKUP('Données projet'!$B$11,Paramètres!$A$1:$I$89,5,0)</f>
        <v>58.23948</v>
      </c>
      <c r="BF17" s="13">
        <f t="shared" si="37"/>
        <v>16.722385764719359</v>
      </c>
      <c r="BG17" s="20">
        <f t="shared" si="7"/>
        <v>130.55858287355287</v>
      </c>
      <c r="BH17" s="59">
        <f t="shared" si="8"/>
        <v>404.33636065133066</v>
      </c>
      <c r="BI17" s="59">
        <f ca="1">AVERAGE(OFFSET($BH$3,0,0,'Données projet'!$E$11+1,1))-AVERAGE(OFFSET($H$3,0,0,'Données projet'!$E$11+1,1))</f>
        <v>122.36861947722917</v>
      </c>
      <c r="BJ17" s="59">
        <f t="shared" si="38"/>
        <v>341.51856651265109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6">
        <f t="shared" si="1"/>
        <v>287.81559576110328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3.65</v>
      </c>
      <c r="N18" s="13">
        <f>IF('Données projet'!$A$36&gt;35,N17+M18-V17,IF(A18&lt;'Données projet'!$A$36,$K$205^A18,IF(A18='Données projet'!$A$36,'Données projet'!$B$36,N17+M18-V17)))</f>
        <v>24.974232188561476</v>
      </c>
      <c r="O18" s="13">
        <f>N18*VLOOKUP('Données projet'!$B$9,Paramètres!$A$1:$I$89,3,0)*VLOOKUP('Données projet'!$B$9,Paramètres!$A$1:$I$89,5,0)</f>
        <v>21.03829319564419</v>
      </c>
      <c r="P18" s="13">
        <f t="shared" si="33"/>
        <v>6.8008648676982615</v>
      </c>
      <c r="Q18" s="20">
        <f t="shared" si="2"/>
        <v>48.486533626988098</v>
      </c>
      <c r="R18" s="59">
        <f t="shared" si="0"/>
        <v>323.48653362698809</v>
      </c>
      <c r="S18" s="59">
        <f ca="1">AVERAGE(OFFSET($R$3,0,0,'Données projet'!$E$9+1,1))-AVERAGE(OFFSET($H$3,0,0,'Données projet'!$E$9+1,1))</f>
        <v>328.34986205643321</v>
      </c>
      <c r="T18" s="59">
        <f t="shared" si="34"/>
        <v>251.60894449147008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148.69999999999999</v>
      </c>
      <c r="AG18" s="12">
        <f>VLOOKUP(A18,'Données projet'!$A$61:$I$81,9,0)</f>
        <v>16.799999999999997</v>
      </c>
      <c r="AH18" s="12">
        <f t="array" ref="AH18">INDEX(AG:AG,MIN(IF(ISNUMBER(AG18:AG214),ROW(AG18:AG214),"")))</f>
        <v>16.799999999999997</v>
      </c>
      <c r="AI18" s="13">
        <f>IF('Données projet'!$A$62&gt;35,AI17+AH18-AQ17,IF(A18&lt;'Données projet'!$A$62,$AF$205^A18,IF(A18='Données projet'!$A$62,'Données projet'!$B$62,AI17+AH18-AQ17)))</f>
        <v>148.69999999999999</v>
      </c>
      <c r="AJ18" s="13">
        <f>AI18*VLOOKUP('Données projet'!$B$10,Paramètres!$A$1:$I$89,3,0)*VLOOKUP('Données projet'!$B$10,Paramètres!$A$1:$I$89,5,0)</f>
        <v>75.622872000000001</v>
      </c>
      <c r="AK18" s="13">
        <f t="shared" si="35"/>
        <v>21.063474107201309</v>
      </c>
      <c r="AL18" s="20">
        <f t="shared" si="4"/>
        <v>168.39538613670894</v>
      </c>
      <c r="AM18" s="59">
        <f t="shared" si="5"/>
        <v>443.39538613670891</v>
      </c>
      <c r="AN18" s="59">
        <f ca="1">AVERAGE(OFFSET($AM$3,0,0,'Données projet'!$E$10+1,1))-AVERAGE(OFFSET($H$3,0,0,'Données projet'!$E$10+1,1))</f>
        <v>141.98581704643658</v>
      </c>
      <c r="AO18" s="59">
        <f t="shared" si="36"/>
        <v>396.03373990407204</v>
      </c>
      <c r="AP18" s="15">
        <f>IF(ISNA(VLOOKUP(A18,'Données projet'!$A$61:$I$81,3,0)),0,VLOOKUP(A18,'Données projet'!$A$61:$I$81,3,0))</f>
        <v>3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114.1</v>
      </c>
      <c r="BB18" s="12">
        <f>VLOOKUP(A18,'Données projet'!$A$87:$I$107,9,0)</f>
        <v>13.2</v>
      </c>
      <c r="BC18" s="12">
        <f t="array" ref="BC18">INDEX(BB:BB,MIN(IF(ISNUMBER(BB18:BB214),ROW(BB18:BB214),"")))</f>
        <v>13.2</v>
      </c>
      <c r="BD18" s="12">
        <f>IF('Données projet'!$A$88&gt;35,BD17+BC18-BL17,IF(A18&lt;'Données projet'!$A$88,$BA$205^A18,IF(A18='Données projet'!$A$88,'Données projet'!$B$88,BD17+BC18-BL17)))</f>
        <v>114.10000000000001</v>
      </c>
      <c r="BE18" s="13">
        <f>BD18*VLOOKUP('Données projet'!$B$11,Paramètres!$A$1:$I$89,3,0)*VLOOKUP('Données projet'!$B$11,Paramètres!$A$1:$I$89,5,0)</f>
        <v>65.858520000000013</v>
      </c>
      <c r="BF18" s="13">
        <f t="shared" si="37"/>
        <v>18.641360222564423</v>
      </c>
      <c r="BG18" s="20">
        <f t="shared" si="7"/>
        <v>147.17062472096634</v>
      </c>
      <c r="BH18" s="59">
        <f t="shared" si="8"/>
        <v>422.17062472096632</v>
      </c>
      <c r="BI18" s="59">
        <f ca="1">AVERAGE(OFFSET($BH$3,0,0,'Données projet'!$E$11+1,1))-AVERAGE(OFFSET($H$3,0,0,'Données projet'!$E$11+1,1))</f>
        <v>122.36861947722917</v>
      </c>
      <c r="BJ18" s="59">
        <f t="shared" si="38"/>
        <v>341.51856651265109</v>
      </c>
      <c r="BK18" s="15">
        <f>IF(ISNA(VLOOKUP(A18,'Données projet'!$A$87:$I$107,3,0)),0,VLOOKUP(A18,'Données projet'!$A$87:$I$107,3,0))</f>
        <v>3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6">
        <f t="shared" si="1"/>
        <v>289.82897638635399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3.65</v>
      </c>
      <c r="N19" s="13">
        <f>IF('Données projet'!$A$36&gt;35,N18+M19-V18,IF(A19&lt;'Données projet'!$A$36,$K$205^A19,IF(A19='Données projet'!$A$36,'Données projet'!$B$36,N18+M19-V18)))</f>
        <v>30.949831440200953</v>
      </c>
      <c r="O19" s="13">
        <f>N19*VLOOKUP('Données projet'!$B$9,Paramètres!$A$1:$I$89,3,0)*VLOOKUP('Données projet'!$B$9,Paramètres!$A$1:$I$89,5,0)</f>
        <v>26.072138005225284</v>
      </c>
      <c r="P19" s="13">
        <f t="shared" si="33"/>
        <v>8.2202636982343371</v>
      </c>
      <c r="Q19" s="20">
        <f t="shared" si="2"/>
        <v>59.725932966858835</v>
      </c>
      <c r="R19" s="59">
        <f t="shared" si="0"/>
        <v>335.94815518908104</v>
      </c>
      <c r="S19" s="59">
        <f ca="1">AVERAGE(OFFSET($R$3,0,0,'Données projet'!$E$9+1,1))-AVERAGE(OFFSET($H$3,0,0,'Données projet'!$E$9+1,1))</f>
        <v>328.34986205643321</v>
      </c>
      <c r="T19" s="59">
        <f t="shared" si="34"/>
        <v>251.60894449147008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21.54</v>
      </c>
      <c r="AI19" s="13">
        <f>IF('Données projet'!$A$62&gt;35,AI18+AH19-AQ18,IF(A19&lt;'Données projet'!$A$62,$AF$205^A19,IF(A19='Données projet'!$A$62,'Données projet'!$B$62,AI18+AH19-AQ18)))</f>
        <v>170.23999999999998</v>
      </c>
      <c r="AJ19" s="13">
        <f>AI19*VLOOKUP('Données projet'!$B$10,Paramètres!$A$1:$I$89,3,0)*VLOOKUP('Données projet'!$B$10,Paramètres!$A$1:$I$89,5,0)</f>
        <v>86.577254400000001</v>
      </c>
      <c r="AK19" s="13">
        <f t="shared" si="35"/>
        <v>23.737887678134843</v>
      </c>
      <c r="AL19" s="20">
        <f t="shared" si="4"/>
        <v>192.13220578608482</v>
      </c>
      <c r="AM19" s="59">
        <f t="shared" si="5"/>
        <v>468.35442800830708</v>
      </c>
      <c r="AN19" s="59">
        <f ca="1">AVERAGE(OFFSET($AM$3,0,0,'Données projet'!$E$10+1,1))-AVERAGE(OFFSET($H$3,0,0,'Données projet'!$E$10+1,1))</f>
        <v>141.98581704643658</v>
      </c>
      <c r="AO19" s="59">
        <f t="shared" si="36"/>
        <v>396.03373990407204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16.919999999999998</v>
      </c>
      <c r="BD19" s="12">
        <f>IF('Données projet'!$A$88&gt;35,BD18+BC19-BL18,IF(A19&lt;'Données projet'!$A$88,$BA$205^A19,IF(A19='Données projet'!$A$88,'Données projet'!$B$88,BD18+BC19-BL18)))</f>
        <v>131.02000000000001</v>
      </c>
      <c r="BE19" s="13">
        <f>BD19*VLOOKUP('Données projet'!$B$11,Paramètres!$A$1:$I$89,3,0)*VLOOKUP('Données projet'!$B$11,Paramètres!$A$1:$I$89,5,0)</f>
        <v>75.624744000000007</v>
      </c>
      <c r="BF19" s="13">
        <f t="shared" si="37"/>
        <v>21.063934827940329</v>
      </c>
      <c r="BG19" s="20">
        <f t="shared" si="7"/>
        <v>168.39944895866276</v>
      </c>
      <c r="BH19" s="59">
        <f t="shared" si="8"/>
        <v>444.62167118088496</v>
      </c>
      <c r="BI19" s="59">
        <f ca="1">AVERAGE(OFFSET($BH$3,0,0,'Données projet'!$E$11+1,1))-AVERAGE(OFFSET($H$3,0,0,'Données projet'!$E$11+1,1))</f>
        <v>122.36861947722917</v>
      </c>
      <c r="BJ19" s="59">
        <f t="shared" si="38"/>
        <v>341.51856651265109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6">
        <f t="shared" si="1"/>
        <v>291.83898633863726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3.65</v>
      </c>
      <c r="N20" s="13">
        <f>IF('Données projet'!$A$36&gt;35,N19+M20-V19,IF(A20&lt;'Données projet'!$A$36,$K$205^A20,IF(A20='Données projet'!$A$36,'Données projet'!$B$36,N19+M20-V19)))</f>
        <v>38.355215845858055</v>
      </c>
      <c r="O20" s="13">
        <f>N20*VLOOKUP('Données projet'!$B$9,Paramètres!$A$1:$I$89,3,0)*VLOOKUP('Données projet'!$B$9,Paramètres!$A$1:$I$89,5,0)</f>
        <v>32.310433828550828</v>
      </c>
      <c r="P20" s="13">
        <f t="shared" si="33"/>
        <v>9.9359032392271498</v>
      </c>
      <c r="Q20" s="20">
        <f t="shared" si="2"/>
        <v>73.579037059713301</v>
      </c>
      <c r="R20" s="59">
        <f t="shared" si="0"/>
        <v>351.02348150415776</v>
      </c>
      <c r="S20" s="59">
        <f ca="1">AVERAGE(OFFSET($R$3,0,0,'Données projet'!$E$9+1,1))-AVERAGE(OFFSET($H$3,0,0,'Données projet'!$E$9+1,1))</f>
        <v>328.34986205643321</v>
      </c>
      <c r="T20" s="59">
        <f t="shared" si="34"/>
        <v>251.60894449147008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21.54</v>
      </c>
      <c r="AI20" s="13">
        <f>IF('Données projet'!$A$62&gt;35,AI19+AH20-AQ19,IF(A20&lt;'Données projet'!$A$62,$AF$205^A20,IF(A20='Données projet'!$A$62,'Données projet'!$B$62,AI19+AH20-AQ19)))</f>
        <v>191.77999999999997</v>
      </c>
      <c r="AJ20" s="13">
        <f>AI20*VLOOKUP('Données projet'!$B$10,Paramètres!$A$1:$I$89,3,0)*VLOOKUP('Données projet'!$B$10,Paramètres!$A$1:$I$89,5,0)</f>
        <v>97.531636799999987</v>
      </c>
      <c r="AK20" s="13">
        <f t="shared" si="35"/>
        <v>26.373091400778378</v>
      </c>
      <c r="AL20" s="20">
        <f t="shared" si="4"/>
        <v>215.80073494968897</v>
      </c>
      <c r="AM20" s="59">
        <f t="shared" si="5"/>
        <v>493.2451793941334</v>
      </c>
      <c r="AN20" s="59">
        <f ca="1">AVERAGE(OFFSET($AM$3,0,0,'Données projet'!$E$10+1,1))-AVERAGE(OFFSET($H$3,0,0,'Données projet'!$E$10+1,1))</f>
        <v>141.98581704643658</v>
      </c>
      <c r="AO20" s="59">
        <f t="shared" si="36"/>
        <v>396.03373990407204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16.919999999999998</v>
      </c>
      <c r="BD20" s="12">
        <f>IF('Données projet'!$A$88&gt;35,BD19+BC20-BL19,IF(A20&lt;'Données projet'!$A$88,$BA$205^A20,IF(A20='Données projet'!$A$88,'Données projet'!$B$88,BD19+BC20-BL19)))</f>
        <v>147.94</v>
      </c>
      <c r="BE20" s="13">
        <f>BD20*VLOOKUP('Données projet'!$B$11,Paramètres!$A$1:$I$89,3,0)*VLOOKUP('Données projet'!$B$11,Paramètres!$A$1:$I$89,5,0)</f>
        <v>85.390968000000001</v>
      </c>
      <c r="BF20" s="13">
        <f t="shared" si="37"/>
        <v>23.450259459233191</v>
      </c>
      <c r="BG20" s="20">
        <f t="shared" si="7"/>
        <v>189.56513782483114</v>
      </c>
      <c r="BH20" s="59">
        <f t="shared" si="8"/>
        <v>467.0095822692756</v>
      </c>
      <c r="BI20" s="59">
        <f ca="1">AVERAGE(OFFSET($BH$3,0,0,'Données projet'!$E$11+1,1))-AVERAGE(OFFSET($H$3,0,0,'Données projet'!$E$11+1,1))</f>
        <v>122.36861947722917</v>
      </c>
      <c r="BJ20" s="59">
        <f t="shared" si="38"/>
        <v>341.51856651265109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6">
        <f t="shared" si="1"/>
        <v>293.8458464780249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3.65</v>
      </c>
      <c r="N21" s="13">
        <f>IF('Données projet'!$A$36&gt;35,N20+M21-V20,IF(A21&lt;'Données projet'!$A$36,$K$205^A21,IF(A21='Données projet'!$A$36,'Données projet'!$B$36,N20+M21-V20)))</f>
        <v>47.532490941824946</v>
      </c>
      <c r="O21" s="13">
        <f>N21*VLOOKUP('Données projet'!$B$9,Paramètres!$A$1:$I$89,3,0)*VLOOKUP('Données projet'!$B$9,Paramètres!$A$1:$I$89,5,0)</f>
        <v>40.041370369393334</v>
      </c>
      <c r="P21" s="13">
        <f t="shared" si="33"/>
        <v>12.009611467876571</v>
      </c>
      <c r="Q21" s="20">
        <f t="shared" si="2"/>
        <v>90.655460033245092</v>
      </c>
      <c r="R21" s="59">
        <f t="shared" si="0"/>
        <v>369.32212669991179</v>
      </c>
      <c r="S21" s="59">
        <f ca="1">AVERAGE(OFFSET($R$3,0,0,'Données projet'!$E$9+1,1))-AVERAGE(OFFSET($H$3,0,0,'Données projet'!$E$9+1,1))</f>
        <v>328.34986205643321</v>
      </c>
      <c r="T21" s="59">
        <f t="shared" si="34"/>
        <v>251.60894449147008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21.54</v>
      </c>
      <c r="AI21" s="13">
        <f>IF('Données projet'!$A$62&gt;35,AI20+AH21-AQ20,IF(A21&lt;'Données projet'!$A$62,$AF$205^A21,IF(A21='Données projet'!$A$62,'Données projet'!$B$62,AI20+AH21-AQ20)))</f>
        <v>213.31999999999996</v>
      </c>
      <c r="AJ21" s="13">
        <f>AI21*VLOOKUP('Données projet'!$B$10,Paramètres!$A$1:$I$89,3,0)*VLOOKUP('Données projet'!$B$10,Paramètres!$A$1:$I$89,5,0)</f>
        <v>108.48601919999999</v>
      </c>
      <c r="AK21" s="13">
        <f t="shared" si="35"/>
        <v>28.973991680039152</v>
      </c>
      <c r="AL21" s="20">
        <f t="shared" si="4"/>
        <v>239.40951894940147</v>
      </c>
      <c r="AM21" s="59">
        <f t="shared" si="5"/>
        <v>518.07618561606819</v>
      </c>
      <c r="AN21" s="59">
        <f ca="1">AVERAGE(OFFSET($AM$3,0,0,'Données projet'!$E$10+1,1))-AVERAGE(OFFSET($H$3,0,0,'Données projet'!$E$10+1,1))</f>
        <v>141.98581704643658</v>
      </c>
      <c r="AO21" s="59">
        <f t="shared" si="36"/>
        <v>396.03373990407204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16.919999999999998</v>
      </c>
      <c r="BD21" s="12">
        <f>IF('Données projet'!$A$88&gt;35,BD20+BC21-BL20,IF(A21&lt;'Données projet'!$A$88,$BA$205^A21,IF(A21='Données projet'!$A$88,'Données projet'!$B$88,BD20+BC21-BL20)))</f>
        <v>164.85999999999999</v>
      </c>
      <c r="BE21" s="13">
        <f>BD21*VLOOKUP('Données projet'!$B$11,Paramètres!$A$1:$I$89,3,0)*VLOOKUP('Données projet'!$B$11,Paramètres!$A$1:$I$89,5,0)</f>
        <v>95.157191999999995</v>
      </c>
      <c r="BF21" s="13">
        <f t="shared" si="37"/>
        <v>25.80495336065648</v>
      </c>
      <c r="BG21" s="20">
        <f t="shared" si="7"/>
        <v>210.67573650314338</v>
      </c>
      <c r="BH21" s="59">
        <f t="shared" si="8"/>
        <v>489.34240316981004</v>
      </c>
      <c r="BI21" s="59">
        <f ca="1">AVERAGE(OFFSET($BH$3,0,0,'Données projet'!$E$11+1,1))-AVERAGE(OFFSET($H$3,0,0,'Données projet'!$E$11+1,1))</f>
        <v>122.36861947722917</v>
      </c>
      <c r="BJ21" s="59">
        <f t="shared" si="38"/>
        <v>341.51856651265109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6">
        <f t="shared" si="1"/>
        <v>295.84975173858709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3.65</v>
      </c>
      <c r="N22" s="13">
        <f>IF('Données projet'!$A$36&gt;35,N21+M22-V21,IF(A22&lt;'Données projet'!$A$36,$K$205^A22,IF(A22='Données projet'!$A$36,'Données projet'!$B$36,N21+M22-V21)))</f>
        <v>58.90561805764559</v>
      </c>
      <c r="O22" s="13">
        <f>N22*VLOOKUP('Données projet'!$B$9,Paramètres!$A$1:$I$89,3,0)*VLOOKUP('Données projet'!$B$9,Paramètres!$A$1:$I$89,5,0)</f>
        <v>49.622092651760646</v>
      </c>
      <c r="P22" s="13">
        <f t="shared" si="33"/>
        <v>14.516120390537463</v>
      </c>
      <c r="Q22" s="20">
        <f t="shared" si="2"/>
        <v>111.70738771533587</v>
      </c>
      <c r="R22" s="59">
        <f t="shared" si="0"/>
        <v>391.59627660422473</v>
      </c>
      <c r="S22" s="59">
        <f ca="1">AVERAGE(OFFSET($R$3,0,0,'Données projet'!$E$9+1,1))-AVERAGE(OFFSET($H$3,0,0,'Données projet'!$E$9+1,1))</f>
        <v>328.34986205643321</v>
      </c>
      <c r="T22" s="59">
        <f t="shared" si="34"/>
        <v>251.60894449147008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21.54</v>
      </c>
      <c r="AI22" s="13">
        <f>IF('Données projet'!$A$62&gt;35,AI21+AH22-AQ21,IF(A22&lt;'Données projet'!$A$62,$AF$205^A22,IF(A22='Données projet'!$A$62,'Données projet'!$B$62,AI21+AH22-AQ21)))</f>
        <v>234.85999999999996</v>
      </c>
      <c r="AJ22" s="13">
        <f>AI22*VLOOKUP('Données projet'!$B$10,Paramètres!$A$1:$I$89,3,0)*VLOOKUP('Données projet'!$B$10,Paramètres!$A$1:$I$89,5,0)</f>
        <v>119.44040159999999</v>
      </c>
      <c r="AK22" s="13">
        <f t="shared" si="35"/>
        <v>31.544446672314749</v>
      </c>
      <c r="AL22" s="20">
        <f t="shared" si="4"/>
        <v>262.96527740761485</v>
      </c>
      <c r="AM22" s="59">
        <f t="shared" si="5"/>
        <v>542.85416629650376</v>
      </c>
      <c r="AN22" s="59">
        <f ca="1">AVERAGE(OFFSET($AM$3,0,0,'Données projet'!$E$10+1,1))-AVERAGE(OFFSET($H$3,0,0,'Données projet'!$E$10+1,1))</f>
        <v>141.98581704643658</v>
      </c>
      <c r="AO22" s="59">
        <f t="shared" si="36"/>
        <v>396.03373990407204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16.919999999999998</v>
      </c>
      <c r="BD22" s="12">
        <f>IF('Données projet'!$A$88&gt;35,BD21+BC22-BL21,IF(A22&lt;'Données projet'!$A$88,$BA$205^A22,IF(A22='Données projet'!$A$88,'Données projet'!$B$88,BD21+BC22-BL21)))</f>
        <v>181.77999999999997</v>
      </c>
      <c r="BE22" s="13">
        <f>BD22*VLOOKUP('Données projet'!$B$11,Paramètres!$A$1:$I$89,3,0)*VLOOKUP('Données projet'!$B$11,Paramètres!$A$1:$I$89,5,0)</f>
        <v>104.92341599999999</v>
      </c>
      <c r="BF22" s="13">
        <f t="shared" si="37"/>
        <v>28.131632576391215</v>
      </c>
      <c r="BG22" s="20">
        <f t="shared" si="7"/>
        <v>231.7375429372147</v>
      </c>
      <c r="BH22" s="59">
        <f t="shared" si="8"/>
        <v>511.62643182610356</v>
      </c>
      <c r="BI22" s="59">
        <f ca="1">AVERAGE(OFFSET($BH$3,0,0,'Données projet'!$E$11+1,1))-AVERAGE(OFFSET($H$3,0,0,'Données projet'!$E$11+1,1))</f>
        <v>122.36861947722917</v>
      </c>
      <c r="BJ22" s="59">
        <f t="shared" si="38"/>
        <v>341.51856651265109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6">
        <f t="shared" si="1"/>
        <v>297.85087537608922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73</v>
      </c>
      <c r="L23" s="12">
        <f>VLOOKUP(A23,'Données projet'!$A$35:$I$55,9,0)</f>
        <v>3.65</v>
      </c>
      <c r="M23" s="12">
        <f t="array" ref="M23">INDEX(L:L,MIN(IF(ISNUMBER(L23:L219),ROW(L23:L219),"")))</f>
        <v>3.65</v>
      </c>
      <c r="N23" s="13">
        <f>IF('Données projet'!$A$36&gt;35,N22+M23-V22,IF(A23&lt;'Données projet'!$A$36,$K$205^A23,IF(A23='Données projet'!$A$36,'Données projet'!$B$36,N22+M23-V22)))</f>
        <v>73</v>
      </c>
      <c r="O23" s="13">
        <f>N23*VLOOKUP('Données projet'!$B$9,Paramètres!$A$1:$I$89,3,0)*VLOOKUP('Données projet'!$B$9,Paramètres!$A$1:$I$89,5,0)</f>
        <v>61.495200000000004</v>
      </c>
      <c r="P23" s="13">
        <f t="shared" si="33"/>
        <v>17.545759224285259</v>
      </c>
      <c r="Q23" s="20">
        <f t="shared" si="2"/>
        <v>137.66300398229683</v>
      </c>
      <c r="R23" s="59">
        <f t="shared" si="0"/>
        <v>418.774115093408</v>
      </c>
      <c r="S23" s="59">
        <f ca="1">AVERAGE(OFFSET($R$3,0,0,'Données projet'!$E$9+1,1))-AVERAGE(OFFSET($H$3,0,0,'Données projet'!$E$9+1,1))</f>
        <v>328.34986205643321</v>
      </c>
      <c r="T23" s="59">
        <f t="shared" si="34"/>
        <v>251.60894449147008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6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256.39999999999998</v>
      </c>
      <c r="AG23" s="12">
        <f>VLOOKUP(A23,'Données projet'!$A$61:$I$81,9,0)</f>
        <v>21.54</v>
      </c>
      <c r="AH23" s="12">
        <f t="array" ref="AH23">INDEX(AG:AG,MIN(IF(ISNUMBER(AG23:AG219),ROW(AG23:AG219),"")))</f>
        <v>21.54</v>
      </c>
      <c r="AI23" s="13">
        <f>IF('Données projet'!$A$62&gt;35,AI22+AH23-AQ22,IF(A23&lt;'Données projet'!$A$62,$AF$205^A23,IF(A23='Données projet'!$A$62,'Données projet'!$B$62,AI22+AH23-AQ22)))</f>
        <v>256.39999999999998</v>
      </c>
      <c r="AJ23" s="13">
        <f>AI23*VLOOKUP('Données projet'!$B$10,Paramètres!$A$1:$I$89,3,0)*VLOOKUP('Données projet'!$B$10,Paramètres!$A$1:$I$89,5,0)</f>
        <v>130.39478399999999</v>
      </c>
      <c r="AK23" s="13">
        <f t="shared" si="35"/>
        <v>34.087566218885414</v>
      </c>
      <c r="AL23" s="20">
        <f t="shared" si="4"/>
        <v>286.47342663122544</v>
      </c>
      <c r="AM23" s="59">
        <f t="shared" si="5"/>
        <v>567.58453774233658</v>
      </c>
      <c r="AN23" s="59">
        <f ca="1">AVERAGE(OFFSET($AM$3,0,0,'Données projet'!$E$10+1,1))-AVERAGE(OFFSET($H$3,0,0,'Données projet'!$E$10+1,1))</f>
        <v>141.98581704643658</v>
      </c>
      <c r="AO23" s="59">
        <f t="shared" si="36"/>
        <v>396.03373990407204</v>
      </c>
      <c r="AP23" s="15">
        <f>IF(ISNA(VLOOKUP(A23,'Données projet'!$A$61:$I$81,3,0)),0,VLOOKUP(A23,'Données projet'!$A$61:$I$81,3,0))</f>
        <v>4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198.7</v>
      </c>
      <c r="BB23" s="12">
        <f>VLOOKUP(A23,'Données projet'!$A$87:$I$107,9,0)</f>
        <v>16.919999999999998</v>
      </c>
      <c r="BC23" s="12">
        <f t="array" ref="BC23">INDEX(BB:BB,MIN(IF(ISNUMBER(BB23:BB219),ROW(BB23:BB219),"")))</f>
        <v>16.919999999999998</v>
      </c>
      <c r="BD23" s="12">
        <f>IF('Données projet'!$A$88&gt;35,BD22+BC23-BL22,IF(A23&lt;'Données projet'!$A$88,$BA$205^A23,IF(A23='Données projet'!$A$88,'Données projet'!$B$88,BD22+BC23-BL22)))</f>
        <v>198.69999999999996</v>
      </c>
      <c r="BE23" s="13">
        <f>BD23*VLOOKUP('Données projet'!$B$11,Paramètres!$A$1:$I$89,3,0)*VLOOKUP('Données projet'!$B$11,Paramètres!$A$1:$I$89,5,0)</f>
        <v>114.68964</v>
      </c>
      <c r="BF23" s="13">
        <f t="shared" si="37"/>
        <v>30.433201306406346</v>
      </c>
      <c r="BG23" s="20">
        <f t="shared" si="7"/>
        <v>252.7556152753244</v>
      </c>
      <c r="BH23" s="59">
        <f t="shared" si="8"/>
        <v>533.86672638643552</v>
      </c>
      <c r="BI23" s="59">
        <f ca="1">AVERAGE(OFFSET($BH$3,0,0,'Données projet'!$E$11+1,1))-AVERAGE(OFFSET($H$3,0,0,'Données projet'!$E$11+1,1))</f>
        <v>122.36861947722917</v>
      </c>
      <c r="BJ23" s="59">
        <f t="shared" si="38"/>
        <v>341.51856651265109</v>
      </c>
      <c r="BK23" s="15">
        <f>IF(ISNA(VLOOKUP(A23,'Données projet'!$A$87:$I$107,3,0)),0,VLOOKUP(A23,'Données projet'!$A$87:$I$107,3,0))</f>
        <v>4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6">
        <f t="shared" si="1"/>
        <v>299.84937234200714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8.1999999999999993</v>
      </c>
      <c r="N24" s="13">
        <f>IF('Données projet'!$A$36&gt;35,N23+M24-V23,IF(A24&lt;'Données projet'!$A$36,$K$205^A24,IF(A24='Données projet'!$A$36,'Données projet'!$B$36,N23+M24-V23)))</f>
        <v>75.2</v>
      </c>
      <c r="O24" s="13">
        <f>N24*VLOOKUP('Données projet'!$B$9,Paramètres!$A$1:$I$89,3,0)*VLOOKUP('Données projet'!$B$9,Paramètres!$A$1:$I$89,5,0)</f>
        <v>63.348480000000009</v>
      </c>
      <c r="P24" s="13">
        <f t="shared" si="33"/>
        <v>18.012175511673341</v>
      </c>
      <c r="Q24" s="20">
        <f t="shared" si="2"/>
        <v>141.70314168283105</v>
      </c>
      <c r="R24" s="59">
        <f t="shared" si="0"/>
        <v>424.03647501616433</v>
      </c>
      <c r="S24" s="59">
        <f ca="1">AVERAGE(OFFSET($R$3,0,0,'Données projet'!$E$9+1,1))-AVERAGE(OFFSET($H$3,0,0,'Données projet'!$E$9+1,1))</f>
        <v>328.34986205643321</v>
      </c>
      <c r="T24" s="59">
        <f t="shared" si="34"/>
        <v>251.60894449147008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23.980000000000008</v>
      </c>
      <c r="AI24" s="13">
        <f>IF('Données projet'!$A$62&gt;35,AI23+AH24-AQ23,IF(A24&lt;'Données projet'!$A$62,$AF$205^A24,IF(A24='Données projet'!$A$62,'Données projet'!$B$62,AI23+AH24-AQ23)))</f>
        <v>280.38</v>
      </c>
      <c r="AJ24" s="13">
        <f>AI24*VLOOKUP('Données projet'!$B$10,Paramètres!$A$1:$I$89,3,0)*VLOOKUP('Données projet'!$B$10,Paramètres!$A$1:$I$89,5,0)</f>
        <v>142.5900528</v>
      </c>
      <c r="AK24" s="13">
        <f t="shared" si="35"/>
        <v>36.889715709268252</v>
      </c>
      <c r="AL24" s="20">
        <f t="shared" si="4"/>
        <v>312.59393015364213</v>
      </c>
      <c r="AM24" s="59">
        <f t="shared" si="5"/>
        <v>594.92726348697545</v>
      </c>
      <c r="AN24" s="59">
        <f ca="1">AVERAGE(OFFSET($AM$3,0,0,'Données projet'!$E$10+1,1))-AVERAGE(OFFSET($H$3,0,0,'Données projet'!$E$10+1,1))</f>
        <v>141.98581704643658</v>
      </c>
      <c r="AO24" s="59">
        <f t="shared" si="36"/>
        <v>396.03373990407204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17.7</v>
      </c>
      <c r="BD24" s="12">
        <f>IF('Données projet'!$A$88&gt;35,BD23+BC24-BL23,IF(A24&lt;'Données projet'!$A$88,$BA$205^A24,IF(A24='Données projet'!$A$88,'Données projet'!$B$88,BD23+BC24-BL23)))</f>
        <v>216.39999999999995</v>
      </c>
      <c r="BE24" s="13">
        <f>BD24*VLOOKUP('Données projet'!$B$11,Paramètres!$A$1:$I$89,3,0)*VLOOKUP('Données projet'!$B$11,Paramètres!$A$1:$I$89,5,0)</f>
        <v>124.90607999999997</v>
      </c>
      <c r="BF24" s="13">
        <f t="shared" si="37"/>
        <v>32.816579723214055</v>
      </c>
      <c r="BG24" s="20">
        <f t="shared" si="7"/>
        <v>274.70029901793112</v>
      </c>
      <c r="BH24" s="59">
        <f t="shared" si="8"/>
        <v>557.03363235126449</v>
      </c>
      <c r="BI24" s="59">
        <f ca="1">AVERAGE(OFFSET($BH$3,0,0,'Données projet'!$E$11+1,1))-AVERAGE(OFFSET($H$3,0,0,'Données projet'!$E$11+1,1))</f>
        <v>122.36861947722917</v>
      </c>
      <c r="BJ24" s="59">
        <f t="shared" si="38"/>
        <v>341.51856651265109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6">
        <f t="shared" si="1"/>
        <v>301.84538199666349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8.1999999999999993</v>
      </c>
      <c r="N25" s="13">
        <f>IF('Données projet'!$A$36&gt;35,N24+M25-V24,IF(A25&lt;'Données projet'!$A$36,$K$205^A25,IF(A25='Données projet'!$A$36,'Données projet'!$B$36,N24+M25-V24)))</f>
        <v>83.4</v>
      </c>
      <c r="O25" s="13">
        <f>N25*VLOOKUP('Données projet'!$B$9,Paramètres!$A$1:$I$89,3,0)*VLOOKUP('Données projet'!$B$9,Paramètres!$A$1:$I$89,5,0)</f>
        <v>70.256160000000023</v>
      </c>
      <c r="P25" s="13">
        <f t="shared" si="33"/>
        <v>19.737057597671299</v>
      </c>
      <c r="Q25" s="20">
        <f t="shared" si="2"/>
        <v>156.7381873159442</v>
      </c>
      <c r="R25" s="59">
        <f t="shared" si="0"/>
        <v>440.29374287149972</v>
      </c>
      <c r="S25" s="59">
        <f ca="1">AVERAGE(OFFSET($R$3,0,0,'Données projet'!$E$9+1,1))-AVERAGE(OFFSET($H$3,0,0,'Données projet'!$E$9+1,1))</f>
        <v>328.34986205643321</v>
      </c>
      <c r="T25" s="59">
        <f t="shared" si="34"/>
        <v>251.60894449147008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23.980000000000008</v>
      </c>
      <c r="AI25" s="13">
        <f>IF('Données projet'!$A$62&gt;35,AI24+AH25-AQ24,IF(A25&lt;'Données projet'!$A$62,$AF$205^A25,IF(A25='Données projet'!$A$62,'Données projet'!$B$62,AI24+AH25-AQ24)))</f>
        <v>304.36</v>
      </c>
      <c r="AJ25" s="13">
        <f>AI25*VLOOKUP('Données projet'!$B$10,Paramètres!$A$1:$I$89,3,0)*VLOOKUP('Données projet'!$B$10,Paramètres!$A$1:$I$89,5,0)</f>
        <v>154.7853216</v>
      </c>
      <c r="AK25" s="13">
        <f t="shared" si="35"/>
        <v>39.664071567914775</v>
      </c>
      <c r="AL25" s="20">
        <f t="shared" si="4"/>
        <v>338.66602643411824</v>
      </c>
      <c r="AM25" s="59">
        <f t="shared" si="5"/>
        <v>622.22158198967372</v>
      </c>
      <c r="AN25" s="59">
        <f ca="1">AVERAGE(OFFSET($AM$3,0,0,'Données projet'!$E$10+1,1))-AVERAGE(OFFSET($H$3,0,0,'Données projet'!$E$10+1,1))</f>
        <v>141.98581704643658</v>
      </c>
      <c r="AO25" s="59">
        <f t="shared" si="36"/>
        <v>396.03373990407204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17.7</v>
      </c>
      <c r="BD25" s="12">
        <f>IF('Données projet'!$A$88&gt;35,BD24+BC25-BL24,IF(A25&lt;'Données projet'!$A$88,$BA$205^A25,IF(A25='Données projet'!$A$88,'Données projet'!$B$88,BD24+BC25-BL24)))</f>
        <v>234.09999999999994</v>
      </c>
      <c r="BE25" s="13">
        <f>BD25*VLOOKUP('Données projet'!$B$11,Paramètres!$A$1:$I$89,3,0)*VLOOKUP('Données projet'!$B$11,Paramètres!$A$1:$I$89,5,0)</f>
        <v>135.12251999999998</v>
      </c>
      <c r="BF25" s="13">
        <f t="shared" si="37"/>
        <v>35.177347786060146</v>
      </c>
      <c r="BG25" s="20">
        <f t="shared" si="7"/>
        <v>296.60560306072142</v>
      </c>
      <c r="BH25" s="59">
        <f t="shared" si="8"/>
        <v>580.16115861627691</v>
      </c>
      <c r="BI25" s="59">
        <f ca="1">AVERAGE(OFFSET($BH$3,0,0,'Données projet'!$E$11+1,1))-AVERAGE(OFFSET($H$3,0,0,'Données projet'!$E$11+1,1))</f>
        <v>122.36861947722917</v>
      </c>
      <c r="BJ25" s="59">
        <f t="shared" si="38"/>
        <v>341.51856651265109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6">
        <f t="shared" si="1"/>
        <v>303.83903031512267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8.1999999999999993</v>
      </c>
      <c r="N26" s="13">
        <f>IF('Données projet'!$A$36&gt;35,N25+M26-V25,IF(A26&lt;'Données projet'!$A$36,$K$205^A26,IF(A26='Données projet'!$A$36,'Données projet'!$B$36,N25+M26-V25)))</f>
        <v>91.600000000000009</v>
      </c>
      <c r="O26" s="13">
        <f>N26*VLOOKUP('Données projet'!$B$9,Paramètres!$A$1:$I$89,3,0)*VLOOKUP('Données projet'!$B$9,Paramètres!$A$1:$I$89,5,0)</f>
        <v>77.163840000000008</v>
      </c>
      <c r="P26" s="13">
        <f t="shared" si="33"/>
        <v>21.442278213774838</v>
      </c>
      <c r="Q26" s="20">
        <f t="shared" si="2"/>
        <v>171.73898922232453</v>
      </c>
      <c r="R26" s="59">
        <f t="shared" si="0"/>
        <v>456.51676700010228</v>
      </c>
      <c r="S26" s="59">
        <f ca="1">AVERAGE(OFFSET($R$3,0,0,'Données projet'!$E$9+1,1))-AVERAGE(OFFSET($H$3,0,0,'Données projet'!$E$9+1,1))</f>
        <v>328.34986205643321</v>
      </c>
      <c r="T26" s="59">
        <f t="shared" si="34"/>
        <v>251.60894449147008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23.980000000000008</v>
      </c>
      <c r="AI26" s="13">
        <f>IF('Données projet'!$A$62&gt;35,AI25+AH26-AQ25,IF(A26&lt;'Données projet'!$A$62,$AF$205^A26,IF(A26='Données projet'!$A$62,'Données projet'!$B$62,AI25+AH26-AQ25)))</f>
        <v>328.34000000000003</v>
      </c>
      <c r="AJ26" s="13">
        <f>AI26*VLOOKUP('Données projet'!$B$10,Paramètres!$A$1:$I$89,3,0)*VLOOKUP('Données projet'!$B$10,Paramètres!$A$1:$I$89,5,0)</f>
        <v>166.98059040000001</v>
      </c>
      <c r="AK26" s="13">
        <f t="shared" si="35"/>
        <v>42.413072573904124</v>
      </c>
      <c r="AL26" s="20">
        <f t="shared" si="4"/>
        <v>364.69396301288299</v>
      </c>
      <c r="AM26" s="59">
        <f t="shared" si="5"/>
        <v>649.47174079066076</v>
      </c>
      <c r="AN26" s="59">
        <f ca="1">AVERAGE(OFFSET($AM$3,0,0,'Données projet'!$E$10+1,1))-AVERAGE(OFFSET($H$3,0,0,'Données projet'!$E$10+1,1))</f>
        <v>141.98581704643658</v>
      </c>
      <c r="AO26" s="59">
        <f t="shared" si="36"/>
        <v>396.03373990407204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17.7</v>
      </c>
      <c r="BD26" s="12">
        <f>IF('Données projet'!$A$88&gt;35,BD25+BC26-BL25,IF(A26&lt;'Données projet'!$A$88,$BA$205^A26,IF(A26='Données projet'!$A$88,'Données projet'!$B$88,BD25+BC26-BL25)))</f>
        <v>251.79999999999993</v>
      </c>
      <c r="BE26" s="13">
        <f>BD26*VLOOKUP('Données projet'!$B$11,Paramètres!$A$1:$I$89,3,0)*VLOOKUP('Données projet'!$B$11,Paramètres!$A$1:$I$89,5,0)</f>
        <v>145.33895999999996</v>
      </c>
      <c r="BF26" s="13">
        <f t="shared" si="37"/>
        <v>37.517409418111654</v>
      </c>
      <c r="BG26" s="20">
        <f t="shared" si="7"/>
        <v>318.47484340321108</v>
      </c>
      <c r="BH26" s="59">
        <f t="shared" si="8"/>
        <v>603.25262118098885</v>
      </c>
      <c r="BI26" s="59">
        <f ca="1">AVERAGE(OFFSET($BH$3,0,0,'Données projet'!$E$11+1,1))-AVERAGE(OFFSET($H$3,0,0,'Données projet'!$E$11+1,1))</f>
        <v>122.36861947722917</v>
      </c>
      <c r="BJ26" s="59">
        <f t="shared" si="38"/>
        <v>341.51856651265109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6">
        <f t="shared" si="1"/>
        <v>305.83043169862646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8.1999999999999993</v>
      </c>
      <c r="N27" s="13">
        <f>IF('Données projet'!$A$36&gt;35,N26+M27-V26,IF(A27&lt;'Données projet'!$A$36,$K$205^A27,IF(A27='Données projet'!$A$36,'Données projet'!$B$36,N26+M27-V26)))</f>
        <v>99.800000000000011</v>
      </c>
      <c r="O27" s="13">
        <f>N27*VLOOKUP('Données projet'!$B$9,Paramètres!$A$1:$I$89,3,0)*VLOOKUP('Données projet'!$B$9,Paramètres!$A$1:$I$89,5,0)</f>
        <v>84.071520000000021</v>
      </c>
      <c r="P27" s="13">
        <f t="shared" si="33"/>
        <v>23.129797599684554</v>
      </c>
      <c r="Q27" s="20">
        <f t="shared" si="2"/>
        <v>186.70896148611726</v>
      </c>
      <c r="R27" s="59">
        <f t="shared" si="0"/>
        <v>472.70896148611723</v>
      </c>
      <c r="S27" s="59">
        <f ca="1">AVERAGE(OFFSET($R$3,0,0,'Données projet'!$E$9+1,1))-AVERAGE(OFFSET($H$3,0,0,'Données projet'!$E$9+1,1))</f>
        <v>328.34986205643321</v>
      </c>
      <c r="T27" s="59">
        <f t="shared" si="34"/>
        <v>251.60894449147008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23.980000000000008</v>
      </c>
      <c r="AI27" s="13">
        <f>IF('Données projet'!$A$62&gt;35,AI26+AH27-AQ26,IF(A27&lt;'Données projet'!$A$62,$AF$205^A27,IF(A27='Données projet'!$A$62,'Données projet'!$B$62,AI26+AH27-AQ26)))</f>
        <v>352.32000000000005</v>
      </c>
      <c r="AJ27" s="13">
        <f>AI27*VLOOKUP('Données projet'!$B$10,Paramètres!$A$1:$I$89,3,0)*VLOOKUP('Données projet'!$B$10,Paramètres!$A$1:$I$89,5,0)</f>
        <v>179.17585920000005</v>
      </c>
      <c r="AK27" s="13">
        <f t="shared" si="35"/>
        <v>45.13878107969326</v>
      </c>
      <c r="AL27" s="20">
        <f t="shared" si="4"/>
        <v>390.68133182046586</v>
      </c>
      <c r="AM27" s="59">
        <f t="shared" si="5"/>
        <v>676.68133182046586</v>
      </c>
      <c r="AN27" s="59">
        <f ca="1">AVERAGE(OFFSET($AM$3,0,0,'Données projet'!$E$10+1,1))-AVERAGE(OFFSET($H$3,0,0,'Données projet'!$E$10+1,1))</f>
        <v>141.98581704643658</v>
      </c>
      <c r="AO27" s="59">
        <f t="shared" si="36"/>
        <v>396.03373990407204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17.7</v>
      </c>
      <c r="BD27" s="12">
        <f>IF('Données projet'!$A$88&gt;35,BD26+BC27-BL26,IF(A27&lt;'Données projet'!$A$88,$BA$205^A27,IF(A27='Données projet'!$A$88,'Données projet'!$B$88,BD26+BC27-BL26)))</f>
        <v>269.49999999999994</v>
      </c>
      <c r="BE27" s="13">
        <f>BD27*VLOOKUP('Données projet'!$B$11,Paramètres!$A$1:$I$89,3,0)*VLOOKUP('Données projet'!$B$11,Paramètres!$A$1:$I$89,5,0)</f>
        <v>155.55539999999996</v>
      </c>
      <c r="BF27" s="13">
        <f t="shared" si="37"/>
        <v>39.838385713355834</v>
      </c>
      <c r="BG27" s="20">
        <f t="shared" si="7"/>
        <v>340.3108434507613</v>
      </c>
      <c r="BH27" s="59">
        <f t="shared" si="8"/>
        <v>626.31084345076124</v>
      </c>
      <c r="BI27" s="59">
        <f ca="1">AVERAGE(OFFSET($BH$3,0,0,'Données projet'!$E$11+1,1))-AVERAGE(OFFSET($H$3,0,0,'Données projet'!$E$11+1,1))</f>
        <v>122.36861947722917</v>
      </c>
      <c r="BJ27" s="59">
        <f t="shared" si="38"/>
        <v>341.51856651265109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6">
        <f t="shared" si="1"/>
        <v>307.81969047561677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8.1999999999999993</v>
      </c>
      <c r="N28" s="13">
        <f>IF('Données projet'!$A$36&gt;35,N27+M28-V27,IF(A28&lt;'Données projet'!$A$36,$K$205^A28,IF(A28='Données projet'!$A$36,'Données projet'!$B$36,N27+M28-V27)))</f>
        <v>108.00000000000001</v>
      </c>
      <c r="O28" s="13">
        <f>N28*VLOOKUP('Données projet'!$B$9,Paramètres!$A$1:$I$89,3,0)*VLOOKUP('Données projet'!$B$9,Paramètres!$A$1:$I$89,5,0)</f>
        <v>90.97920000000002</v>
      </c>
      <c r="P28" s="13">
        <f t="shared" si="33"/>
        <v>24.801235516871511</v>
      </c>
      <c r="Q28" s="20">
        <f t="shared" si="2"/>
        <v>201.65092519188457</v>
      </c>
      <c r="R28" s="59">
        <f t="shared" si="0"/>
        <v>488.87314741410682</v>
      </c>
      <c r="S28" s="59">
        <f ca="1">AVERAGE(OFFSET($R$3,0,0,'Données projet'!$E$9+1,1))-AVERAGE(OFFSET($H$3,0,0,'Données projet'!$E$9+1,1))</f>
        <v>328.34986205643321</v>
      </c>
      <c r="T28" s="59">
        <f t="shared" si="34"/>
        <v>251.60894449147008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376.3</v>
      </c>
      <c r="AG28" s="12">
        <f>VLOOKUP(A28,'Données projet'!$A$61:$I$81,9,0)</f>
        <v>23.980000000000008</v>
      </c>
      <c r="AH28" s="12">
        <f t="array" ref="AH28">INDEX(AG:AG,MIN(IF(ISNUMBER(AG28:AG224),ROW(AG28:AG224),"")))</f>
        <v>23.980000000000008</v>
      </c>
      <c r="AI28" s="13">
        <f>IF('Données projet'!$A$62&gt;35,AI27+AH28-AQ27,IF(A28&lt;'Données projet'!$A$62,$AF$205^A28,IF(A28='Données projet'!$A$62,'Données projet'!$B$62,AI27+AH28-AQ27)))</f>
        <v>376.30000000000007</v>
      </c>
      <c r="AJ28" s="13">
        <f>AI28*VLOOKUP('Données projet'!$B$10,Paramètres!$A$1:$I$89,3,0)*VLOOKUP('Données projet'!$B$10,Paramètres!$A$1:$I$89,5,0)</f>
        <v>191.37112800000006</v>
      </c>
      <c r="AK28" s="13">
        <f t="shared" si="35"/>
        <v>47.84296280811472</v>
      </c>
      <c r="AL28" s="20">
        <f t="shared" si="4"/>
        <v>416.63120815746657</v>
      </c>
      <c r="AM28" s="59">
        <f t="shared" si="5"/>
        <v>703.8534303796888</v>
      </c>
      <c r="AN28" s="59">
        <f ca="1">AVERAGE(OFFSET($AM$3,0,0,'Données projet'!$E$10+1,1))-AVERAGE(OFFSET($H$3,0,0,'Données projet'!$E$10+1,1))</f>
        <v>141.98581704643658</v>
      </c>
      <c r="AO28" s="59">
        <f t="shared" si="36"/>
        <v>396.03373990407204</v>
      </c>
      <c r="AP28" s="15">
        <f>IF(ISNA(VLOOKUP(A28,'Données projet'!$A$61:$I$81,3,0)),0,VLOOKUP(A28,'Données projet'!$A$61:$I$81,3,0))</f>
        <v>5</v>
      </c>
      <c r="AQ28" s="15">
        <f>IF(ISNA(VLOOKUP(A28,'Données projet'!$A$61:$I$81,4,0)),0,VLOOKUP(A28,'Données projet'!$A$61:$I$81,4,0))</f>
        <v>376.3</v>
      </c>
      <c r="AR28" s="16">
        <f>IF(ISNA(VLOOKUP(A28,'Données projet'!$A$61:$I$81,5,0)),0%,VLOOKUP(A28,'Données projet'!$A$61:$I$81,5,0)*VLOOKUP('Données projet'!$B$10,Paramètres!$A$1:$I$89,7,0))</f>
        <v>0.48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0.1</v>
      </c>
      <c r="AU28" s="21">
        <f>EXP(-LN(2)/35)*AU27+(1-EXP(-LN(2)/35))/(LN(2)/35)*AQ28*AR28*VLOOKUP('Données projet'!$B$10,Paramètres!$A$1:$I$89,3,0)*0.475*44/12</f>
        <v>101.54645448086821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18.056380994639284</v>
      </c>
      <c r="AX28" s="21">
        <f t="shared" si="6"/>
        <v>119.60283547550749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287.2</v>
      </c>
      <c r="BB28" s="12">
        <f>VLOOKUP(A28,'Données projet'!$A$87:$I$107,9,0)</f>
        <v>17.7</v>
      </c>
      <c r="BC28" s="12">
        <f t="array" ref="BC28">INDEX(BB:BB,MIN(IF(ISNUMBER(BB28:BB224),ROW(BB28:BB224),"")))</f>
        <v>17.7</v>
      </c>
      <c r="BD28" s="12">
        <f>IF('Données projet'!$A$88&gt;35,BD27+BC28-BL27,IF(A28&lt;'Données projet'!$A$88,$BA$205^A28,IF(A28='Données projet'!$A$88,'Données projet'!$B$88,BD27+BC28-BL27)))</f>
        <v>287.19999999999993</v>
      </c>
      <c r="BE28" s="13">
        <f>BD28*VLOOKUP('Données projet'!$B$11,Paramètres!$A$1:$I$89,3,0)*VLOOKUP('Données projet'!$B$11,Paramètres!$A$1:$I$89,5,0)</f>
        <v>165.77183999999994</v>
      </c>
      <c r="BF28" s="13">
        <f t="shared" si="37"/>
        <v>42.141672784332506</v>
      </c>
      <c r="BG28" s="20">
        <f t="shared" si="7"/>
        <v>362.11603476604569</v>
      </c>
      <c r="BH28" s="59">
        <f t="shared" si="8"/>
        <v>649.33825698826786</v>
      </c>
      <c r="BI28" s="59">
        <f ca="1">AVERAGE(OFFSET($BH$3,0,0,'Données projet'!$E$11+1,1))-AVERAGE(OFFSET($H$3,0,0,'Données projet'!$E$11+1,1))</f>
        <v>122.36861947722917</v>
      </c>
      <c r="BJ28" s="59">
        <f t="shared" si="38"/>
        <v>341.51856651265109</v>
      </c>
      <c r="BK28" s="15">
        <f>IF(ISNA(VLOOKUP(A28,'Données projet'!$A$87:$I$107,3,0)),0,VLOOKUP(A28,'Données projet'!$A$87:$I$107,3,0))</f>
        <v>5</v>
      </c>
      <c r="BL28" s="15">
        <f>IF(ISNA(VLOOKUP(A28,'Données projet'!$A$87:$I$107,4,0)),0,VLOOKUP(A28,'Données projet'!$A$87:$I$107,4,0))</f>
        <v>287.2</v>
      </c>
      <c r="BM28" s="16">
        <f>IF(ISNA(VLOOKUP(A28,'Données projet'!$A$87:$I$107,5,0)),0%,VLOOKUP(A28,'Données projet'!$A$87:$I$107,5,0)*VLOOKUP('Données projet'!$B$11,Paramètres!$A$1:$I$89,7,0))</f>
        <v>0.48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0.1</v>
      </c>
      <c r="BP28" s="21">
        <f>EXP(-LN(2)/35)*BP27+(1-EXP(-LN(2)/35))/(LN(2)/35)*BL28*BM28*VLOOKUP('Données projet'!$B$11,Paramètres!$A$1:$I$89,3,0)*0.475*44/12</f>
        <v>87.962812262724242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15.64101927236581</v>
      </c>
      <c r="BS28" s="22">
        <f t="shared" si="9"/>
        <v>103.60383153509005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6">
        <f t="shared" si="1"/>
        <v>309.80690215583428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8.1999999999999993</v>
      </c>
      <c r="N29" s="13">
        <f>IF('Données projet'!$A$36&gt;35,N28+M29-V28,IF(A29&lt;'Données projet'!$A$36,$K$205^A29,IF(A29='Données projet'!$A$36,'Données projet'!$B$36,N28+M29-V28)))</f>
        <v>116.20000000000002</v>
      </c>
      <c r="O29" s="13">
        <f>N29*VLOOKUP('Données projet'!$B$9,Paramètres!$A$1:$I$89,3,0)*VLOOKUP('Données projet'!$B$9,Paramètres!$A$1:$I$89,5,0)</f>
        <v>97.886880000000019</v>
      </c>
      <c r="P29" s="13">
        <f t="shared" si="33"/>
        <v>26.457951797777866</v>
      </c>
      <c r="Q29" s="20">
        <f t="shared" si="2"/>
        <v>216.56724871446315</v>
      </c>
      <c r="R29" s="59">
        <f t="shared" si="0"/>
        <v>505.01169315890763</v>
      </c>
      <c r="S29" s="59">
        <f ca="1">AVERAGE(OFFSET($R$3,0,0,'Données projet'!$E$9+1,1))-AVERAGE(OFFSET($H$3,0,0,'Données projet'!$E$9+1,1))</f>
        <v>328.34986205643321</v>
      </c>
      <c r="T29" s="59">
        <f t="shared" si="34"/>
        <v>251.60894449147008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5.6843418860808015E-14</v>
      </c>
      <c r="AJ29" s="13">
        <f>AI29*VLOOKUP('Données projet'!$B$10,Paramètres!$A$1:$I$89,3,0)*VLOOKUP('Données projet'!$B$10,Paramètres!$A$1:$I$89,5,0)</f>
        <v>2.8908289095852525E-14</v>
      </c>
      <c r="AK29" s="13">
        <f t="shared" si="35"/>
        <v>5.0177780569126974E-13</v>
      </c>
      <c r="AL29" s="20">
        <f t="shared" si="4"/>
        <v>9.2427828175423786E-13</v>
      </c>
      <c r="AM29" s="59">
        <f t="shared" si="5"/>
        <v>288.44444444444537</v>
      </c>
      <c r="AN29" s="59">
        <f ca="1">AVERAGE(OFFSET($AM$3,0,0,'Données projet'!$E$10+1,1))-AVERAGE(OFFSET($H$3,0,0,'Données projet'!$E$10+1,1))</f>
        <v>141.98581704643658</v>
      </c>
      <c r="AO29" s="59">
        <f t="shared" si="36"/>
        <v>396.03373990407204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99.555190445719816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12.767789444997335</v>
      </c>
      <c r="AX29" s="21">
        <f t="shared" si="6"/>
        <v>112.32297989071715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-5.6843418860808015E-14</v>
      </c>
      <c r="BE29" s="13">
        <f>BD29*VLOOKUP('Données projet'!$B$11,Paramètres!$A$1:$I$89,3,0)*VLOOKUP('Données projet'!$B$11,Paramètres!$A$1:$I$89,5,0)</f>
        <v>-3.2810021366458389E-14</v>
      </c>
      <c r="BF29" s="13" t="e">
        <f t="shared" si="37"/>
        <v>#NUM!</v>
      </c>
      <c r="BG29" s="20" t="e">
        <f t="shared" si="7"/>
        <v>#NUM!</v>
      </c>
      <c r="BH29" s="59" t="e">
        <f t="shared" si="8"/>
        <v>#NUM!</v>
      </c>
      <c r="BI29" s="59">
        <f ca="1">AVERAGE(OFFSET($BH$3,0,0,'Données projet'!$E$11+1,1))-AVERAGE(OFFSET($H$3,0,0,'Données projet'!$E$11+1,1))</f>
        <v>122.36861947722917</v>
      </c>
      <c r="BJ29" s="59">
        <f t="shared" si="38"/>
        <v>341.51856651265109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86.23791516627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11.059870792159344</v>
      </c>
      <c r="BS29" s="22">
        <f t="shared" si="9"/>
        <v>97.297785958429344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6">
        <f t="shared" si="1"/>
        <v>311.79215448605208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8.1999999999999993</v>
      </c>
      <c r="N30" s="13">
        <f>IF('Données projet'!$A$36&gt;35,N29+M30-V29,IF(A30&lt;'Données projet'!$A$36,$K$205^A30,IF(A30='Données projet'!$A$36,'Données projet'!$B$36,N29+M30-V29)))</f>
        <v>124.40000000000002</v>
      </c>
      <c r="O30" s="13">
        <f>N30*VLOOKUP('Données projet'!$B$9,Paramètres!$A$1:$I$89,3,0)*VLOOKUP('Données projet'!$B$9,Paramètres!$A$1:$I$89,5,0)</f>
        <v>104.79456000000003</v>
      </c>
      <c r="P30" s="13">
        <f t="shared" si="33"/>
        <v>28.101103481959861</v>
      </c>
      <c r="Q30" s="20">
        <f t="shared" si="2"/>
        <v>231.45994723108015</v>
      </c>
      <c r="R30" s="59">
        <f t="shared" si="0"/>
        <v>521.12661389774689</v>
      </c>
      <c r="S30" s="59">
        <f ca="1">AVERAGE(OFFSET($R$3,0,0,'Données projet'!$E$9+1,1))-AVERAGE(OFFSET($H$3,0,0,'Données projet'!$E$9+1,1))</f>
        <v>328.34986205643321</v>
      </c>
      <c r="T30" s="59">
        <f t="shared" si="34"/>
        <v>251.60894449147008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5.6843418860808015E-14</v>
      </c>
      <c r="AJ30" s="13">
        <f>AI30*VLOOKUP('Données projet'!$B$10,Paramètres!$A$1:$I$89,3,0)*VLOOKUP('Données projet'!$B$10,Paramètres!$A$1:$I$89,5,0)</f>
        <v>2.8908289095852525E-14</v>
      </c>
      <c r="AK30" s="13">
        <f t="shared" si="35"/>
        <v>5.0177780569126974E-13</v>
      </c>
      <c r="AL30" s="20">
        <f t="shared" si="4"/>
        <v>9.2427828175423786E-13</v>
      </c>
      <c r="AM30" s="59">
        <f t="shared" si="5"/>
        <v>289.6666666666676</v>
      </c>
      <c r="AN30" s="59">
        <f ca="1">AVERAGE(OFFSET($AM$3,0,0,'Données projet'!$E$10+1,1))-AVERAGE(OFFSET($H$3,0,0,'Données projet'!$E$10+1,1))</f>
        <v>141.98581704643658</v>
      </c>
      <c r="AO30" s="59">
        <f t="shared" si="36"/>
        <v>396.03373990407204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97.602973883749556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9.0281904973196418</v>
      </c>
      <c r="AX30" s="21">
        <f t="shared" si="6"/>
        <v>106.6311643810692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-5.6843418860808015E-14</v>
      </c>
      <c r="BE30" s="13">
        <f>BD30*VLOOKUP('Données projet'!$B$11,Paramètres!$A$1:$I$89,3,0)*VLOOKUP('Données projet'!$B$11,Paramètres!$A$1:$I$89,5,0)</f>
        <v>-3.2810021366458389E-14</v>
      </c>
      <c r="BF30" s="13" t="e">
        <f t="shared" si="37"/>
        <v>#NUM!</v>
      </c>
      <c r="BG30" s="20" t="e">
        <f t="shared" si="7"/>
        <v>#NUM!</v>
      </c>
      <c r="BH30" s="59" t="e">
        <f t="shared" si="8"/>
        <v>#NUM!</v>
      </c>
      <c r="BI30" s="59">
        <f ca="1">AVERAGE(OFFSET($BH$3,0,0,'Données projet'!$E$11+1,1))-AVERAGE(OFFSET($H$3,0,0,'Données projet'!$E$11+1,1))</f>
        <v>122.36861947722917</v>
      </c>
      <c r="BJ30" s="59">
        <f t="shared" si="38"/>
        <v>341.51856651265109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84.546842249793883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7.8205096361829058</v>
      </c>
      <c r="BS30" s="22">
        <f t="shared" si="9"/>
        <v>92.367351885976788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6">
        <f t="shared" si="1"/>
        <v>313.77552834500773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8.1999999999999993</v>
      </c>
      <c r="N31" s="13">
        <f>IF('Données projet'!$A$36&gt;35,N30+M31-V30,IF(A31&lt;'Données projet'!$A$36,$K$205^A31,IF(A31='Données projet'!$A$36,'Données projet'!$B$36,N30+M31-V30)))</f>
        <v>132.60000000000002</v>
      </c>
      <c r="O31" s="13">
        <f>N31*VLOOKUP('Données projet'!$B$9,Paramètres!$A$1:$I$89,3,0)*VLOOKUP('Données projet'!$B$9,Paramètres!$A$1:$I$89,5,0)</f>
        <v>111.70224000000003</v>
      </c>
      <c r="P31" s="13">
        <f t="shared" si="33"/>
        <v>29.731686445309627</v>
      </c>
      <c r="Q31" s="20">
        <f t="shared" si="2"/>
        <v>246.33075522558093</v>
      </c>
      <c r="R31" s="59">
        <f t="shared" si="0"/>
        <v>537.21964411446982</v>
      </c>
      <c r="S31" s="59">
        <f ca="1">AVERAGE(OFFSET($R$3,0,0,'Données projet'!$E$9+1,1))-AVERAGE(OFFSET($H$3,0,0,'Données projet'!$E$9+1,1))</f>
        <v>328.34986205643321</v>
      </c>
      <c r="T31" s="59">
        <f t="shared" si="34"/>
        <v>251.60894449147008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5.6843418860808015E-14</v>
      </c>
      <c r="AJ31" s="13">
        <f>AI31*VLOOKUP('Données projet'!$B$10,Paramètres!$A$1:$I$89,3,0)*VLOOKUP('Données projet'!$B$10,Paramètres!$A$1:$I$89,5,0)</f>
        <v>2.8908289095852525E-14</v>
      </c>
      <c r="AK31" s="13">
        <f t="shared" si="35"/>
        <v>5.0177780569126974E-13</v>
      </c>
      <c r="AL31" s="20">
        <f t="shared" si="4"/>
        <v>9.2427828175423786E-13</v>
      </c>
      <c r="AM31" s="59">
        <f t="shared" si="5"/>
        <v>290.88888888888977</v>
      </c>
      <c r="AN31" s="59">
        <f ca="1">AVERAGE(OFFSET($AM$3,0,0,'Données projet'!$E$10+1,1))-AVERAGE(OFFSET($H$3,0,0,'Données projet'!$E$10+1,1))</f>
        <v>141.98581704643658</v>
      </c>
      <c r="AO31" s="59">
        <f t="shared" si="36"/>
        <v>396.03373990407204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95.689039097825003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6.3838947224986677</v>
      </c>
      <c r="AX31" s="21">
        <f t="shared" si="6"/>
        <v>102.07293382032367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-5.6843418860808015E-14</v>
      </c>
      <c r="BE31" s="13">
        <f>BD31*VLOOKUP('Données projet'!$B$11,Paramètres!$A$1:$I$89,3,0)*VLOOKUP('Données projet'!$B$11,Paramètres!$A$1:$I$89,5,0)</f>
        <v>-3.2810021366458389E-14</v>
      </c>
      <c r="BF31" s="13" t="e">
        <f t="shared" si="37"/>
        <v>#NUM!</v>
      </c>
      <c r="BG31" s="20" t="e">
        <f t="shared" si="7"/>
        <v>#NUM!</v>
      </c>
      <c r="BH31" s="59" t="e">
        <f t="shared" si="8"/>
        <v>#NUM!</v>
      </c>
      <c r="BI31" s="59">
        <f ca="1">AVERAGE(OFFSET($BH$3,0,0,'Données projet'!$E$11+1,1))-AVERAGE(OFFSET($H$3,0,0,'Données projet'!$E$11+1,1))</f>
        <v>122.36861947722917</v>
      </c>
      <c r="BJ31" s="59">
        <f t="shared" si="38"/>
        <v>341.51856651265109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82.888930241757237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5.5299353960796731</v>
      </c>
      <c r="BS31" s="22">
        <f t="shared" si="9"/>
        <v>88.418865637836916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6">
        <f t="shared" si="1"/>
        <v>315.75709850689469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8.1999999999999993</v>
      </c>
      <c r="N32" s="13">
        <f>IF('Données projet'!$A$36&gt;35,N31+M32-V31,IF(A32&lt;'Données projet'!$A$36,$K$205^A32,IF(A32='Données projet'!$A$36,'Données projet'!$B$36,N31+M32-V31)))</f>
        <v>140.80000000000001</v>
      </c>
      <c r="O32" s="13">
        <f>N32*VLOOKUP('Données projet'!$B$9,Paramètres!$A$1:$I$89,3,0)*VLOOKUP('Données projet'!$B$9,Paramètres!$A$1:$I$89,5,0)</f>
        <v>118.60992000000002</v>
      </c>
      <c r="P32" s="13">
        <f t="shared" si="33"/>
        <v>31.35056643275615</v>
      </c>
      <c r="Q32" s="20">
        <f t="shared" si="2"/>
        <v>261.18118053705035</v>
      </c>
      <c r="R32" s="59">
        <f t="shared" si="0"/>
        <v>553.29229164816149</v>
      </c>
      <c r="S32" s="59">
        <f ca="1">AVERAGE(OFFSET($R$3,0,0,'Données projet'!$E$9+1,1))-AVERAGE(OFFSET($H$3,0,0,'Données projet'!$E$9+1,1))</f>
        <v>328.34986205643321</v>
      </c>
      <c r="T32" s="59">
        <f t="shared" si="34"/>
        <v>251.60894449147008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5.6843418860808015E-14</v>
      </c>
      <c r="AJ32" s="13">
        <f>AI32*VLOOKUP('Données projet'!$B$10,Paramètres!$A$1:$I$89,3,0)*VLOOKUP('Données projet'!$B$10,Paramètres!$A$1:$I$89,5,0)</f>
        <v>2.8908289095852525E-14</v>
      </c>
      <c r="AK32" s="13">
        <f t="shared" si="35"/>
        <v>5.0177780569126974E-13</v>
      </c>
      <c r="AL32" s="20">
        <f t="shared" si="4"/>
        <v>9.2427828175423786E-13</v>
      </c>
      <c r="AM32" s="59">
        <f t="shared" si="5"/>
        <v>292.11111111111205</v>
      </c>
      <c r="AN32" s="59">
        <f ca="1">AVERAGE(OFFSET($AM$3,0,0,'Données projet'!$E$10+1,1))-AVERAGE(OFFSET($H$3,0,0,'Données projet'!$E$10+1,1))</f>
        <v>141.98581704643658</v>
      </c>
      <c r="AO32" s="59">
        <f t="shared" si="36"/>
        <v>396.03373990407204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93.812635405667478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4.5140952486598209</v>
      </c>
      <c r="AX32" s="21">
        <f t="shared" si="6"/>
        <v>98.326730654327292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-5.6843418860808015E-14</v>
      </c>
      <c r="BE32" s="13">
        <f>BD32*VLOOKUP('Données projet'!$B$11,Paramètres!$A$1:$I$89,3,0)*VLOOKUP('Données projet'!$B$11,Paramètres!$A$1:$I$89,5,0)</f>
        <v>-3.2810021366458389E-14</v>
      </c>
      <c r="BF32" s="13" t="e">
        <f t="shared" si="37"/>
        <v>#NUM!</v>
      </c>
      <c r="BG32" s="20" t="e">
        <f t="shared" si="7"/>
        <v>#NUM!</v>
      </c>
      <c r="BH32" s="59" t="e">
        <f t="shared" si="8"/>
        <v>#NUM!</v>
      </c>
      <c r="BI32" s="59">
        <f ca="1">AVERAGE(OFFSET($BH$3,0,0,'Données projet'!$E$11+1,1))-AVERAGE(OFFSET($H$3,0,0,'Données projet'!$E$11+1,1))</f>
        <v>122.36861947722917</v>
      </c>
      <c r="BJ32" s="59">
        <f t="shared" si="38"/>
        <v>341.51856651265109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81.263528876971705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3.9102548180914538</v>
      </c>
      <c r="BS32" s="22">
        <f t="shared" si="9"/>
        <v>85.173783695063165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6">
        <f t="shared" si="1"/>
        <v>317.73693429658658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149</v>
      </c>
      <c r="L33" s="12">
        <f>VLOOKUP(A33,'Données projet'!$A$35:$I$55,9,0)</f>
        <v>8.1999999999999993</v>
      </c>
      <c r="M33" s="12">
        <f t="array" ref="M33">INDEX(L:L,MIN(IF(ISNUMBER(L33:L229),ROW(L33:L229),"")))</f>
        <v>8.1999999999999993</v>
      </c>
      <c r="N33" s="13">
        <f>IF('Données projet'!$A$36&gt;35,N32+M33-V32,IF(A33&lt;'Données projet'!$A$36,$K$205^A33,IF(A33='Données projet'!$A$36,'Données projet'!$B$36,N32+M33-V32)))</f>
        <v>149</v>
      </c>
      <c r="O33" s="13">
        <f>N33*VLOOKUP('Données projet'!$B$9,Paramètres!$A$1:$I$89,3,0)*VLOOKUP('Données projet'!$B$9,Paramètres!$A$1:$I$89,5,0)</f>
        <v>125.51760000000002</v>
      </c>
      <c r="P33" s="13">
        <f t="shared" si="33"/>
        <v>32.95850265342969</v>
      </c>
      <c r="Q33" s="20">
        <f t="shared" si="2"/>
        <v>276.01254545472335</v>
      </c>
      <c r="R33" s="59">
        <f t="shared" si="0"/>
        <v>569.34587878805667</v>
      </c>
      <c r="S33" s="59">
        <f ca="1">AVERAGE(OFFSET($R$3,0,0,'Données projet'!$E$9+1,1))-AVERAGE(OFFSET($H$3,0,0,'Données projet'!$E$9+1,1))</f>
        <v>328.34986205643321</v>
      </c>
      <c r="T33" s="59">
        <f t="shared" si="34"/>
        <v>251.60894449147008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56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5.6843418860808015E-14</v>
      </c>
      <c r="AJ33" s="13">
        <f>AI33*VLOOKUP('Données projet'!$B$10,Paramètres!$A$1:$I$89,3,0)*VLOOKUP('Données projet'!$B$10,Paramètres!$A$1:$I$89,5,0)</f>
        <v>2.8908289095852525E-14</v>
      </c>
      <c r="AK33" s="13">
        <f t="shared" si="35"/>
        <v>5.0177780569126974E-13</v>
      </c>
      <c r="AL33" s="20">
        <f t="shared" si="4"/>
        <v>9.2427828175423786E-13</v>
      </c>
      <c r="AM33" s="59">
        <f t="shared" si="5"/>
        <v>293.33333333333422</v>
      </c>
      <c r="AN33" s="59">
        <f ca="1">AVERAGE(OFFSET($AM$3,0,0,'Données projet'!$E$10+1,1))-AVERAGE(OFFSET($H$3,0,0,'Données projet'!$E$10+1,1))</f>
        <v>141.98581704643658</v>
      </c>
      <c r="AO33" s="59">
        <f t="shared" si="36"/>
        <v>396.03373990407204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91.973026845419923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3.1919473612493339</v>
      </c>
      <c r="AX33" s="21">
        <f t="shared" si="6"/>
        <v>95.164974206669257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-5.6843418860808015E-14</v>
      </c>
      <c r="BE33" s="13">
        <f>BD33*VLOOKUP('Données projet'!$B$11,Paramètres!$A$1:$I$89,3,0)*VLOOKUP('Données projet'!$B$11,Paramètres!$A$1:$I$89,5,0)</f>
        <v>-3.2810021366458389E-14</v>
      </c>
      <c r="BF33" s="13" t="e">
        <f t="shared" si="37"/>
        <v>#NUM!</v>
      </c>
      <c r="BG33" s="20" t="e">
        <f t="shared" si="7"/>
        <v>#NUM!</v>
      </c>
      <c r="BH33" s="59" t="e">
        <f t="shared" si="8"/>
        <v>#NUM!</v>
      </c>
      <c r="BI33" s="59">
        <f ca="1">AVERAGE(OFFSET($BH$3,0,0,'Données projet'!$E$11+1,1))-AVERAGE(OFFSET($H$3,0,0,'Données projet'!$E$11+1,1))</f>
        <v>122.36861947722917</v>
      </c>
      <c r="BJ33" s="59">
        <f t="shared" si="38"/>
        <v>341.51856651265109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79.670000641552676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2.764967698039837</v>
      </c>
      <c r="BS33" s="22">
        <f t="shared" si="9"/>
        <v>82.434968339592515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6">
        <f t="shared" si="1"/>
        <v>319.71510015504356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11</v>
      </c>
      <c r="N34" s="13">
        <f>IF('Données projet'!$A$36&gt;35,N33+M34-V33,IF(A34&lt;'Données projet'!$A$36,$K$205^A34,IF(A34='Données projet'!$A$36,'Données projet'!$B$36,N33+M34-V33)))</f>
        <v>104</v>
      </c>
      <c r="O34" s="13">
        <f>N34*VLOOKUP('Données projet'!$B$9,Paramètres!$A$1:$I$89,3,0)*VLOOKUP('Données projet'!$B$9,Paramètres!$A$1:$I$89,5,0)</f>
        <v>87.609600000000015</v>
      </c>
      <c r="P34" s="13">
        <f t="shared" si="33"/>
        <v>23.987817980868787</v>
      </c>
      <c r="Q34" s="20">
        <f t="shared" si="2"/>
        <v>194.36550298334649</v>
      </c>
      <c r="R34" s="59">
        <f t="shared" si="0"/>
        <v>487.69883631667983</v>
      </c>
      <c r="S34" s="59">
        <f ca="1">AVERAGE(OFFSET($R$3,0,0,'Données projet'!$E$9+1,1))-AVERAGE(OFFSET($H$3,0,0,'Données projet'!$E$9+1,1))</f>
        <v>328.34986205643321</v>
      </c>
      <c r="T34" s="59">
        <f t="shared" si="34"/>
        <v>251.60894449147008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5.6843418860808015E-14</v>
      </c>
      <c r="AJ34" s="13">
        <f>AI34*VLOOKUP('Données projet'!$B$10,Paramètres!$A$1:$I$89,3,0)*VLOOKUP('Données projet'!$B$10,Paramètres!$A$1:$I$89,5,0)</f>
        <v>2.8908289095852525E-14</v>
      </c>
      <c r="AK34" s="13">
        <f t="shared" si="35"/>
        <v>5.0177780569126974E-13</v>
      </c>
      <c r="AL34" s="20">
        <f t="shared" si="4"/>
        <v>9.2427828175423786E-13</v>
      </c>
      <c r="AM34" s="59">
        <f t="shared" si="5"/>
        <v>293.33333333333422</v>
      </c>
      <c r="AN34" s="59">
        <f ca="1">AVERAGE(OFFSET($AM$3,0,0,'Données projet'!$E$10+1,1))-AVERAGE(OFFSET($H$3,0,0,'Données projet'!$E$10+1,1))</f>
        <v>141.98581704643658</v>
      </c>
      <c r="AO34" s="59">
        <f t="shared" si="36"/>
        <v>396.03373990407204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90.169491886988396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2.2570476243299105</v>
      </c>
      <c r="AX34" s="21">
        <f t="shared" si="6"/>
        <v>92.42653951131831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-5.6843418860808015E-14</v>
      </c>
      <c r="BE34" s="13">
        <f>BD34*VLOOKUP('Données projet'!$B$11,Paramètres!$A$1:$I$89,3,0)*VLOOKUP('Données projet'!$B$11,Paramètres!$A$1:$I$89,5,0)</f>
        <v>-3.2810021366458389E-14</v>
      </c>
      <c r="BF34" s="13" t="e">
        <f t="shared" si="37"/>
        <v>#NUM!</v>
      </c>
      <c r="BG34" s="20" t="e">
        <f t="shared" si="7"/>
        <v>#NUM!</v>
      </c>
      <c r="BH34" s="59" t="e">
        <f t="shared" si="8"/>
        <v>#NUM!</v>
      </c>
      <c r="BI34" s="59">
        <f ca="1">AVERAGE(OFFSET($BH$3,0,0,'Données projet'!$E$11+1,1))-AVERAGE(OFFSET($H$3,0,0,'Données projet'!$E$11+1,1))</f>
        <v>122.36861947722917</v>
      </c>
      <c r="BJ34" s="59">
        <f t="shared" si="38"/>
        <v>341.51856651265109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78.107720522873976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1.9551274090457271</v>
      </c>
      <c r="BS34" s="22">
        <f t="shared" si="9"/>
        <v>80.062847931919706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6">
        <f t="shared" si="1"/>
        <v>321.69165612971409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11</v>
      </c>
      <c r="N35" s="13">
        <f>IF('Données projet'!$A$36&gt;35,N34+M35-V34,IF(A35&lt;'Données projet'!$A$36,$K$205^A35,IF(A35='Données projet'!$A$36,'Données projet'!$B$36,N34+M35-V34)))</f>
        <v>115</v>
      </c>
      <c r="O35" s="13">
        <f>N35*VLOOKUP('Données projet'!$B$9,Paramètres!$A$1:$I$89,3,0)*VLOOKUP('Données projet'!$B$9,Paramètres!$A$1:$I$89,5,0)</f>
        <v>96.876000000000005</v>
      </c>
      <c r="P35" s="13">
        <f t="shared" si="33"/>
        <v>26.21637845945024</v>
      </c>
      <c r="Q35" s="20">
        <f t="shared" ref="Q35:Q66" si="53">(O35+P35)*0.475*44/12</f>
        <v>214.38589248354251</v>
      </c>
      <c r="R35" s="59">
        <f t="shared" si="0"/>
        <v>507.71922581687579</v>
      </c>
      <c r="S35" s="59">
        <f ca="1">AVERAGE(OFFSET($R$3,0,0,'Données projet'!$E$9+1,1))-AVERAGE(OFFSET($H$3,0,0,'Données projet'!$E$9+1,1))</f>
        <v>328.34986205643321</v>
      </c>
      <c r="T35" s="59">
        <f t="shared" si="34"/>
        <v>251.60894449147008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5.6843418860808015E-14</v>
      </c>
      <c r="AJ35" s="13">
        <f>AI35*VLOOKUP('Données projet'!$B$10,Paramètres!$A$1:$I$89,3,0)*VLOOKUP('Données projet'!$B$10,Paramètres!$A$1:$I$89,5,0)</f>
        <v>2.8908289095852525E-14</v>
      </c>
      <c r="AK35" s="13">
        <f t="shared" si="35"/>
        <v>5.0177780569126974E-13</v>
      </c>
      <c r="AL35" s="20">
        <f t="shared" si="4"/>
        <v>9.2427828175423786E-13</v>
      </c>
      <c r="AM35" s="59">
        <f t="shared" si="5"/>
        <v>293.33333333333422</v>
      </c>
      <c r="AN35" s="59">
        <f ca="1">AVERAGE(OFFSET($AM$3,0,0,'Données projet'!$E$10+1,1))-AVERAGE(OFFSET($H$3,0,0,'Données projet'!$E$10+1,1))</f>
        <v>141.98581704643658</v>
      </c>
      <c r="AO35" s="59">
        <f t="shared" si="36"/>
        <v>396.03373990407204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88.401323149044003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1.5959736806246669</v>
      </c>
      <c r="AX35" s="21">
        <f t="shared" si="6"/>
        <v>89.99729682966867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-5.6843418860808015E-14</v>
      </c>
      <c r="BE35" s="13">
        <f>BD35*VLOOKUP('Données projet'!$B$11,Paramètres!$A$1:$I$89,3,0)*VLOOKUP('Données projet'!$B$11,Paramètres!$A$1:$I$89,5,0)</f>
        <v>-3.2810021366458389E-14</v>
      </c>
      <c r="BF35" s="13" t="e">
        <f t="shared" si="37"/>
        <v>#NUM!</v>
      </c>
      <c r="BG35" s="20" t="e">
        <f t="shared" si="7"/>
        <v>#NUM!</v>
      </c>
      <c r="BH35" s="59" t="e">
        <f t="shared" si="8"/>
        <v>#NUM!</v>
      </c>
      <c r="BI35" s="59">
        <f ca="1">AVERAGE(OFFSET($BH$3,0,0,'Données projet'!$E$11+1,1))-AVERAGE(OFFSET($H$3,0,0,'Données projet'!$E$11+1,1))</f>
        <v>122.36861947722917</v>
      </c>
      <c r="BJ35" s="59">
        <f t="shared" si="38"/>
        <v>341.51856651265109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76.576075764425781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1.3824838490199187</v>
      </c>
      <c r="BS35" s="22">
        <f t="shared" si="9"/>
        <v>77.958559613445701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6">
        <f t="shared" si="1"/>
        <v>323.66665830191403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11</v>
      </c>
      <c r="N36" s="13">
        <f>IF('Données projet'!$A$36&gt;35,N35+M36-V35,IF(A36&lt;'Données projet'!$A$36,$K$205^A36,IF(A36='Données projet'!$A$36,'Données projet'!$B$36,N35+M36-V35)))</f>
        <v>126</v>
      </c>
      <c r="O36" s="13">
        <f>N36*VLOOKUP('Données projet'!$B$9,Paramètres!$A$1:$I$89,3,0)*VLOOKUP('Données projet'!$B$9,Paramètres!$A$1:$I$89,5,0)</f>
        <v>106.14240000000001</v>
      </c>
      <c r="P36" s="13">
        <f t="shared" si="33"/>
        <v>28.420224211524975</v>
      </c>
      <c r="Q36" s="20">
        <f t="shared" si="53"/>
        <v>234.36323716840602</v>
      </c>
      <c r="R36" s="59">
        <f t="shared" si="0"/>
        <v>527.6965705017393</v>
      </c>
      <c r="S36" s="59">
        <f ca="1">AVERAGE(OFFSET($R$3,0,0,'Données projet'!$E$9+1,1))-AVERAGE(OFFSET($H$3,0,0,'Données projet'!$E$9+1,1))</f>
        <v>328.34986205643321</v>
      </c>
      <c r="T36" s="59">
        <f t="shared" si="34"/>
        <v>251.60894449147008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5.6843418860808015E-14</v>
      </c>
      <c r="AJ36" s="13">
        <f>AI36*VLOOKUP('Données projet'!$B$10,Paramètres!$A$1:$I$89,3,0)*VLOOKUP('Données projet'!$B$10,Paramètres!$A$1:$I$89,5,0)</f>
        <v>2.8908289095852525E-14</v>
      </c>
      <c r="AK36" s="13">
        <f t="shared" si="35"/>
        <v>5.0177780569126974E-13</v>
      </c>
      <c r="AL36" s="20">
        <f t="shared" si="4"/>
        <v>9.2427828175423786E-13</v>
      </c>
      <c r="AM36" s="59">
        <f t="shared" si="5"/>
        <v>293.33333333333422</v>
      </c>
      <c r="AN36" s="59">
        <f ca="1">AVERAGE(OFFSET($AM$3,0,0,'Données projet'!$E$10+1,1))-AVERAGE(OFFSET($H$3,0,0,'Données projet'!$E$10+1,1))</f>
        <v>141.98581704643658</v>
      </c>
      <c r="AO36" s="59">
        <f t="shared" si="36"/>
        <v>396.03373990407204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86.667827121574263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1.1285238121649552</v>
      </c>
      <c r="AX36" s="21">
        <f t="shared" si="6"/>
        <v>87.79635093373922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-5.6843418860808015E-14</v>
      </c>
      <c r="BE36" s="13">
        <f>BD36*VLOOKUP('Données projet'!$B$11,Paramètres!$A$1:$I$89,3,0)*VLOOKUP('Données projet'!$B$11,Paramètres!$A$1:$I$89,5,0)</f>
        <v>-3.2810021366458389E-14</v>
      </c>
      <c r="BF36" s="13" t="e">
        <f t="shared" si="37"/>
        <v>#NUM!</v>
      </c>
      <c r="BG36" s="20" t="e">
        <f t="shared" si="7"/>
        <v>#NUM!</v>
      </c>
      <c r="BH36" s="59" t="e">
        <f t="shared" si="8"/>
        <v>#NUM!</v>
      </c>
      <c r="BI36" s="59">
        <f ca="1">AVERAGE(OFFSET($BH$3,0,0,'Données projet'!$E$11+1,1))-AVERAGE(OFFSET($H$3,0,0,'Données projet'!$E$11+1,1))</f>
        <v>122.36861947722917</v>
      </c>
      <c r="BJ36" s="59">
        <f t="shared" si="38"/>
        <v>341.51856651265109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75.074465625479689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0.97756370452286379</v>
      </c>
      <c r="BS36" s="22">
        <f t="shared" si="9"/>
        <v>76.052029330002554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6">
        <f t="shared" si="1"/>
        <v>325.64015916094684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11</v>
      </c>
      <c r="N37" s="13">
        <f>IF('Données projet'!$A$36&gt;35,N36+M37-V36,IF(A37&lt;'Données projet'!$A$36,$K$205^A37,IF(A37='Données projet'!$A$36,'Données projet'!$B$36,N36+M37-V36)))</f>
        <v>137</v>
      </c>
      <c r="O37" s="13">
        <f>N37*VLOOKUP('Données projet'!$B$9,Paramètres!$A$1:$I$89,3,0)*VLOOKUP('Données projet'!$B$9,Paramètres!$A$1:$I$89,5,0)</f>
        <v>115.40880000000001</v>
      </c>
      <c r="P37" s="13">
        <f t="shared" si="33"/>
        <v>30.60175820334798</v>
      </c>
      <c r="Q37" s="20">
        <f t="shared" si="53"/>
        <v>254.30172220416441</v>
      </c>
      <c r="R37" s="59">
        <f t="shared" si="0"/>
        <v>547.63505553749769</v>
      </c>
      <c r="S37" s="59">
        <f ca="1">AVERAGE(OFFSET($R$3,0,0,'Données projet'!$E$9+1,1))-AVERAGE(OFFSET($H$3,0,0,'Données projet'!$E$9+1,1))</f>
        <v>328.34986205643321</v>
      </c>
      <c r="T37" s="59">
        <f t="shared" si="34"/>
        <v>251.60894449147008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5.6843418860808015E-14</v>
      </c>
      <c r="AJ37" s="13">
        <f>AI37*VLOOKUP('Données projet'!$B$10,Paramètres!$A$1:$I$89,3,0)*VLOOKUP('Données projet'!$B$10,Paramètres!$A$1:$I$89,5,0)</f>
        <v>2.8908289095852525E-14</v>
      </c>
      <c r="AK37" s="13">
        <f t="shared" si="35"/>
        <v>5.0177780569126974E-13</v>
      </c>
      <c r="AL37" s="20">
        <f t="shared" si="4"/>
        <v>9.2427828175423786E-13</v>
      </c>
      <c r="AM37" s="59">
        <f t="shared" si="5"/>
        <v>293.33333333333422</v>
      </c>
      <c r="AN37" s="59">
        <f ca="1">AVERAGE(OFFSET($AM$3,0,0,'Données projet'!$E$10+1,1))-AVERAGE(OFFSET($H$3,0,0,'Données projet'!$E$10+1,1))</f>
        <v>141.98581704643658</v>
      </c>
      <c r="AO37" s="59">
        <f t="shared" si="36"/>
        <v>396.03373990407204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84.968323893875038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0.79798684031233347</v>
      </c>
      <c r="AX37" s="21">
        <f t="shared" si="6"/>
        <v>85.766310734187371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-5.6843418860808015E-14</v>
      </c>
      <c r="BE37" s="13">
        <f>BD37*VLOOKUP('Données projet'!$B$11,Paramètres!$A$1:$I$89,3,0)*VLOOKUP('Données projet'!$B$11,Paramètres!$A$1:$I$89,5,0)</f>
        <v>-3.2810021366458389E-14</v>
      </c>
      <c r="BF37" s="13" t="e">
        <f t="shared" si="37"/>
        <v>#NUM!</v>
      </c>
      <c r="BG37" s="20" t="e">
        <f t="shared" si="7"/>
        <v>#NUM!</v>
      </c>
      <c r="BH37" s="59" t="e">
        <f t="shared" si="8"/>
        <v>#NUM!</v>
      </c>
      <c r="BI37" s="59">
        <f ca="1">AVERAGE(OFFSET($BH$3,0,0,'Données projet'!$E$11+1,1))-AVERAGE(OFFSET($H$3,0,0,'Données projet'!$E$11+1,1))</f>
        <v>122.36861947722917</v>
      </c>
      <c r="BJ37" s="59">
        <f t="shared" si="38"/>
        <v>341.51856651265109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73.602301145466583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0.69124192450995947</v>
      </c>
      <c r="BS37" s="22">
        <f t="shared" si="9"/>
        <v>74.293543069976536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6">
        <f t="shared" si="1"/>
        <v>327.61220793297304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11</v>
      </c>
      <c r="N38" s="13">
        <f>IF('Données projet'!$A$36&gt;35,N37+M38-V37,IF(A38&lt;'Données projet'!$A$36,$K$205^A38,IF(A38='Données projet'!$A$36,'Données projet'!$B$36,N37+M38-V37)))</f>
        <v>148</v>
      </c>
      <c r="O38" s="13">
        <f>N38*VLOOKUP('Données projet'!$B$9,Paramètres!$A$1:$I$89,3,0)*VLOOKUP('Données projet'!$B$9,Paramètres!$A$1:$I$89,5,0)</f>
        <v>124.6752</v>
      </c>
      <c r="P38" s="13">
        <f t="shared" si="33"/>
        <v>32.762975561628714</v>
      </c>
      <c r="Q38" s="20">
        <f t="shared" si="53"/>
        <v>274.20482243650338</v>
      </c>
      <c r="R38" s="59">
        <f t="shared" si="0"/>
        <v>567.53815576983675</v>
      </c>
      <c r="S38" s="59">
        <f ca="1">AVERAGE(OFFSET($R$3,0,0,'Données projet'!$E$9+1,1))-AVERAGE(OFFSET($H$3,0,0,'Données projet'!$E$9+1,1))</f>
        <v>328.34986205643321</v>
      </c>
      <c r="T38" s="59">
        <f t="shared" si="34"/>
        <v>251.60894449147008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5.6843418860808015E-14</v>
      </c>
      <c r="AJ38" s="13">
        <f>AI38*VLOOKUP('Données projet'!$B$10,Paramètres!$A$1:$I$89,3,0)*VLOOKUP('Données projet'!$B$10,Paramètres!$A$1:$I$89,5,0)</f>
        <v>2.8908289095852525E-14</v>
      </c>
      <c r="AK38" s="13">
        <f t="shared" si="35"/>
        <v>5.0177780569126974E-13</v>
      </c>
      <c r="AL38" s="20">
        <f t="shared" si="4"/>
        <v>9.2427828175423786E-13</v>
      </c>
      <c r="AM38" s="59">
        <f t="shared" si="5"/>
        <v>293.33333333333422</v>
      </c>
      <c r="AN38" s="59">
        <f ca="1">AVERAGE(OFFSET($AM$3,0,0,'Données projet'!$E$10+1,1))-AVERAGE(OFFSET($H$3,0,0,'Données projet'!$E$10+1,1))</f>
        <v>141.98581704643658</v>
      </c>
      <c r="AO38" s="59">
        <f t="shared" si="36"/>
        <v>396.03373990407204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83.302146887876376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0.56426190608247762</v>
      </c>
      <c r="AX38" s="21">
        <f t="shared" si="6"/>
        <v>83.866408793958854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-5.6843418860808015E-14</v>
      </c>
      <c r="BE38" s="13">
        <f>BD38*VLOOKUP('Données projet'!$B$11,Paramètres!$A$1:$I$89,3,0)*VLOOKUP('Données projet'!$B$11,Paramètres!$A$1:$I$89,5,0)</f>
        <v>-3.2810021366458389E-14</v>
      </c>
      <c r="BF38" s="13" t="e">
        <f t="shared" si="37"/>
        <v>#NUM!</v>
      </c>
      <c r="BG38" s="20" t="e">
        <f t="shared" si="7"/>
        <v>#NUM!</v>
      </c>
      <c r="BH38" s="59" t="e">
        <f t="shared" si="8"/>
        <v>#NUM!</v>
      </c>
      <c r="BI38" s="59">
        <f ca="1">AVERAGE(OFFSET($BH$3,0,0,'Données projet'!$E$11+1,1))-AVERAGE(OFFSET($H$3,0,0,'Données projet'!$E$11+1,1))</f>
        <v>122.36861947722917</v>
      </c>
      <c r="BJ38" s="59">
        <f t="shared" si="38"/>
        <v>341.51856651265109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72.159004912974865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0.48878185226143195</v>
      </c>
      <c r="BS38" s="22">
        <f t="shared" si="9"/>
        <v>72.64778676523629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6">
        <f t="shared" si="1"/>
        <v>329.58285087123795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</v>
      </c>
      <c r="N39" s="13">
        <f>IF('Données projet'!$A$36&gt;35,N38+M39-V38,IF(A39&lt;'Données projet'!$A$36,$K$205^A39,IF(A39='Données projet'!$A$36,'Données projet'!$B$36,N38+M39-V38)))</f>
        <v>159</v>
      </c>
      <c r="O39" s="13">
        <f>N39*VLOOKUP('Données projet'!$B$9,Paramètres!$A$1:$I$89,3,0)*VLOOKUP('Données projet'!$B$9,Paramètres!$A$1:$I$89,5,0)</f>
        <v>133.94159999999999</v>
      </c>
      <c r="P39" s="13">
        <f t="shared" si="33"/>
        <v>34.905558014330531</v>
      </c>
      <c r="Q39" s="20">
        <f t="shared" si="53"/>
        <v>294.07546687495898</v>
      </c>
      <c r="R39" s="59">
        <f t="shared" si="0"/>
        <v>587.40880020829229</v>
      </c>
      <c r="S39" s="59">
        <f ca="1">AVERAGE(OFFSET($R$3,0,0,'Données projet'!$E$9+1,1))-AVERAGE(OFFSET($H$3,0,0,'Données projet'!$E$9+1,1))</f>
        <v>328.34986205643321</v>
      </c>
      <c r="T39" s="59">
        <f t="shared" si="34"/>
        <v>251.60894449147008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5.6843418860808015E-14</v>
      </c>
      <c r="AJ39" s="13">
        <f>AI39*VLOOKUP('Données projet'!$B$10,Paramètres!$A$1:$I$89,3,0)*VLOOKUP('Données projet'!$B$10,Paramètres!$A$1:$I$89,5,0)</f>
        <v>2.8908289095852525E-14</v>
      </c>
      <c r="AK39" s="13">
        <f t="shared" si="35"/>
        <v>5.0177780569126974E-13</v>
      </c>
      <c r="AL39" s="20">
        <f t="shared" si="4"/>
        <v>9.2427828175423786E-13</v>
      </c>
      <c r="AM39" s="59">
        <f t="shared" si="5"/>
        <v>293.33333333333422</v>
      </c>
      <c r="AN39" s="59">
        <f ca="1">AVERAGE(OFFSET($AM$3,0,0,'Données projet'!$E$10+1,1))-AVERAGE(OFFSET($H$3,0,0,'Données projet'!$E$10+1,1))</f>
        <v>141.98581704643658</v>
      </c>
      <c r="AO39" s="59">
        <f t="shared" si="36"/>
        <v>396.03373990407204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81.668642596697723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0.39899342015616673</v>
      </c>
      <c r="AX39" s="21">
        <f t="shared" si="6"/>
        <v>82.067636016853896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-5.6843418860808015E-14</v>
      </c>
      <c r="BE39" s="13">
        <f>BD39*VLOOKUP('Données projet'!$B$11,Paramètres!$A$1:$I$89,3,0)*VLOOKUP('Données projet'!$B$11,Paramètres!$A$1:$I$89,5,0)</f>
        <v>-3.2810021366458389E-14</v>
      </c>
      <c r="BF39" s="13" t="e">
        <f t="shared" si="37"/>
        <v>#NUM!</v>
      </c>
      <c r="BG39" s="20" t="e">
        <f t="shared" si="7"/>
        <v>#NUM!</v>
      </c>
      <c r="BH39" s="59" t="e">
        <f t="shared" si="8"/>
        <v>#NUM!</v>
      </c>
      <c r="BI39" s="59">
        <f ca="1">AVERAGE(OFFSET($BH$3,0,0,'Données projet'!$E$11+1,1))-AVERAGE(OFFSET($H$3,0,0,'Données projet'!$E$11+1,1))</f>
        <v>122.36861947722917</v>
      </c>
      <c r="BJ39" s="59">
        <f t="shared" si="38"/>
        <v>341.51856651265109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70.744010839278531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0.34562096225497979</v>
      </c>
      <c r="BS39" s="22">
        <f t="shared" si="9"/>
        <v>71.089631801533514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6">
        <f t="shared" si="1"/>
        <v>331.55213151314524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</v>
      </c>
      <c r="N40" s="13">
        <f>IF('Données projet'!$A$36&gt;35,N39+M40-V39,IF(A40&lt;'Données projet'!$A$36,$K$205^A40,IF(A40='Données projet'!$A$36,'Données projet'!$B$36,N39+M40-V39)))</f>
        <v>170</v>
      </c>
      <c r="O40" s="13">
        <f>N40*VLOOKUP('Données projet'!$B$9,Paramètres!$A$1:$I$89,3,0)*VLOOKUP('Données projet'!$B$9,Paramètres!$A$1:$I$89,5,0)</f>
        <v>143.20800000000003</v>
      </c>
      <c r="P40" s="13">
        <f t="shared" si="33"/>
        <v>37.030941422835831</v>
      </c>
      <c r="Q40" s="20">
        <f t="shared" si="53"/>
        <v>313.91615631143912</v>
      </c>
      <c r="R40" s="59">
        <f t="shared" si="0"/>
        <v>607.24948964477244</v>
      </c>
      <c r="S40" s="59">
        <f ca="1">AVERAGE(OFFSET($R$3,0,0,'Données projet'!$E$9+1,1))-AVERAGE(OFFSET($H$3,0,0,'Données projet'!$E$9+1,1))</f>
        <v>328.34986205643321</v>
      </c>
      <c r="T40" s="59">
        <f t="shared" si="34"/>
        <v>251.60894449147008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5.6843418860808015E-14</v>
      </c>
      <c r="AJ40" s="13">
        <f>AI40*VLOOKUP('Données projet'!$B$10,Paramètres!$A$1:$I$89,3,0)*VLOOKUP('Données projet'!$B$10,Paramètres!$A$1:$I$89,5,0)</f>
        <v>2.8908289095852525E-14</v>
      </c>
      <c r="AK40" s="13">
        <f t="shared" si="35"/>
        <v>5.0177780569126974E-13</v>
      </c>
      <c r="AL40" s="20">
        <f t="shared" si="4"/>
        <v>9.2427828175423786E-13</v>
      </c>
      <c r="AM40" s="59">
        <f t="shared" si="5"/>
        <v>293.33333333333422</v>
      </c>
      <c r="AN40" s="59">
        <f ca="1">AVERAGE(OFFSET($AM$3,0,0,'Données projet'!$E$10+1,1))-AVERAGE(OFFSET($H$3,0,0,'Données projet'!$E$10+1,1))</f>
        <v>141.98581704643658</v>
      </c>
      <c r="AO40" s="59">
        <f t="shared" si="36"/>
        <v>396.03373990407204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80.067170328329837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0.28213095304123881</v>
      </c>
      <c r="AX40" s="21">
        <f t="shared" si="6"/>
        <v>80.349301281371069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-5.6843418860808015E-14</v>
      </c>
      <c r="BE40" s="13">
        <f>BD40*VLOOKUP('Données projet'!$B$11,Paramètres!$A$1:$I$89,3,0)*VLOOKUP('Données projet'!$B$11,Paramètres!$A$1:$I$89,5,0)</f>
        <v>-3.2810021366458389E-14</v>
      </c>
      <c r="BF40" s="13" t="e">
        <f t="shared" si="37"/>
        <v>#NUM!</v>
      </c>
      <c r="BG40" s="20" t="e">
        <f t="shared" si="7"/>
        <v>#NUM!</v>
      </c>
      <c r="BH40" s="59" t="e">
        <f t="shared" si="8"/>
        <v>#NUM!</v>
      </c>
      <c r="BI40" s="59">
        <f ca="1">AVERAGE(OFFSET($BH$3,0,0,'Données projet'!$E$11+1,1))-AVERAGE(OFFSET($H$3,0,0,'Données projet'!$E$11+1,1))</f>
        <v>122.36861947722917</v>
      </c>
      <c r="BJ40" s="59">
        <f t="shared" si="38"/>
        <v>341.51856651265109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69.356763936306223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0.244390926130716</v>
      </c>
      <c r="BS40" s="22">
        <f t="shared" si="9"/>
        <v>69.601154862436942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6">
        <f t="shared" si="1"/>
        <v>333.52009090875754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</v>
      </c>
      <c r="N41" s="13">
        <f>IF('Données projet'!$A$36&gt;35,N40+M41-V40,IF(A41&lt;'Données projet'!$A$36,$K$205^A41,IF(A41='Données projet'!$A$36,'Données projet'!$B$36,N40+M41-V40)))</f>
        <v>181</v>
      </c>
      <c r="O41" s="13">
        <f>N41*VLOOKUP('Données projet'!$B$9,Paramètres!$A$1:$I$89,3,0)*VLOOKUP('Données projet'!$B$9,Paramètres!$A$1:$I$89,5,0)</f>
        <v>152.47440000000003</v>
      </c>
      <c r="P41" s="13">
        <f t="shared" si="33"/>
        <v>39.140365323908171</v>
      </c>
      <c r="Q41" s="20">
        <f t="shared" si="53"/>
        <v>333.72904960580678</v>
      </c>
      <c r="R41" s="59">
        <f t="shared" si="0"/>
        <v>627.06238293914009</v>
      </c>
      <c r="S41" s="59">
        <f ca="1">AVERAGE(OFFSET($R$3,0,0,'Données projet'!$E$9+1,1))-AVERAGE(OFFSET($H$3,0,0,'Données projet'!$E$9+1,1))</f>
        <v>328.34986205643321</v>
      </c>
      <c r="T41" s="59">
        <f t="shared" si="34"/>
        <v>251.60894449147008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5.6843418860808015E-14</v>
      </c>
      <c r="AJ41" s="13">
        <f>AI41*VLOOKUP('Données projet'!$B$10,Paramètres!$A$1:$I$89,3,0)*VLOOKUP('Données projet'!$B$10,Paramètres!$A$1:$I$89,5,0)</f>
        <v>2.8908289095852525E-14</v>
      </c>
      <c r="AK41" s="13">
        <f t="shared" si="35"/>
        <v>5.0177780569126974E-13</v>
      </c>
      <c r="AL41" s="20">
        <f t="shared" si="4"/>
        <v>9.2427828175423786E-13</v>
      </c>
      <c r="AM41" s="59">
        <f t="shared" si="5"/>
        <v>293.33333333333422</v>
      </c>
      <c r="AN41" s="59">
        <f ca="1">AVERAGE(OFFSET($AM$3,0,0,'Données projet'!$E$10+1,1))-AVERAGE(OFFSET($H$3,0,0,'Données projet'!$E$10+1,1))</f>
        <v>141.98581704643658</v>
      </c>
      <c r="AO41" s="59">
        <f t="shared" si="36"/>
        <v>396.03373990407204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78.497101954343023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0.19949671007808337</v>
      </c>
      <c r="AX41" s="21">
        <f t="shared" si="6"/>
        <v>78.696598664421103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-5.6843418860808015E-14</v>
      </c>
      <c r="BE41" s="13">
        <f>BD41*VLOOKUP('Données projet'!$B$11,Paramètres!$A$1:$I$89,3,0)*VLOOKUP('Données projet'!$B$11,Paramètres!$A$1:$I$89,5,0)</f>
        <v>-3.2810021366458389E-14</v>
      </c>
      <c r="BF41" s="13" t="e">
        <f t="shared" si="37"/>
        <v>#NUM!</v>
      </c>
      <c r="BG41" s="20" t="e">
        <f t="shared" si="7"/>
        <v>#NUM!</v>
      </c>
      <c r="BH41" s="59" t="e">
        <f t="shared" si="8"/>
        <v>#NUM!</v>
      </c>
      <c r="BI41" s="59">
        <f ca="1">AVERAGE(OFFSET($BH$3,0,0,'Données projet'!$E$11+1,1))-AVERAGE(OFFSET($H$3,0,0,'Données projet'!$E$11+1,1))</f>
        <v>122.36861947722917</v>
      </c>
      <c r="BJ41" s="59">
        <f t="shared" si="38"/>
        <v>341.51856651265109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67.996720098964147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0.17281048112748992</v>
      </c>
      <c r="BS41" s="22">
        <f t="shared" si="9"/>
        <v>68.169530580091632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6">
        <f t="shared" si="1"/>
        <v>335.48676782456732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</v>
      </c>
      <c r="N42" s="13">
        <f>IF('Données projet'!$A$36&gt;35,N41+M42-V41,IF(A42&lt;'Données projet'!$A$36,$K$205^A42,IF(A42='Données projet'!$A$36,'Données projet'!$B$36,N41+M42-V41)))</f>
        <v>192</v>
      </c>
      <c r="O42" s="13">
        <f>N42*VLOOKUP('Données projet'!$B$9,Paramètres!$A$1:$I$89,3,0)*VLOOKUP('Données projet'!$B$9,Paramètres!$A$1:$I$89,5,0)</f>
        <v>161.74080000000001</v>
      </c>
      <c r="P42" s="13">
        <f t="shared" si="33"/>
        <v>41.234910079352424</v>
      </c>
      <c r="Q42" s="20">
        <f t="shared" si="53"/>
        <v>353.51602838820548</v>
      </c>
      <c r="R42" s="59">
        <f t="shared" si="0"/>
        <v>646.8493617215388</v>
      </c>
      <c r="S42" s="59">
        <f ca="1">AVERAGE(OFFSET($R$3,0,0,'Données projet'!$E$9+1,1))-AVERAGE(OFFSET($H$3,0,0,'Données projet'!$E$9+1,1))</f>
        <v>328.34986205643321</v>
      </c>
      <c r="T42" s="59">
        <f t="shared" si="34"/>
        <v>251.60894449147008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5.6843418860808015E-14</v>
      </c>
      <c r="AJ42" s="13">
        <f>AI42*VLOOKUP('Données projet'!$B$10,Paramètres!$A$1:$I$89,3,0)*VLOOKUP('Données projet'!$B$10,Paramètres!$A$1:$I$89,5,0)</f>
        <v>2.8908289095852525E-14</v>
      </c>
      <c r="AK42" s="13">
        <f t="shared" si="35"/>
        <v>5.0177780569126974E-13</v>
      </c>
      <c r="AL42" s="20">
        <f t="shared" si="4"/>
        <v>9.2427828175423786E-13</v>
      </c>
      <c r="AM42" s="59">
        <f t="shared" si="5"/>
        <v>293.33333333333422</v>
      </c>
      <c r="AN42" s="59">
        <f ca="1">AVERAGE(OFFSET($AM$3,0,0,'Données projet'!$E$10+1,1))-AVERAGE(OFFSET($H$3,0,0,'Données projet'!$E$10+1,1))</f>
        <v>141.98581704643658</v>
      </c>
      <c r="AO42" s="59">
        <f t="shared" si="36"/>
        <v>396.03373990407204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76.957821663522935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0.1410654765206194</v>
      </c>
      <c r="AX42" s="21">
        <f t="shared" si="6"/>
        <v>77.098887140043558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-5.6843418860808015E-14</v>
      </c>
      <c r="BE42" s="13">
        <f>BD42*VLOOKUP('Données projet'!$B$11,Paramètres!$A$1:$I$89,3,0)*VLOOKUP('Données projet'!$B$11,Paramètres!$A$1:$I$89,5,0)</f>
        <v>-3.2810021366458389E-14</v>
      </c>
      <c r="BF42" s="13" t="e">
        <f t="shared" si="37"/>
        <v>#NUM!</v>
      </c>
      <c r="BG42" s="20" t="e">
        <f t="shared" si="7"/>
        <v>#NUM!</v>
      </c>
      <c r="BH42" s="59" t="e">
        <f t="shared" si="8"/>
        <v>#NUM!</v>
      </c>
      <c r="BI42" s="59">
        <f ca="1">AVERAGE(OFFSET($BH$3,0,0,'Données projet'!$E$11+1,1))-AVERAGE(OFFSET($H$3,0,0,'Données projet'!$E$11+1,1))</f>
        <v>122.36861947722917</v>
      </c>
      <c r="BJ42" s="59">
        <f t="shared" si="38"/>
        <v>341.51856651265109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66.663345891727516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0.12219546306535803</v>
      </c>
      <c r="BS42" s="22">
        <f t="shared" si="9"/>
        <v>66.785541354792869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6">
        <f t="shared" si="1"/>
        <v>337.45219892578052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203</v>
      </c>
      <c r="L43" s="12">
        <f>VLOOKUP(A43,'Données projet'!$A$35:$I$55,9,0)</f>
        <v>11</v>
      </c>
      <c r="M43" s="12">
        <f t="array" ref="M43">INDEX(L:L,MIN(IF(ISNUMBER(L43:L239),ROW(L43:L239),"")))</f>
        <v>11</v>
      </c>
      <c r="N43" s="13">
        <f>IF('Données projet'!$A$36&gt;35,N42+M43-V42,IF(A43&lt;'Données projet'!$A$36,$K$205^A43,IF(A43='Données projet'!$A$36,'Données projet'!$B$36,N42+M43-V42)))</f>
        <v>203</v>
      </c>
      <c r="O43" s="13">
        <f>N43*VLOOKUP('Données projet'!$B$9,Paramètres!$A$1:$I$89,3,0)*VLOOKUP('Données projet'!$B$9,Paramètres!$A$1:$I$89,5,0)</f>
        <v>171.00720000000001</v>
      </c>
      <c r="P43" s="13">
        <f t="shared" si="33"/>
        <v>43.315525267338089</v>
      </c>
      <c r="Q43" s="20">
        <f t="shared" si="53"/>
        <v>373.27874650728057</v>
      </c>
      <c r="R43" s="59">
        <f t="shared" si="0"/>
        <v>666.61207984061389</v>
      </c>
      <c r="S43" s="59">
        <f ca="1">AVERAGE(OFFSET($R$3,0,0,'Données projet'!$E$9+1,1))-AVERAGE(OFFSET($H$3,0,0,'Données projet'!$E$9+1,1))</f>
        <v>328.34986205643321</v>
      </c>
      <c r="T43" s="59">
        <f t="shared" si="34"/>
        <v>251.60894449147008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56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5.6843418860808015E-14</v>
      </c>
      <c r="AJ43" s="13">
        <f>AI43*VLOOKUP('Données projet'!$B$10,Paramètres!$A$1:$I$89,3,0)*VLOOKUP('Données projet'!$B$10,Paramètres!$A$1:$I$89,5,0)</f>
        <v>2.8908289095852525E-14</v>
      </c>
      <c r="AK43" s="13">
        <f t="shared" si="35"/>
        <v>5.0177780569126974E-13</v>
      </c>
      <c r="AL43" s="20">
        <f t="shared" si="4"/>
        <v>9.2427828175423786E-13</v>
      </c>
      <c r="AM43" s="59">
        <f t="shared" si="5"/>
        <v>293.33333333333422</v>
      </c>
      <c r="AN43" s="59">
        <f ca="1">AVERAGE(OFFSET($AM$3,0,0,'Données projet'!$E$10+1,1))-AVERAGE(OFFSET($H$3,0,0,'Données projet'!$E$10+1,1))</f>
        <v>141.98581704643658</v>
      </c>
      <c r="AO43" s="59">
        <f t="shared" si="36"/>
        <v>396.03373990407204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75.448725720337563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9.9748355039041683E-2</v>
      </c>
      <c r="AX43" s="21">
        <f t="shared" si="6"/>
        <v>75.548474075376603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-5.6843418860808015E-14</v>
      </c>
      <c r="BE43" s="13">
        <f>BD43*VLOOKUP('Données projet'!$B$11,Paramètres!$A$1:$I$89,3,0)*VLOOKUP('Données projet'!$B$11,Paramètres!$A$1:$I$89,5,0)</f>
        <v>-3.2810021366458389E-14</v>
      </c>
      <c r="BF43" s="13" t="e">
        <f t="shared" si="37"/>
        <v>#NUM!</v>
      </c>
      <c r="BG43" s="20" t="e">
        <f t="shared" si="7"/>
        <v>#NUM!</v>
      </c>
      <c r="BH43" s="59" t="e">
        <f t="shared" si="8"/>
        <v>#NUM!</v>
      </c>
      <c r="BI43" s="59">
        <f ca="1">AVERAGE(OFFSET($BH$3,0,0,'Données projet'!$E$11+1,1))-AVERAGE(OFFSET($H$3,0,0,'Données projet'!$E$11+1,1))</f>
        <v>122.36861947722917</v>
      </c>
      <c r="BJ43" s="59">
        <f t="shared" si="38"/>
        <v>341.51856651265109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65.356118339416824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8.6405240563744976E-2</v>
      </c>
      <c r="BS43" s="22">
        <f t="shared" si="9"/>
        <v>65.442523579980573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6">
        <f t="shared" si="1"/>
        <v>339.41641893985832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11.2</v>
      </c>
      <c r="N44" s="13">
        <f>IF('Données projet'!$A$36&gt;35,N43+M44-V43,IF(A44&lt;'Données projet'!$A$36,$K$205^A44,IF(A44='Données projet'!$A$36,'Données projet'!$B$36,N43+M44-V43)))</f>
        <v>158.19999999999999</v>
      </c>
      <c r="O44" s="13">
        <f>N44*VLOOKUP('Données projet'!$B$9,Paramètres!$A$1:$I$89,3,0)*VLOOKUP('Données projet'!$B$9,Paramètres!$A$1:$I$89,5,0)</f>
        <v>133.26768000000001</v>
      </c>
      <c r="P44" s="13">
        <f t="shared" si="33"/>
        <v>34.750329840004937</v>
      </c>
      <c r="Q44" s="20">
        <f t="shared" si="53"/>
        <v>292.63136713800856</v>
      </c>
      <c r="R44" s="59">
        <f t="shared" si="0"/>
        <v>585.96470047134187</v>
      </c>
      <c r="S44" s="59">
        <f ca="1">AVERAGE(OFFSET($R$3,0,0,'Données projet'!$E$9+1,1))-AVERAGE(OFFSET($H$3,0,0,'Données projet'!$E$9+1,1))</f>
        <v>328.34986205643321</v>
      </c>
      <c r="T44" s="59">
        <f t="shared" si="34"/>
        <v>251.60894449147008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5.6843418860808015E-14</v>
      </c>
      <c r="AJ44" s="13">
        <f>AI44*VLOOKUP('Données projet'!$B$10,Paramètres!$A$1:$I$89,3,0)*VLOOKUP('Données projet'!$B$10,Paramètres!$A$1:$I$89,5,0)</f>
        <v>2.8908289095852525E-14</v>
      </c>
      <c r="AK44" s="13">
        <f t="shared" si="35"/>
        <v>5.0177780569126974E-13</v>
      </c>
      <c r="AL44" s="20">
        <f t="shared" si="4"/>
        <v>9.2427828175423786E-13</v>
      </c>
      <c r="AM44" s="59">
        <f t="shared" si="5"/>
        <v>293.33333333333422</v>
      </c>
      <c r="AN44" s="59">
        <f ca="1">AVERAGE(OFFSET($AM$3,0,0,'Données projet'!$E$10+1,1))-AVERAGE(OFFSET($H$3,0,0,'Données projet'!$E$10+1,1))</f>
        <v>141.98581704643658</v>
      </c>
      <c r="AO44" s="59">
        <f t="shared" si="36"/>
        <v>396.03373990407204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73.96922222814041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7.0532738260309702E-2</v>
      </c>
      <c r="AX44" s="21">
        <f t="shared" si="6"/>
        <v>74.039754966400722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-5.6843418860808015E-14</v>
      </c>
      <c r="BE44" s="13">
        <f>BD44*VLOOKUP('Données projet'!$B$11,Paramètres!$A$1:$I$89,3,0)*VLOOKUP('Données projet'!$B$11,Paramètres!$A$1:$I$89,5,0)</f>
        <v>-3.2810021366458389E-14</v>
      </c>
      <c r="BF44" s="13" t="e">
        <f t="shared" si="37"/>
        <v>#NUM!</v>
      </c>
      <c r="BG44" s="20" t="e">
        <f t="shared" si="7"/>
        <v>#NUM!</v>
      </c>
      <c r="BH44" s="59" t="e">
        <f t="shared" si="8"/>
        <v>#NUM!</v>
      </c>
      <c r="BI44" s="59">
        <f ca="1">AVERAGE(OFFSET($BH$3,0,0,'Données projet'!$E$11+1,1))-AVERAGE(OFFSET($H$3,0,0,'Données projet'!$E$11+1,1))</f>
        <v>122.36861947722917</v>
      </c>
      <c r="BJ44" s="59">
        <f t="shared" si="38"/>
        <v>341.51856651265109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64.074524722076873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6.1097731532679021E-2</v>
      </c>
      <c r="BS44" s="22">
        <f t="shared" si="9"/>
        <v>64.135622453609557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6">
        <f t="shared" si="1"/>
        <v>341.37946080365469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11.2</v>
      </c>
      <c r="N45" s="13">
        <f>IF('Données projet'!$A$36&gt;35,N44+M45-V44,IF(A45&lt;'Données projet'!$A$36,$K$205^A45,IF(A45='Données projet'!$A$36,'Données projet'!$B$36,N44+M45-V44)))</f>
        <v>169.39999999999998</v>
      </c>
      <c r="O45" s="13">
        <f>N45*VLOOKUP('Données projet'!$B$9,Paramètres!$A$1:$I$89,3,0)*VLOOKUP('Données projet'!$B$9,Paramètres!$A$1:$I$89,5,0)</f>
        <v>142.70256000000001</v>
      </c>
      <c r="P45" s="13">
        <f t="shared" si="33"/>
        <v>36.91543341153259</v>
      </c>
      <c r="Q45" s="20">
        <f t="shared" si="53"/>
        <v>312.83467185841931</v>
      </c>
      <c r="R45" s="59">
        <f t="shared" si="0"/>
        <v>606.16800519175263</v>
      </c>
      <c r="S45" s="59">
        <f ca="1">AVERAGE(OFFSET($R$3,0,0,'Données projet'!$E$9+1,1))-AVERAGE(OFFSET($H$3,0,0,'Données projet'!$E$9+1,1))</f>
        <v>328.34986205643321</v>
      </c>
      <c r="T45" s="59">
        <f t="shared" si="34"/>
        <v>251.60894449147008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5.6843418860808015E-14</v>
      </c>
      <c r="AJ45" s="13">
        <f>AI45*VLOOKUP('Données projet'!$B$10,Paramètres!$A$1:$I$89,3,0)*VLOOKUP('Données projet'!$B$10,Paramètres!$A$1:$I$89,5,0)</f>
        <v>2.8908289095852525E-14</v>
      </c>
      <c r="AK45" s="13">
        <f t="shared" si="35"/>
        <v>5.0177780569126974E-13</v>
      </c>
      <c r="AL45" s="20">
        <f t="shared" si="4"/>
        <v>9.2427828175423786E-13</v>
      </c>
      <c r="AM45" s="59">
        <f t="shared" si="5"/>
        <v>293.33333333333422</v>
      </c>
      <c r="AN45" s="59">
        <f ca="1">AVERAGE(OFFSET($AM$3,0,0,'Données projet'!$E$10+1,1))-AVERAGE(OFFSET($H$3,0,0,'Données projet'!$E$10+1,1))</f>
        <v>141.98581704643658</v>
      </c>
      <c r="AO45" s="59">
        <f t="shared" si="36"/>
        <v>396.03373990407204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72.518730897017221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4.9874177519520842E-2</v>
      </c>
      <c r="AX45" s="21">
        <f t="shared" si="6"/>
        <v>72.568605074536748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-5.6843418860808015E-14</v>
      </c>
      <c r="BE45" s="13">
        <f>BD45*VLOOKUP('Données projet'!$B$11,Paramètres!$A$1:$I$89,3,0)*VLOOKUP('Données projet'!$B$11,Paramètres!$A$1:$I$89,5,0)</f>
        <v>-3.2810021366458389E-14</v>
      </c>
      <c r="BF45" s="13" t="e">
        <f t="shared" si="37"/>
        <v>#NUM!</v>
      </c>
      <c r="BG45" s="20" t="e">
        <f t="shared" si="7"/>
        <v>#NUM!</v>
      </c>
      <c r="BH45" s="59" t="e">
        <f t="shared" si="8"/>
        <v>#NUM!</v>
      </c>
      <c r="BI45" s="59">
        <f ca="1">AVERAGE(OFFSET($BH$3,0,0,'Données projet'!$E$11+1,1))-AVERAGE(OFFSET($H$3,0,0,'Données projet'!$E$11+1,1))</f>
        <v>122.36861947722917</v>
      </c>
      <c r="BJ45" s="59">
        <f t="shared" si="38"/>
        <v>341.51856651265109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62.818062373878035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4.3202620281872495E-2</v>
      </c>
      <c r="BS45" s="22">
        <f t="shared" si="9"/>
        <v>62.86126499415991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6">
        <f t="shared" si="1"/>
        <v>343.34135579614605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11.2</v>
      </c>
      <c r="N46" s="13">
        <f>IF('Données projet'!$A$36&gt;35,N45+M46-V45,IF(A46&lt;'Données projet'!$A$36,$K$205^A46,IF(A46='Données projet'!$A$36,'Données projet'!$B$36,N45+M46-V45)))</f>
        <v>180.59999999999997</v>
      </c>
      <c r="O46" s="13">
        <f>N46*VLOOKUP('Données projet'!$B$9,Paramètres!$A$1:$I$89,3,0)*VLOOKUP('Données projet'!$B$9,Paramètres!$A$1:$I$89,5,0)</f>
        <v>152.13744</v>
      </c>
      <c r="P46" s="13">
        <f t="shared" si="33"/>
        <v>39.063925813036093</v>
      </c>
      <c r="Q46" s="20">
        <f t="shared" si="53"/>
        <v>333.00904545770453</v>
      </c>
      <c r="R46" s="59">
        <f t="shared" si="0"/>
        <v>626.34237879103785</v>
      </c>
      <c r="S46" s="59">
        <f ca="1">AVERAGE(OFFSET($R$3,0,0,'Données projet'!$E$9+1,1))-AVERAGE(OFFSET($H$3,0,0,'Données projet'!$E$9+1,1))</f>
        <v>328.34986205643321</v>
      </c>
      <c r="T46" s="59">
        <f t="shared" si="34"/>
        <v>251.60894449147008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5.6843418860808015E-14</v>
      </c>
      <c r="AJ46" s="13">
        <f>AI46*VLOOKUP('Données projet'!$B$10,Paramètres!$A$1:$I$89,3,0)*VLOOKUP('Données projet'!$B$10,Paramètres!$A$1:$I$89,5,0)</f>
        <v>2.8908289095852525E-14</v>
      </c>
      <c r="AK46" s="13">
        <f t="shared" si="35"/>
        <v>5.0177780569126974E-13</v>
      </c>
      <c r="AL46" s="20">
        <f t="shared" si="4"/>
        <v>9.2427828175423786E-13</v>
      </c>
      <c r="AM46" s="59">
        <f t="shared" si="5"/>
        <v>293.33333333333422</v>
      </c>
      <c r="AN46" s="59">
        <f ca="1">AVERAGE(OFFSET($AM$3,0,0,'Données projet'!$E$10+1,1))-AVERAGE(OFFSET($H$3,0,0,'Données projet'!$E$10+1,1))</f>
        <v>141.98581704643658</v>
      </c>
      <c r="AO46" s="59">
        <f t="shared" si="36"/>
        <v>396.03373990407204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71.096682816185009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3.5266369130154851E-2</v>
      </c>
      <c r="AX46" s="21">
        <f t="shared" si="6"/>
        <v>71.131949185315165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-5.6843418860808015E-14</v>
      </c>
      <c r="BE46" s="13">
        <f>BD46*VLOOKUP('Données projet'!$B$11,Paramètres!$A$1:$I$89,3,0)*VLOOKUP('Données projet'!$B$11,Paramètres!$A$1:$I$89,5,0)</f>
        <v>-3.2810021366458389E-14</v>
      </c>
      <c r="BF46" s="13" t="e">
        <f t="shared" si="37"/>
        <v>#NUM!</v>
      </c>
      <c r="BG46" s="20" t="e">
        <f t="shared" si="7"/>
        <v>#NUM!</v>
      </c>
      <c r="BH46" s="59" t="e">
        <f t="shared" si="8"/>
        <v>#NUM!</v>
      </c>
      <c r="BI46" s="59">
        <f ca="1">AVERAGE(OFFSET($BH$3,0,0,'Données projet'!$E$11+1,1))-AVERAGE(OFFSET($H$3,0,0,'Données projet'!$E$11+1,1))</f>
        <v>122.36861947722917</v>
      </c>
      <c r="BJ46" s="59">
        <f t="shared" si="38"/>
        <v>341.51856651265109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61.586238485961019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3.0548865766339518E-2</v>
      </c>
      <c r="BS46" s="22">
        <f t="shared" si="9"/>
        <v>61.616787351727361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6">
        <f t="shared" si="1"/>
        <v>345.30213365846572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11.2</v>
      </c>
      <c r="N47" s="13">
        <f>IF('Données projet'!$A$36&gt;35,N46+M47-V46,IF(A47&lt;'Données projet'!$A$36,$K$205^A47,IF(A47='Données projet'!$A$36,'Données projet'!$B$36,N46+M47-V46)))</f>
        <v>191.79999999999995</v>
      </c>
      <c r="O47" s="13">
        <f>N47*VLOOKUP('Données projet'!$B$9,Paramètres!$A$1:$I$89,3,0)*VLOOKUP('Données projet'!$B$9,Paramètres!$A$1:$I$89,5,0)</f>
        <v>161.57231999999999</v>
      </c>
      <c r="P47" s="13">
        <f t="shared" si="33"/>
        <v>41.196954479055741</v>
      </c>
      <c r="Q47" s="20">
        <f t="shared" si="53"/>
        <v>353.15648638435545</v>
      </c>
      <c r="R47" s="59">
        <f t="shared" si="0"/>
        <v>646.48981971768876</v>
      </c>
      <c r="S47" s="59">
        <f ca="1">AVERAGE(OFFSET($R$3,0,0,'Données projet'!$E$9+1,1))-AVERAGE(OFFSET($H$3,0,0,'Données projet'!$E$9+1,1))</f>
        <v>328.34986205643321</v>
      </c>
      <c r="T47" s="59">
        <f t="shared" si="34"/>
        <v>251.60894449147008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5.6843418860808015E-14</v>
      </c>
      <c r="AJ47" s="13">
        <f>AI47*VLOOKUP('Données projet'!$B$10,Paramètres!$A$1:$I$89,3,0)*VLOOKUP('Données projet'!$B$10,Paramètres!$A$1:$I$89,5,0)</f>
        <v>2.8908289095852525E-14</v>
      </c>
      <c r="AK47" s="13">
        <f t="shared" si="35"/>
        <v>5.0177780569126974E-13</v>
      </c>
      <c r="AL47" s="20">
        <f t="shared" si="4"/>
        <v>9.2427828175423786E-13</v>
      </c>
      <c r="AM47" s="59">
        <f t="shared" si="5"/>
        <v>293.33333333333422</v>
      </c>
      <c r="AN47" s="59">
        <f ca="1">AVERAGE(OFFSET($AM$3,0,0,'Données projet'!$E$10+1,1))-AVERAGE(OFFSET($H$3,0,0,'Données projet'!$E$10+1,1))</f>
        <v>141.98581704643658</v>
      </c>
      <c r="AO47" s="59">
        <f t="shared" si="36"/>
        <v>396.03373990407204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69.702520230854233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2.4937088759760421E-2</v>
      </c>
      <c r="AX47" s="21">
        <f t="shared" si="6"/>
        <v>69.72745731961399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-5.6843418860808015E-14</v>
      </c>
      <c r="BE47" s="13">
        <f>BD47*VLOOKUP('Données projet'!$B$11,Paramètres!$A$1:$I$89,3,0)*VLOOKUP('Données projet'!$B$11,Paramètres!$A$1:$I$89,5,0)</f>
        <v>-3.2810021366458389E-14</v>
      </c>
      <c r="BF47" s="13" t="e">
        <f t="shared" si="37"/>
        <v>#NUM!</v>
      </c>
      <c r="BG47" s="20" t="e">
        <f t="shared" si="7"/>
        <v>#NUM!</v>
      </c>
      <c r="BH47" s="59" t="e">
        <f t="shared" si="8"/>
        <v>#NUM!</v>
      </c>
      <c r="BI47" s="59">
        <f ca="1">AVERAGE(OFFSET($BH$3,0,0,'Données projet'!$E$11+1,1))-AVERAGE(OFFSET($H$3,0,0,'Données projet'!$E$11+1,1))</f>
        <v>122.36861947722917</v>
      </c>
      <c r="BJ47" s="59">
        <f t="shared" si="38"/>
        <v>341.51856651265109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60.378569913147672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2.1601310140936251E-2</v>
      </c>
      <c r="BS47" s="22">
        <f t="shared" si="9"/>
        <v>60.400171223288609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6">
        <f t="shared" si="1"/>
        <v>347.2618227027192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11.2</v>
      </c>
      <c r="N48" s="13">
        <f>IF('Données projet'!$A$36&gt;35,N47+M48-V47,IF(A48&lt;'Données projet'!$A$36,$K$205^A48,IF(A48='Données projet'!$A$36,'Données projet'!$B$36,N47+M48-V47)))</f>
        <v>202.99999999999994</v>
      </c>
      <c r="O48" s="13">
        <f>N48*VLOOKUP('Données projet'!$B$9,Paramètres!$A$1:$I$89,3,0)*VLOOKUP('Données projet'!$B$9,Paramètres!$A$1:$I$89,5,0)</f>
        <v>171.00719999999995</v>
      </c>
      <c r="P48" s="13">
        <f t="shared" si="33"/>
        <v>43.315525267338089</v>
      </c>
      <c r="Q48" s="20">
        <f t="shared" si="53"/>
        <v>373.27874650728046</v>
      </c>
      <c r="R48" s="59">
        <f t="shared" si="0"/>
        <v>666.61207984061377</v>
      </c>
      <c r="S48" s="59">
        <f ca="1">AVERAGE(OFFSET($R$3,0,0,'Données projet'!$E$9+1,1))-AVERAGE(OFFSET($H$3,0,0,'Données projet'!$E$9+1,1))</f>
        <v>328.34986205643321</v>
      </c>
      <c r="T48" s="59">
        <f t="shared" si="34"/>
        <v>251.60894449147008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5.6843418860808015E-14</v>
      </c>
      <c r="AJ48" s="13">
        <f>AI48*VLOOKUP('Données projet'!$B$10,Paramètres!$A$1:$I$89,3,0)*VLOOKUP('Données projet'!$B$10,Paramètres!$A$1:$I$89,5,0)</f>
        <v>2.8908289095852525E-14</v>
      </c>
      <c r="AK48" s="13">
        <f t="shared" si="35"/>
        <v>5.0177780569126974E-13</v>
      </c>
      <c r="AL48" s="20">
        <f t="shared" si="4"/>
        <v>9.2427828175423786E-13</v>
      </c>
      <c r="AM48" s="59">
        <f t="shared" si="5"/>
        <v>293.33333333333422</v>
      </c>
      <c r="AN48" s="59">
        <f ca="1">AVERAGE(OFFSET($AM$3,0,0,'Données projet'!$E$10+1,1))-AVERAGE(OFFSET($H$3,0,0,'Données projet'!$E$10+1,1))</f>
        <v>141.98581704643658</v>
      </c>
      <c r="AO48" s="59">
        <f t="shared" si="36"/>
        <v>396.03373990407204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68.335696323466578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1.7633184565077425E-2</v>
      </c>
      <c r="AX48" s="21">
        <f t="shared" si="6"/>
        <v>68.353329508031649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-5.6843418860808015E-14</v>
      </c>
      <c r="BE48" s="13">
        <f>BD48*VLOOKUP('Données projet'!$B$11,Paramètres!$A$1:$I$89,3,0)*VLOOKUP('Données projet'!$B$11,Paramètres!$A$1:$I$89,5,0)</f>
        <v>-3.2810021366458389E-14</v>
      </c>
      <c r="BF48" s="13" t="e">
        <f t="shared" si="37"/>
        <v>#NUM!</v>
      </c>
      <c r="BG48" s="20" t="e">
        <f t="shared" si="7"/>
        <v>#NUM!</v>
      </c>
      <c r="BH48" s="59" t="e">
        <f t="shared" si="8"/>
        <v>#NUM!</v>
      </c>
      <c r="BI48" s="59">
        <f ca="1">AVERAGE(OFFSET($BH$3,0,0,'Données projet'!$E$11+1,1))-AVERAGE(OFFSET($H$3,0,0,'Données projet'!$E$11+1,1))</f>
        <v>122.36861947722917</v>
      </c>
      <c r="BJ48" s="59">
        <f t="shared" si="38"/>
        <v>341.51856651265109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59.1945829844421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1.5274432883169761E-2</v>
      </c>
      <c r="BS48" s="22">
        <f t="shared" si="9"/>
        <v>59.209857417325267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6">
        <f t="shared" si="1"/>
        <v>349.22044991085374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11.2</v>
      </c>
      <c r="N49" s="13">
        <f>IF('Données projet'!$A$36&gt;35,N48+M49-V48,IF(A49&lt;'Données projet'!$A$36,$K$205^A49,IF(A49='Données projet'!$A$36,'Données projet'!$B$36,N48+M49-V48)))</f>
        <v>214.19999999999993</v>
      </c>
      <c r="O49" s="13">
        <f>N49*VLOOKUP('Données projet'!$B$9,Paramètres!$A$1:$I$89,3,0)*VLOOKUP('Données projet'!$B$9,Paramètres!$A$1:$I$89,5,0)</f>
        <v>180.44207999999995</v>
      </c>
      <c r="P49" s="13">
        <f t="shared" si="33"/>
        <v>45.420526775820029</v>
      </c>
      <c r="Q49" s="20">
        <f t="shared" si="53"/>
        <v>393.37737346788646</v>
      </c>
      <c r="R49" s="59">
        <f t="shared" si="0"/>
        <v>686.71070680121977</v>
      </c>
      <c r="S49" s="59">
        <f ca="1">AVERAGE(OFFSET($R$3,0,0,'Données projet'!$E$9+1,1))-AVERAGE(OFFSET($H$3,0,0,'Données projet'!$E$9+1,1))</f>
        <v>328.34986205643321</v>
      </c>
      <c r="T49" s="59">
        <f t="shared" si="34"/>
        <v>251.60894449147008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5.6843418860808015E-14</v>
      </c>
      <c r="AJ49" s="13">
        <f>AI49*VLOOKUP('Données projet'!$B$10,Paramètres!$A$1:$I$89,3,0)*VLOOKUP('Données projet'!$B$10,Paramètres!$A$1:$I$89,5,0)</f>
        <v>2.8908289095852525E-14</v>
      </c>
      <c r="AK49" s="13">
        <f t="shared" si="35"/>
        <v>5.0177780569126974E-13</v>
      </c>
      <c r="AL49" s="20">
        <f t="shared" si="4"/>
        <v>9.2427828175423786E-13</v>
      </c>
      <c r="AM49" s="59">
        <f t="shared" si="5"/>
        <v>293.33333333333422</v>
      </c>
      <c r="AN49" s="59">
        <f ca="1">AVERAGE(OFFSET($AM$3,0,0,'Données projet'!$E$10+1,1))-AVERAGE(OFFSET($H$3,0,0,'Données projet'!$E$10+1,1))</f>
        <v>141.98581704643658</v>
      </c>
      <c r="AO49" s="59">
        <f t="shared" si="36"/>
        <v>396.03373990407204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66.99567499922253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1.246854437988021E-2</v>
      </c>
      <c r="AX49" s="21">
        <f t="shared" si="6"/>
        <v>67.008143543602415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-5.6843418860808015E-14</v>
      </c>
      <c r="BE49" s="13">
        <f>BD49*VLOOKUP('Données projet'!$B$11,Paramètres!$A$1:$I$89,3,0)*VLOOKUP('Données projet'!$B$11,Paramètres!$A$1:$I$89,5,0)</f>
        <v>-3.2810021366458389E-14</v>
      </c>
      <c r="BF49" s="13" t="e">
        <f t="shared" si="37"/>
        <v>#NUM!</v>
      </c>
      <c r="BG49" s="20" t="e">
        <f t="shared" si="7"/>
        <v>#NUM!</v>
      </c>
      <c r="BH49" s="59" t="e">
        <f t="shared" si="8"/>
        <v>#NUM!</v>
      </c>
      <c r="BI49" s="59">
        <f ca="1">AVERAGE(OFFSET($BH$3,0,0,'Données projet'!$E$11+1,1))-AVERAGE(OFFSET($H$3,0,0,'Données projet'!$E$11+1,1))</f>
        <v>122.36861947722917</v>
      </c>
      <c r="BJ49" s="59">
        <f t="shared" si="38"/>
        <v>341.51856651265109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58.033813317247727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1.0800655070468127E-2</v>
      </c>
      <c r="BS49" s="22">
        <f t="shared" si="9"/>
        <v>58.044613972318196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6">
        <f t="shared" si="1"/>
        <v>351.17804102468818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11.2</v>
      </c>
      <c r="N50" s="13">
        <f>IF('Données projet'!$A$36&gt;35,N49+M50-V49,IF(A50&lt;'Données projet'!$A$36,$K$205^A50,IF(A50='Données projet'!$A$36,'Données projet'!$B$36,N49+M50-V49)))</f>
        <v>225.39999999999992</v>
      </c>
      <c r="O50" s="13">
        <f>N50*VLOOKUP('Données projet'!$B$9,Paramètres!$A$1:$I$89,3,0)*VLOOKUP('Données projet'!$B$9,Paramètres!$A$1:$I$89,5,0)</f>
        <v>189.87695999999994</v>
      </c>
      <c r="P50" s="13">
        <f t="shared" si="33"/>
        <v>47.5127494286954</v>
      </c>
      <c r="Q50" s="20">
        <f t="shared" si="53"/>
        <v>413.45374392164439</v>
      </c>
      <c r="R50" s="59">
        <f t="shared" si="0"/>
        <v>706.7870772549777</v>
      </c>
      <c r="S50" s="59">
        <f ca="1">AVERAGE(OFFSET($R$3,0,0,'Données projet'!$E$9+1,1))-AVERAGE(OFFSET($H$3,0,0,'Données projet'!$E$9+1,1))</f>
        <v>328.34986205643321</v>
      </c>
      <c r="T50" s="59">
        <f t="shared" si="34"/>
        <v>251.60894449147008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5.6843418860808015E-14</v>
      </c>
      <c r="AJ50" s="13">
        <f>AI50*VLOOKUP('Données projet'!$B$10,Paramètres!$A$1:$I$89,3,0)*VLOOKUP('Données projet'!$B$10,Paramètres!$A$1:$I$89,5,0)</f>
        <v>2.8908289095852525E-14</v>
      </c>
      <c r="AK50" s="13">
        <f t="shared" si="35"/>
        <v>5.0177780569126974E-13</v>
      </c>
      <c r="AL50" s="20">
        <f t="shared" si="4"/>
        <v>9.2427828175423786E-13</v>
      </c>
      <c r="AM50" s="59">
        <f t="shared" si="5"/>
        <v>293.33333333333422</v>
      </c>
      <c r="AN50" s="59">
        <f ca="1">AVERAGE(OFFSET($AM$3,0,0,'Données projet'!$E$10+1,1))-AVERAGE(OFFSET($H$3,0,0,'Données projet'!$E$10+1,1))</f>
        <v>141.98581704643658</v>
      </c>
      <c r="AO50" s="59">
        <f t="shared" si="36"/>
        <v>396.03373990407204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65.681930675814613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8.8165922825387127E-3</v>
      </c>
      <c r="AX50" s="21">
        <f t="shared" si="6"/>
        <v>65.690747268097155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-5.6843418860808015E-14</v>
      </c>
      <c r="BE50" s="13">
        <f>BD50*VLOOKUP('Données projet'!$B$11,Paramètres!$A$1:$I$89,3,0)*VLOOKUP('Données projet'!$B$11,Paramètres!$A$1:$I$89,5,0)</f>
        <v>-3.2810021366458389E-14</v>
      </c>
      <c r="BF50" s="13" t="e">
        <f t="shared" si="37"/>
        <v>#NUM!</v>
      </c>
      <c r="BG50" s="20" t="e">
        <f t="shared" si="7"/>
        <v>#NUM!</v>
      </c>
      <c r="BH50" s="59" t="e">
        <f t="shared" si="8"/>
        <v>#NUM!</v>
      </c>
      <c r="BI50" s="59">
        <f ca="1">AVERAGE(OFFSET($BH$3,0,0,'Données projet'!$E$11+1,1))-AVERAGE(OFFSET($H$3,0,0,'Données projet'!$E$11+1,1))</f>
        <v>122.36861947722917</v>
      </c>
      <c r="BJ50" s="59">
        <f t="shared" si="38"/>
        <v>341.51856651265109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56.895805635227447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7.6372164415848811E-3</v>
      </c>
      <c r="BS50" s="22">
        <f t="shared" si="9"/>
        <v>56.903442851669034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6">
        <f t="shared" si="1"/>
        <v>353.13462062806445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11.2</v>
      </c>
      <c r="N51" s="13">
        <f>IF('Données projet'!$A$36&gt;35,N50+M51-V50,IF(A51&lt;'Données projet'!$A$36,$K$205^A51,IF(A51='Données projet'!$A$36,'Données projet'!$B$36,N50+M51-V50)))</f>
        <v>236.59999999999991</v>
      </c>
      <c r="O51" s="13">
        <f>N51*VLOOKUP('Données projet'!$B$9,Paramètres!$A$1:$I$89,3,0)*VLOOKUP('Données projet'!$B$9,Paramètres!$A$1:$I$89,5,0)</f>
        <v>199.31183999999993</v>
      </c>
      <c r="P51" s="13">
        <f t="shared" si="33"/>
        <v>49.592900661217925</v>
      </c>
      <c r="Q51" s="20">
        <f t="shared" si="53"/>
        <v>433.50908998495447</v>
      </c>
      <c r="R51" s="59">
        <f t="shared" si="0"/>
        <v>726.84242331828773</v>
      </c>
      <c r="S51" s="59">
        <f ca="1">AVERAGE(OFFSET($R$3,0,0,'Données projet'!$E$9+1,1))-AVERAGE(OFFSET($H$3,0,0,'Données projet'!$E$9+1,1))</f>
        <v>328.34986205643321</v>
      </c>
      <c r="T51" s="59">
        <f t="shared" si="34"/>
        <v>251.60894449147008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5.6843418860808015E-14</v>
      </c>
      <c r="AJ51" s="13">
        <f>AI51*VLOOKUP('Données projet'!$B$10,Paramètres!$A$1:$I$89,3,0)*VLOOKUP('Données projet'!$B$10,Paramètres!$A$1:$I$89,5,0)</f>
        <v>2.8908289095852525E-14</v>
      </c>
      <c r="AK51" s="13">
        <f t="shared" si="35"/>
        <v>5.0177780569126974E-13</v>
      </c>
      <c r="AL51" s="20">
        <f t="shared" si="4"/>
        <v>9.2427828175423786E-13</v>
      </c>
      <c r="AM51" s="59">
        <f t="shared" si="5"/>
        <v>293.33333333333422</v>
      </c>
      <c r="AN51" s="59">
        <f ca="1">AVERAGE(OFFSET($AM$3,0,0,'Données projet'!$E$10+1,1))-AVERAGE(OFFSET($H$3,0,0,'Données projet'!$E$10+1,1))</f>
        <v>141.98581704643658</v>
      </c>
      <c r="AO51" s="59">
        <f t="shared" si="36"/>
        <v>396.03373990407204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64.39394807728381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6.2342721899401052E-3</v>
      </c>
      <c r="AX51" s="21">
        <f t="shared" si="6"/>
        <v>64.400182349473752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-5.6843418860808015E-14</v>
      </c>
      <c r="BE51" s="13">
        <f>BD51*VLOOKUP('Données projet'!$B$11,Paramètres!$A$1:$I$89,3,0)*VLOOKUP('Données projet'!$B$11,Paramètres!$A$1:$I$89,5,0)</f>
        <v>-3.2810021366458389E-14</v>
      </c>
      <c r="BF51" s="13" t="e">
        <f t="shared" si="37"/>
        <v>#NUM!</v>
      </c>
      <c r="BG51" s="20" t="e">
        <f t="shared" si="7"/>
        <v>#NUM!</v>
      </c>
      <c r="BH51" s="59" t="e">
        <f t="shared" si="8"/>
        <v>#NUM!</v>
      </c>
      <c r="BI51" s="59">
        <f ca="1">AVERAGE(OFFSET($BH$3,0,0,'Données projet'!$E$11+1,1))-AVERAGE(OFFSET($H$3,0,0,'Données projet'!$E$11+1,1))</f>
        <v>122.36861947722917</v>
      </c>
      <c r="BJ51" s="59">
        <f t="shared" si="38"/>
        <v>341.51856651265109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55.780113589735436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5.4003275352340644E-3</v>
      </c>
      <c r="BS51" s="22">
        <f t="shared" si="9"/>
        <v>55.78551391727067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6">
        <f t="shared" si="1"/>
        <v>355.09021222196009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11.2</v>
      </c>
      <c r="N52" s="13">
        <f>IF('Données projet'!$A$36&gt;35,N51+M52-V51,IF(A52&lt;'Données projet'!$A$36,$K$205^A52,IF(A52='Données projet'!$A$36,'Données projet'!$B$36,N51+M52-V51)))</f>
        <v>247.7999999999999</v>
      </c>
      <c r="O52" s="13">
        <f>N52*VLOOKUP('Données projet'!$B$9,Paramètres!$A$1:$I$89,3,0)*VLOOKUP('Données projet'!$B$9,Paramètres!$A$1:$I$89,5,0)</f>
        <v>208.74671999999993</v>
      </c>
      <c r="P52" s="13">
        <f t="shared" si="33"/>
        <v>51.661617147836218</v>
      </c>
      <c r="Q52" s="20">
        <f t="shared" si="53"/>
        <v>453.54452053248133</v>
      </c>
      <c r="R52" s="59">
        <f t="shared" si="0"/>
        <v>746.87785386581459</v>
      </c>
      <c r="S52" s="59">
        <f ca="1">AVERAGE(OFFSET($R$3,0,0,'Données projet'!$E$9+1,1))-AVERAGE(OFFSET($H$3,0,0,'Données projet'!$E$9+1,1))</f>
        <v>328.34986205643321</v>
      </c>
      <c r="T52" s="59">
        <f t="shared" si="34"/>
        <v>251.60894449147008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5.6843418860808015E-14</v>
      </c>
      <c r="AJ52" s="13">
        <f>AI52*VLOOKUP('Données projet'!$B$10,Paramètres!$A$1:$I$89,3,0)*VLOOKUP('Données projet'!$B$10,Paramètres!$A$1:$I$89,5,0)</f>
        <v>2.8908289095852525E-14</v>
      </c>
      <c r="AK52" s="13">
        <f t="shared" si="35"/>
        <v>5.0177780569126974E-13</v>
      </c>
      <c r="AL52" s="20">
        <f t="shared" si="4"/>
        <v>9.2427828175423786E-13</v>
      </c>
      <c r="AM52" s="59">
        <f t="shared" si="5"/>
        <v>293.33333333333422</v>
      </c>
      <c r="AN52" s="59">
        <f ca="1">AVERAGE(OFFSET($AM$3,0,0,'Données projet'!$E$10+1,1))-AVERAGE(OFFSET($H$3,0,0,'Données projet'!$E$10+1,1))</f>
        <v>141.98581704643658</v>
      </c>
      <c r="AO52" s="59">
        <f t="shared" si="36"/>
        <v>396.03373990407204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63.131222031918377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4.4082961412693564E-3</v>
      </c>
      <c r="AX52" s="21">
        <f t="shared" si="6"/>
        <v>63.135630328059648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-5.6843418860808015E-14</v>
      </c>
      <c r="BE52" s="13">
        <f>BD52*VLOOKUP('Données projet'!$B$11,Paramètres!$A$1:$I$89,3,0)*VLOOKUP('Données projet'!$B$11,Paramètres!$A$1:$I$89,5,0)</f>
        <v>-3.2810021366458389E-14</v>
      </c>
      <c r="BF52" s="13" t="e">
        <f t="shared" si="37"/>
        <v>#NUM!</v>
      </c>
      <c r="BG52" s="20" t="e">
        <f t="shared" si="7"/>
        <v>#NUM!</v>
      </c>
      <c r="BH52" s="59" t="e">
        <f t="shared" si="8"/>
        <v>#NUM!</v>
      </c>
      <c r="BI52" s="59">
        <f ca="1">AVERAGE(OFFSET($BH$3,0,0,'Données projet'!$E$11+1,1))-AVERAGE(OFFSET($H$3,0,0,'Données projet'!$E$11+1,1))</f>
        <v>122.36861947722917</v>
      </c>
      <c r="BJ52" s="59">
        <f t="shared" si="38"/>
        <v>341.51856651265109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54.686299584750572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3.8186082207924414E-3</v>
      </c>
      <c r="BS52" s="22">
        <f t="shared" si="9"/>
        <v>54.690118192971362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6">
        <f t="shared" si="1"/>
        <v>357.0448382932957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259</v>
      </c>
      <c r="L53" s="12">
        <f>VLOOKUP(A53,'Données projet'!$A$35:$I$55,9,0)</f>
        <v>11.2</v>
      </c>
      <c r="M53" s="12">
        <f t="array" ref="M53">INDEX(L:L,MIN(IF(ISNUMBER(L53:L249),ROW(L53:L249),"")))</f>
        <v>11.2</v>
      </c>
      <c r="N53" s="13">
        <f>IF('Données projet'!$A$36&gt;35,N52+M53-V52,IF(A53&lt;'Données projet'!$A$36,$K$205^A53,IF(A53='Données projet'!$A$36,'Données projet'!$B$36,N52+M53-V52)))</f>
        <v>258.99999999999989</v>
      </c>
      <c r="O53" s="13">
        <f>N53*VLOOKUP('Données projet'!$B$9,Paramètres!$A$1:$I$89,3,0)*VLOOKUP('Données projet'!$B$9,Paramètres!$A$1:$I$89,5,0)</f>
        <v>218.18159999999995</v>
      </c>
      <c r="P53" s="13">
        <f t="shared" si="33"/>
        <v>53.719474757115933</v>
      </c>
      <c r="Q53" s="20">
        <f t="shared" si="53"/>
        <v>473.56103853531016</v>
      </c>
      <c r="R53" s="59">
        <f t="shared" si="0"/>
        <v>766.89437186864347</v>
      </c>
      <c r="S53" s="59">
        <f ca="1">AVERAGE(OFFSET($R$3,0,0,'Données projet'!$E$9+1,1))-AVERAGE(OFFSET($H$3,0,0,'Données projet'!$E$9+1,1))</f>
        <v>328.34986205643321</v>
      </c>
      <c r="T53" s="59">
        <f t="shared" si="34"/>
        <v>251.60894449147008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56</v>
      </c>
      <c r="W53" s="16">
        <f>IF(ISNA(VLOOKUP(A53,'Données projet'!$A$35:$I$55,5,0)),0%,VLOOKUP(A53,'Données projet'!$A$35:$I$55,5,0)*VLOOKUP('Données projet'!$B$9,Paramètres!$A$1:$I$89,7,0))</f>
        <v>0.36549999999999999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19.06078913430343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19.06078913430343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5.6843418860808015E-14</v>
      </c>
      <c r="AJ53" s="13">
        <f>AI53*VLOOKUP('Données projet'!$B$10,Paramètres!$A$1:$I$89,3,0)*VLOOKUP('Données projet'!$B$10,Paramètres!$A$1:$I$89,5,0)</f>
        <v>2.8908289095852525E-14</v>
      </c>
      <c r="AK53" s="13">
        <f t="shared" si="35"/>
        <v>5.0177780569126974E-13</v>
      </c>
      <c r="AL53" s="20">
        <f t="shared" si="4"/>
        <v>9.2427828175423786E-13</v>
      </c>
      <c r="AM53" s="59">
        <f t="shared" si="5"/>
        <v>293.33333333333422</v>
      </c>
      <c r="AN53" s="59">
        <f ca="1">AVERAGE(OFFSET($AM$3,0,0,'Données projet'!$E$10+1,1))-AVERAGE(OFFSET($H$3,0,0,'Données projet'!$E$10+1,1))</f>
        <v>141.98581704643658</v>
      </c>
      <c r="AO53" s="59">
        <f t="shared" si="36"/>
        <v>396.03373990407204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61.893257274115719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3.1171360949700526E-3</v>
      </c>
      <c r="AX53" s="21">
        <f t="shared" si="6"/>
        <v>61.89637441021069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-5.6843418860808015E-14</v>
      </c>
      <c r="BE53" s="13">
        <f>BD53*VLOOKUP('Données projet'!$B$11,Paramètres!$A$1:$I$89,3,0)*VLOOKUP('Données projet'!$B$11,Paramètres!$A$1:$I$89,5,0)</f>
        <v>-3.2810021366458389E-14</v>
      </c>
      <c r="BF53" s="13" t="e">
        <f t="shared" si="37"/>
        <v>#NUM!</v>
      </c>
      <c r="BG53" s="20" t="e">
        <f t="shared" si="7"/>
        <v>#NUM!</v>
      </c>
      <c r="BH53" s="59" t="e">
        <f t="shared" si="8"/>
        <v>#NUM!</v>
      </c>
      <c r="BI53" s="59">
        <f ca="1">AVERAGE(OFFSET($BH$3,0,0,'Données projet'!$E$11+1,1))-AVERAGE(OFFSET($H$3,0,0,'Données projet'!$E$11+1,1))</f>
        <v>122.36861947722917</v>
      </c>
      <c r="BJ53" s="59">
        <f t="shared" si="38"/>
        <v>341.51856651265109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53.61393460524279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2.7001637676170327E-3</v>
      </c>
      <c r="BS53" s="22">
        <f t="shared" si="9"/>
        <v>53.616634769010403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6">
        <f t="shared" si="1"/>
        <v>358.99852037808239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9.8000000000000007</v>
      </c>
      <c r="N54" s="13">
        <f>IF('Données projet'!$A$36&gt;35,N53+M54-V53,IF(A54&lt;'Données projet'!$A$36,$K$205^A54,IF(A54='Données projet'!$A$36,'Données projet'!$B$36,N53+M54-V53)))</f>
        <v>212.7999999999999</v>
      </c>
      <c r="O54" s="13">
        <f>N54*VLOOKUP('Données projet'!$B$9,Paramètres!$A$1:$I$89,3,0)*VLOOKUP('Données projet'!$B$9,Paramètres!$A$1:$I$89,5,0)</f>
        <v>179.26271999999992</v>
      </c>
      <c r="P54" s="13">
        <f t="shared" si="33"/>
        <v>45.158115787467111</v>
      </c>
      <c r="Q54" s="20">
        <f t="shared" si="53"/>
        <v>390.86628899650503</v>
      </c>
      <c r="R54" s="59">
        <f t="shared" si="0"/>
        <v>684.19962232983835</v>
      </c>
      <c r="S54" s="59">
        <f ca="1">AVERAGE(OFFSET($R$3,0,0,'Données projet'!$E$9+1,1))-AVERAGE(OFFSET($H$3,0,0,'Données projet'!$E$9+1,1))</f>
        <v>328.34986205643321</v>
      </c>
      <c r="T54" s="59">
        <f t="shared" si="34"/>
        <v>251.60894449147008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18.687018685313145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18.687018685313145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5.6843418860808015E-14</v>
      </c>
      <c r="AJ54" s="13">
        <f>AI54*VLOOKUP('Données projet'!$B$10,Paramètres!$A$1:$I$89,3,0)*VLOOKUP('Données projet'!$B$10,Paramètres!$A$1:$I$89,5,0)</f>
        <v>2.8908289095852525E-14</v>
      </c>
      <c r="AK54" s="13">
        <f t="shared" si="35"/>
        <v>5.0177780569126974E-13</v>
      </c>
      <c r="AL54" s="20">
        <f t="shared" si="4"/>
        <v>9.2427828175423786E-13</v>
      </c>
      <c r="AM54" s="59">
        <f t="shared" si="5"/>
        <v>293.33333333333422</v>
      </c>
      <c r="AN54" s="59">
        <f ca="1">AVERAGE(OFFSET($AM$3,0,0,'Données projet'!$E$10+1,1))-AVERAGE(OFFSET($H$3,0,0,'Données projet'!$E$10+1,1))</f>
        <v>141.98581704643658</v>
      </c>
      <c r="AO54" s="59">
        <f t="shared" si="36"/>
        <v>396.03373990407204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60.679568250129627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2.2041480706346782E-3</v>
      </c>
      <c r="AX54" s="21">
        <f t="shared" si="6"/>
        <v>60.681772398200259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-5.6843418860808015E-14</v>
      </c>
      <c r="BE54" s="13">
        <f>BD54*VLOOKUP('Données projet'!$B$11,Paramètres!$A$1:$I$89,3,0)*VLOOKUP('Données projet'!$B$11,Paramètres!$A$1:$I$89,5,0)</f>
        <v>-3.2810021366458389E-14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122.36861947722917</v>
      </c>
      <c r="BJ54" s="59">
        <f t="shared" si="38"/>
        <v>341.51856651265109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52.562598048905109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1.9093041103962209E-3</v>
      </c>
      <c r="BS54" s="22">
        <f t="shared" si="9"/>
        <v>52.564507353015507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6">
        <f t="shared" si="1"/>
        <v>360.95127911947662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9.8000000000000007</v>
      </c>
      <c r="N55" s="13">
        <f>IF('Données projet'!$A$36&gt;35,N54+M55-V54,IF(A55&lt;'Données projet'!$A$36,$K$205^A55,IF(A55='Données projet'!$A$36,'Données projet'!$B$36,N54+M55-V54)))</f>
        <v>222.59999999999991</v>
      </c>
      <c r="O55" s="13">
        <f>N55*VLOOKUP('Données projet'!$B$9,Paramètres!$A$1:$I$89,3,0)*VLOOKUP('Données projet'!$B$9,Paramètres!$A$1:$I$89,5,0)</f>
        <v>187.51823999999996</v>
      </c>
      <c r="P55" s="13">
        <f t="shared" si="33"/>
        <v>46.990851800962481</v>
      </c>
      <c r="Q55" s="20">
        <f t="shared" si="53"/>
        <v>408.43666822000955</v>
      </c>
      <c r="R55" s="59">
        <f t="shared" si="0"/>
        <v>701.77000155334281</v>
      </c>
      <c r="S55" s="59">
        <f ca="1">AVERAGE(OFFSET($R$3,0,0,'Données projet'!$E$9+1,1))-AVERAGE(OFFSET($H$3,0,0,'Données projet'!$E$9+1,1))</f>
        <v>328.34986205643321</v>
      </c>
      <c r="T55" s="59">
        <f t="shared" si="34"/>
        <v>251.60894449147008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18.320577646850097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18.320577646850097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5.6843418860808015E-14</v>
      </c>
      <c r="AJ55" s="13">
        <f>AI55*VLOOKUP('Données projet'!$B$10,Paramètres!$A$1:$I$89,3,0)*VLOOKUP('Données projet'!$B$10,Paramètres!$A$1:$I$89,5,0)</f>
        <v>2.8908289095852525E-14</v>
      </c>
      <c r="AK55" s="13">
        <f t="shared" si="35"/>
        <v>5.0177780569126974E-13</v>
      </c>
      <c r="AL55" s="20">
        <f t="shared" si="4"/>
        <v>9.2427828175423786E-13</v>
      </c>
      <c r="AM55" s="59">
        <f t="shared" si="5"/>
        <v>293.33333333333422</v>
      </c>
      <c r="AN55" s="59">
        <f ca="1">AVERAGE(OFFSET($AM$3,0,0,'Données projet'!$E$10+1,1))-AVERAGE(OFFSET($H$3,0,0,'Données projet'!$E$10+1,1))</f>
        <v>141.98581704643658</v>
      </c>
      <c r="AO55" s="59">
        <f t="shared" si="36"/>
        <v>396.03373990407204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59.489678927626699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1.5585680474850263E-3</v>
      </c>
      <c r="AX55" s="21">
        <f t="shared" si="6"/>
        <v>59.491237495674184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-5.6843418860808015E-14</v>
      </c>
      <c r="BE55" s="13">
        <f>BD55*VLOOKUP('Données projet'!$B$11,Paramètres!$A$1:$I$89,3,0)*VLOOKUP('Données projet'!$B$11,Paramètres!$A$1:$I$89,5,0)</f>
        <v>-3.2810021366458389E-14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122.36861947722917</v>
      </c>
      <c r="BJ55" s="59">
        <f t="shared" si="38"/>
        <v>341.51856651265109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51.531877561185226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1.3500818838085165E-3</v>
      </c>
      <c r="BS55" s="22">
        <f t="shared" si="9"/>
        <v>51.533227643069033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6">
        <f t="shared" si="1"/>
        <v>362.90313432124293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9.8000000000000007</v>
      </c>
      <c r="N56" s="13">
        <f>IF('Données projet'!$A$36&gt;35,N55+M56-V55,IF(A56&lt;'Données projet'!$A$36,$K$205^A56,IF(A56='Données projet'!$A$36,'Données projet'!$B$36,N55+M56-V55)))</f>
        <v>232.39999999999992</v>
      </c>
      <c r="O56" s="13">
        <f>N56*VLOOKUP('Données projet'!$B$9,Paramètres!$A$1:$I$89,3,0)*VLOOKUP('Données projet'!$B$9,Paramètres!$A$1:$I$89,5,0)</f>
        <v>195.77375999999995</v>
      </c>
      <c r="P56" s="13">
        <f t="shared" si="33"/>
        <v>48.814216733702644</v>
      </c>
      <c r="Q56" s="20">
        <f t="shared" si="53"/>
        <v>425.99072614453195</v>
      </c>
      <c r="R56" s="59">
        <f t="shared" si="0"/>
        <v>719.32405947786526</v>
      </c>
      <c r="S56" s="59">
        <f ca="1">AVERAGE(OFFSET($R$3,0,0,'Données projet'!$E$9+1,1))-AVERAGE(OFFSET($H$3,0,0,'Données projet'!$E$9+1,1))</f>
        <v>328.34986205643321</v>
      </c>
      <c r="T56" s="59">
        <f t="shared" si="34"/>
        <v>251.60894449147008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17.961322293644347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17.961322293644347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5.6843418860808015E-14</v>
      </c>
      <c r="AJ56" s="13">
        <f>AI56*VLOOKUP('Données projet'!$B$10,Paramètres!$A$1:$I$89,3,0)*VLOOKUP('Données projet'!$B$10,Paramètres!$A$1:$I$89,5,0)</f>
        <v>2.8908289095852525E-14</v>
      </c>
      <c r="AK56" s="13">
        <f t="shared" si="35"/>
        <v>5.0177780569126974E-13</v>
      </c>
      <c r="AL56" s="20">
        <f t="shared" si="4"/>
        <v>9.2427828175423786E-13</v>
      </c>
      <c r="AM56" s="59">
        <f t="shared" si="5"/>
        <v>293.33333333333422</v>
      </c>
      <c r="AN56" s="59">
        <f ca="1">AVERAGE(OFFSET($AM$3,0,0,'Données projet'!$E$10+1,1))-AVERAGE(OFFSET($H$3,0,0,'Données projet'!$E$10+1,1))</f>
        <v>141.98581704643658</v>
      </c>
      <c r="AO56" s="59">
        <f t="shared" si="36"/>
        <v>396.03373990407204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58.323122608977229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1.1020740353173391E-3</v>
      </c>
      <c r="AX56" s="21">
        <f t="shared" si="6"/>
        <v>58.324224683012545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-5.6843418860808015E-14</v>
      </c>
      <c r="BE56" s="13">
        <f>BD56*VLOOKUP('Données projet'!$B$11,Paramètres!$A$1:$I$89,3,0)*VLOOKUP('Données projet'!$B$11,Paramètres!$A$1:$I$89,5,0)</f>
        <v>-3.2810021366458389E-14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122.36861947722917</v>
      </c>
      <c r="BJ56" s="59">
        <f t="shared" si="38"/>
        <v>341.51856651265109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50.521368873552106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9.5465205519811068E-4</v>
      </c>
      <c r="BS56" s="22">
        <f t="shared" si="9"/>
        <v>50.522323525607305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6">
        <f t="shared" si="1"/>
        <v>364.85410499706774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9.8000000000000007</v>
      </c>
      <c r="N57" s="13">
        <f>IF('Données projet'!$A$36&gt;35,N56+M57-V56,IF(A57&lt;'Données projet'!$A$36,$K$205^A57,IF(A57='Données projet'!$A$36,'Données projet'!$B$36,N56+M57-V56)))</f>
        <v>242.19999999999993</v>
      </c>
      <c r="O57" s="13">
        <f>N57*VLOOKUP('Données projet'!$B$9,Paramètres!$A$1:$I$89,3,0)*VLOOKUP('Données projet'!$B$9,Paramètres!$A$1:$I$89,5,0)</f>
        <v>204.02927999999997</v>
      </c>
      <c r="P57" s="13">
        <f t="shared" si="33"/>
        <v>50.628650934368238</v>
      </c>
      <c r="Q57" s="20">
        <f t="shared" si="53"/>
        <v>443.52922971069125</v>
      </c>
      <c r="R57" s="59">
        <f t="shared" si="0"/>
        <v>736.86256304402457</v>
      </c>
      <c r="S57" s="59">
        <f ca="1">AVERAGE(OFFSET($R$3,0,0,'Données projet'!$E$9+1,1))-AVERAGE(OFFSET($H$3,0,0,'Données projet'!$E$9+1,1))</f>
        <v>328.34986205643321</v>
      </c>
      <c r="T57" s="59">
        <f t="shared" si="34"/>
        <v>251.60894449147008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17.609111718790832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17.609111718790832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5.6843418860808015E-14</v>
      </c>
      <c r="AJ57" s="13">
        <f>AI57*VLOOKUP('Données projet'!$B$10,Paramètres!$A$1:$I$89,3,0)*VLOOKUP('Données projet'!$B$10,Paramètres!$A$1:$I$89,5,0)</f>
        <v>2.8908289095852525E-14</v>
      </c>
      <c r="AK57" s="13">
        <f t="shared" si="35"/>
        <v>5.0177780569126974E-13</v>
      </c>
      <c r="AL57" s="20">
        <f t="shared" si="4"/>
        <v>9.2427828175423786E-13</v>
      </c>
      <c r="AM57" s="59">
        <f t="shared" si="5"/>
        <v>293.33333333333422</v>
      </c>
      <c r="AN57" s="59">
        <f ca="1">AVERAGE(OFFSET($AM$3,0,0,'Données projet'!$E$10+1,1))-AVERAGE(OFFSET($H$3,0,0,'Données projet'!$E$10+1,1))</f>
        <v>141.98581704643658</v>
      </c>
      <c r="AO57" s="59">
        <f t="shared" si="36"/>
        <v>396.03373990407204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57.179441748207374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7.7928402374251315E-4</v>
      </c>
      <c r="AX57" s="21">
        <f t="shared" si="6"/>
        <v>57.180221032231117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-5.6843418860808015E-14</v>
      </c>
      <c r="BE57" s="13">
        <f>BD57*VLOOKUP('Données projet'!$B$11,Paramètres!$A$1:$I$89,3,0)*VLOOKUP('Données projet'!$B$11,Paramètres!$A$1:$I$89,5,0)</f>
        <v>-3.2810021366458389E-14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122.36861947722917</v>
      </c>
      <c r="BJ57" s="59">
        <f t="shared" si="38"/>
        <v>341.51856651265109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49.530675644934036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6.7504094190425838E-4</v>
      </c>
      <c r="BS57" s="22">
        <f t="shared" si="9"/>
        <v>49.531350685875942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6">
        <f t="shared" si="1"/>
        <v>366.80420941611692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9.8000000000000007</v>
      </c>
      <c r="N58" s="13">
        <f>IF('Données projet'!$A$36&gt;35,N57+M58-V57,IF(A58&lt;'Données projet'!$A$36,$K$205^A58,IF(A58='Données projet'!$A$36,'Données projet'!$B$36,N57+M58-V57)))</f>
        <v>251.99999999999994</v>
      </c>
      <c r="O58" s="13">
        <f>N58*VLOOKUP('Données projet'!$B$9,Paramètres!$A$1:$I$89,3,0)*VLOOKUP('Données projet'!$B$9,Paramètres!$A$1:$I$89,5,0)</f>
        <v>212.28479999999999</v>
      </c>
      <c r="P58" s="13">
        <f t="shared" si="33"/>
        <v>52.434557099704193</v>
      </c>
      <c r="Q58" s="20">
        <f t="shared" si="53"/>
        <v>461.05288028198476</v>
      </c>
      <c r="R58" s="59">
        <f t="shared" si="0"/>
        <v>754.38621361531807</v>
      </c>
      <c r="S58" s="59">
        <f ca="1">AVERAGE(OFFSET($R$3,0,0,'Données projet'!$E$9+1,1))-AVERAGE(OFFSET($H$3,0,0,'Données projet'!$E$9+1,1))</f>
        <v>328.34986205643321</v>
      </c>
      <c r="T58" s="59">
        <f t="shared" si="34"/>
        <v>251.60894449147008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17.263807778482956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17.263807778482956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5.6843418860808015E-14</v>
      </c>
      <c r="AJ58" s="13">
        <f>AI58*VLOOKUP('Données projet'!$B$10,Paramètres!$A$1:$I$89,3,0)*VLOOKUP('Données projet'!$B$10,Paramètres!$A$1:$I$89,5,0)</f>
        <v>2.8908289095852525E-14</v>
      </c>
      <c r="AK58" s="13">
        <f t="shared" si="35"/>
        <v>5.0177780569126974E-13</v>
      </c>
      <c r="AL58" s="20">
        <f t="shared" si="4"/>
        <v>9.2427828175423786E-13</v>
      </c>
      <c r="AM58" s="59">
        <f t="shared" si="5"/>
        <v>293.33333333333422</v>
      </c>
      <c r="AN58" s="59">
        <f ca="1">AVERAGE(OFFSET($AM$3,0,0,'Données projet'!$E$10+1,1))-AVERAGE(OFFSET($H$3,0,0,'Données projet'!$E$10+1,1))</f>
        <v>141.98581704643658</v>
      </c>
      <c r="AO58" s="59">
        <f t="shared" si="36"/>
        <v>396.03373990407204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56.058187771540773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5.5103701765866955E-4</v>
      </c>
      <c r="AX58" s="21">
        <f t="shared" si="6"/>
        <v>56.058738808558431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-5.6843418860808015E-14</v>
      </c>
      <c r="BE58" s="13">
        <f>BD58*VLOOKUP('Données projet'!$B$11,Paramètres!$A$1:$I$89,3,0)*VLOOKUP('Données projet'!$B$11,Paramètres!$A$1:$I$89,5,0)</f>
        <v>-3.2810021366458389E-14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122.36861947722917</v>
      </c>
      <c r="BJ58" s="59">
        <f t="shared" si="38"/>
        <v>341.51856651265109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48.559409306265962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4.773260275990554E-4</v>
      </c>
      <c r="BS58" s="22">
        <f t="shared" si="9"/>
        <v>48.559886632293562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6">
        <f t="shared" si="1"/>
        <v>368.75346514518651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9.8000000000000007</v>
      </c>
      <c r="N59" s="13">
        <f>IF('Données projet'!$A$36&gt;35,N58+M59-V58,IF(A59&lt;'Données projet'!$A$36,$K$205^A59,IF(A59='Données projet'!$A$36,'Données projet'!$B$36,N58+M59-V58)))</f>
        <v>261.79999999999995</v>
      </c>
      <c r="O59" s="13">
        <f>N59*VLOOKUP('Données projet'!$B$9,Paramètres!$A$1:$I$89,3,0)*VLOOKUP('Données projet'!$B$9,Paramètres!$A$1:$I$89,5,0)</f>
        <v>220.54031999999998</v>
      </c>
      <c r="P59" s="13">
        <f t="shared" si="33"/>
        <v>54.232304832110685</v>
      </c>
      <c r="Q59" s="20">
        <f t="shared" si="53"/>
        <v>478.56232158259263</v>
      </c>
      <c r="R59" s="59">
        <f t="shared" si="0"/>
        <v>771.89565491592589</v>
      </c>
      <c r="S59" s="59">
        <f ca="1">AVERAGE(OFFSET($R$3,0,0,'Données projet'!$E$9+1,1))-AVERAGE(OFFSET($H$3,0,0,'Données projet'!$E$9+1,1))</f>
        <v>328.34986205643321</v>
      </c>
      <c r="T59" s="59">
        <f t="shared" si="34"/>
        <v>251.60894449147008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16.925275037829909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16.925275037829909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5.6843418860808015E-14</v>
      </c>
      <c r="AJ59" s="13">
        <f>AI59*VLOOKUP('Données projet'!$B$10,Paramètres!$A$1:$I$89,3,0)*VLOOKUP('Données projet'!$B$10,Paramètres!$A$1:$I$89,5,0)</f>
        <v>2.8908289095852525E-14</v>
      </c>
      <c r="AK59" s="13">
        <f t="shared" si="35"/>
        <v>5.0177780569126974E-13</v>
      </c>
      <c r="AL59" s="20">
        <f t="shared" si="4"/>
        <v>9.2427828175423786E-13</v>
      </c>
      <c r="AM59" s="59">
        <f t="shared" si="5"/>
        <v>293.33333333333422</v>
      </c>
      <c r="AN59" s="59">
        <f ca="1">AVERAGE(OFFSET($AM$3,0,0,'Données projet'!$E$10+1,1))-AVERAGE(OFFSET($H$3,0,0,'Données projet'!$E$10+1,1))</f>
        <v>141.98581704643658</v>
      </c>
      <c r="AO59" s="59">
        <f t="shared" si="36"/>
        <v>396.03373990407204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54.958920901459209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3.8964201187125658E-4</v>
      </c>
      <c r="AX59" s="21">
        <f t="shared" si="6"/>
        <v>54.959310543471076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-5.6843418860808015E-14</v>
      </c>
      <c r="BE59" s="13">
        <f>BD59*VLOOKUP('Données projet'!$B$11,Paramètres!$A$1:$I$89,3,0)*VLOOKUP('Données projet'!$B$11,Paramètres!$A$1:$I$89,5,0)</f>
        <v>-3.2810021366458389E-14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122.36861947722917</v>
      </c>
      <c r="BJ59" s="59">
        <f t="shared" si="38"/>
        <v>341.51856651265109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47.607188908085199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3.3752047095212924E-4</v>
      </c>
      <c r="BS59" s="22">
        <f t="shared" si="9"/>
        <v>47.607526428556149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6">
        <f t="shared" si="1"/>
        <v>370.70188908775697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9.8000000000000007</v>
      </c>
      <c r="N60" s="13">
        <f>IF('Données projet'!$A$36&gt;35,N59+M60-V59,IF(A60&lt;'Données projet'!$A$36,$K$205^A60,IF(A60='Données projet'!$A$36,'Données projet'!$B$36,N59+M60-V59)))</f>
        <v>271.59999999999997</v>
      </c>
      <c r="O60" s="13">
        <f>N60*VLOOKUP('Données projet'!$B$9,Paramètres!$A$1:$I$89,3,0)*VLOOKUP('Données projet'!$B$9,Paramètres!$A$1:$I$89,5,0)</f>
        <v>228.79584</v>
      </c>
      <c r="P60" s="13">
        <f t="shared" si="33"/>
        <v>56.022234495627458</v>
      </c>
      <c r="Q60" s="20">
        <f t="shared" si="53"/>
        <v>496.0581464132178</v>
      </c>
      <c r="R60" s="59">
        <f t="shared" si="0"/>
        <v>789.39147974655111</v>
      </c>
      <c r="S60" s="59">
        <f ca="1">AVERAGE(OFFSET($R$3,0,0,'Données projet'!$E$9+1,1))-AVERAGE(OFFSET($H$3,0,0,'Données projet'!$E$9+1,1))</f>
        <v>328.34986205643321</v>
      </c>
      <c r="T60" s="59">
        <f t="shared" si="34"/>
        <v>251.60894449147008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16.593380717736487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16.593380717736487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5.6843418860808015E-14</v>
      </c>
      <c r="AJ60" s="13">
        <f>AI60*VLOOKUP('Données projet'!$B$10,Paramètres!$A$1:$I$89,3,0)*VLOOKUP('Données projet'!$B$10,Paramètres!$A$1:$I$89,5,0)</f>
        <v>2.8908289095852525E-14</v>
      </c>
      <c r="AK60" s="13">
        <f t="shared" si="35"/>
        <v>5.0177780569126974E-13</v>
      </c>
      <c r="AL60" s="20">
        <f t="shared" si="4"/>
        <v>9.2427828175423786E-13</v>
      </c>
      <c r="AM60" s="59">
        <f t="shared" si="5"/>
        <v>293.33333333333422</v>
      </c>
      <c r="AN60" s="59">
        <f ca="1">AVERAGE(OFFSET($AM$3,0,0,'Données projet'!$E$10+1,1))-AVERAGE(OFFSET($H$3,0,0,'Données projet'!$E$10+1,1))</f>
        <v>141.98581704643658</v>
      </c>
      <c r="AO60" s="59">
        <f t="shared" si="36"/>
        <v>396.03373990407204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53.881209984213356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2.7551850882933477E-4</v>
      </c>
      <c r="AX60" s="21">
        <f t="shared" si="6"/>
        <v>53.881485502722185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-5.6843418860808015E-14</v>
      </c>
      <c r="BE60" s="13">
        <f>BD60*VLOOKUP('Données projet'!$B$11,Paramètres!$A$1:$I$89,3,0)*VLOOKUP('Données projet'!$B$11,Paramètres!$A$1:$I$89,5,0)</f>
        <v>-3.2810021366458389E-14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122.36861947722917</v>
      </c>
      <c r="BJ60" s="59">
        <f t="shared" si="38"/>
        <v>341.51856651265109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46.673640971115667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2.3866301379952775E-4</v>
      </c>
      <c r="BS60" s="22">
        <f t="shared" si="9"/>
        <v>46.673879634129463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6">
        <f t="shared" si="1"/>
        <v>372.6494975202296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9.8000000000000007</v>
      </c>
      <c r="N61" s="13">
        <f>IF('Données projet'!$A$36&gt;35,N60+M61-V60,IF(A61&lt;'Données projet'!$A$36,$K$205^A61,IF(A61='Données projet'!$A$36,'Données projet'!$B$36,N60+M61-V60)))</f>
        <v>281.39999999999998</v>
      </c>
      <c r="O61" s="13">
        <f>N61*VLOOKUP('Données projet'!$B$9,Paramètres!$A$1:$I$89,3,0)*VLOOKUP('Données projet'!$B$9,Paramètres!$A$1:$I$89,5,0)</f>
        <v>237.05135999999999</v>
      </c>
      <c r="P61" s="13">
        <f t="shared" si="33"/>
        <v>57.804660499743029</v>
      </c>
      <c r="Q61" s="20">
        <f t="shared" si="53"/>
        <v>513.54090237038565</v>
      </c>
      <c r="R61" s="59">
        <f t="shared" si="0"/>
        <v>806.87423570371902</v>
      </c>
      <c r="S61" s="59">
        <f ca="1">AVERAGE(OFFSET($R$3,0,0,'Données projet'!$E$9+1,1))-AVERAGE(OFFSET($H$3,0,0,'Données projet'!$E$9+1,1))</f>
        <v>328.34986205643321</v>
      </c>
      <c r="T61" s="59">
        <f t="shared" si="34"/>
        <v>251.60894449147008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16.267994642824551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16.267994642824551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5.6843418860808015E-14</v>
      </c>
      <c r="AJ61" s="13">
        <f>AI61*VLOOKUP('Données projet'!$B$10,Paramètres!$A$1:$I$89,3,0)*VLOOKUP('Données projet'!$B$10,Paramètres!$A$1:$I$89,5,0)</f>
        <v>2.8908289095852525E-14</v>
      </c>
      <c r="AK61" s="13">
        <f t="shared" si="35"/>
        <v>5.0177780569126974E-13</v>
      </c>
      <c r="AL61" s="20">
        <f t="shared" si="4"/>
        <v>9.2427828175423786E-13</v>
      </c>
      <c r="AM61" s="59">
        <f t="shared" si="5"/>
        <v>293.33333333333422</v>
      </c>
      <c r="AN61" s="59">
        <f ca="1">AVERAGE(OFFSET($AM$3,0,0,'Données projet'!$E$10+1,1))-AVERAGE(OFFSET($H$3,0,0,'Données projet'!$E$10+1,1))</f>
        <v>141.98581704643658</v>
      </c>
      <c r="AO61" s="59">
        <f t="shared" si="36"/>
        <v>396.03373990407204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52.824632320715942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1.9482100593562829E-4</v>
      </c>
      <c r="AX61" s="21">
        <f t="shared" si="6"/>
        <v>52.824827141721876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-5.6843418860808015E-14</v>
      </c>
      <c r="BE61" s="13">
        <f>BD61*VLOOKUP('Données projet'!$B$11,Paramètres!$A$1:$I$89,3,0)*VLOOKUP('Données projet'!$B$11,Paramètres!$A$1:$I$89,5,0)</f>
        <v>-3.2810021366458389E-14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122.36861947722917</v>
      </c>
      <c r="BJ61" s="59">
        <f t="shared" si="38"/>
        <v>341.51856651265109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45.758399339782088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1.6876023547606465E-4</v>
      </c>
      <c r="BS61" s="22">
        <f t="shared" si="9"/>
        <v>45.758568100017563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6">
        <f t="shared" si="1"/>
        <v>374.59630612559323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9.8000000000000007</v>
      </c>
      <c r="N62" s="13">
        <f>IF('Données projet'!$A$36&gt;35,N61+M62-V61,IF(A62&lt;'Données projet'!$A$36,$K$205^A62,IF(A62='Données projet'!$A$36,'Données projet'!$B$36,N61+M62-V61)))</f>
        <v>291.2</v>
      </c>
      <c r="O62" s="13">
        <f>N62*VLOOKUP('Données projet'!$B$9,Paramètres!$A$1:$I$89,3,0)*VLOOKUP('Données projet'!$B$9,Paramètres!$A$1:$I$89,5,0)</f>
        <v>245.30688000000001</v>
      </c>
      <c r="P62" s="13">
        <f t="shared" si="33"/>
        <v>59.579874112906374</v>
      </c>
      <c r="Q62" s="20">
        <f t="shared" si="53"/>
        <v>531.01109674664531</v>
      </c>
      <c r="R62" s="59">
        <f t="shared" si="0"/>
        <v>824.34443007997857</v>
      </c>
      <c r="S62" s="59">
        <f ca="1">AVERAGE(OFFSET($R$3,0,0,'Données projet'!$E$9+1,1))-AVERAGE(OFFSET($H$3,0,0,'Données projet'!$E$9+1,1))</f>
        <v>328.34986205643321</v>
      </c>
      <c r="T62" s="59">
        <f t="shared" si="34"/>
        <v>251.60894449147008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15.948989190375729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15.948989190375729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5.6843418860808015E-14</v>
      </c>
      <c r="AJ62" s="13">
        <f>AI62*VLOOKUP('Données projet'!$B$10,Paramètres!$A$1:$I$89,3,0)*VLOOKUP('Données projet'!$B$10,Paramètres!$A$1:$I$89,5,0)</f>
        <v>2.8908289095852525E-14</v>
      </c>
      <c r="AK62" s="13">
        <f t="shared" si="35"/>
        <v>5.0177780569126974E-13</v>
      </c>
      <c r="AL62" s="20">
        <f t="shared" si="4"/>
        <v>9.2427828175423786E-13</v>
      </c>
      <c r="AM62" s="59">
        <f t="shared" si="5"/>
        <v>293.33333333333422</v>
      </c>
      <c r="AN62" s="59">
        <f ca="1">AVERAGE(OFFSET($AM$3,0,0,'Données projet'!$E$10+1,1))-AVERAGE(OFFSET($H$3,0,0,'Données projet'!$E$10+1,1))</f>
        <v>141.98581704643658</v>
      </c>
      <c r="AO62" s="59">
        <f t="shared" si="36"/>
        <v>396.03373990407204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51.78877350075097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1.3775925441466739E-4</v>
      </c>
      <c r="AX62" s="21">
        <f t="shared" si="6"/>
        <v>51.788911260005385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-5.6843418860808015E-14</v>
      </c>
      <c r="BE62" s="13">
        <f>BD62*VLOOKUP('Données projet'!$B$11,Paramètres!$A$1:$I$89,3,0)*VLOOKUP('Données projet'!$B$11,Paramètres!$A$1:$I$89,5,0)</f>
        <v>-3.2810021366458389E-14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122.36861947722917</v>
      </c>
      <c r="BJ62" s="59">
        <f t="shared" si="38"/>
        <v>341.51856651265109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44.861105038596691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1.1933150689976389E-4</v>
      </c>
      <c r="BS62" s="22">
        <f t="shared" si="9"/>
        <v>44.861224370103592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6">
        <f t="shared" si="1"/>
        <v>376.54233002474325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301</v>
      </c>
      <c r="L63" s="12">
        <f>VLOOKUP(A63,'Données projet'!$A$35:$I$55,9,0)</f>
        <v>9.8000000000000007</v>
      </c>
      <c r="M63" s="12">
        <f t="array" ref="M63">INDEX(L:L,MIN(IF(ISNUMBER(L63:L259),ROW(L63:L259),"")))</f>
        <v>9.8000000000000007</v>
      </c>
      <c r="N63" s="13">
        <f>IF('Données projet'!$A$36&gt;35,N62+M63-V62,IF(A63&lt;'Données projet'!$A$36,$K$205^A63,IF(A63='Données projet'!$A$36,'Données projet'!$B$36,N62+M63-V62)))</f>
        <v>301</v>
      </c>
      <c r="O63" s="13">
        <f>N63*VLOOKUP('Données projet'!$B$9,Paramètres!$A$1:$I$89,3,0)*VLOOKUP('Données projet'!$B$9,Paramètres!$A$1:$I$89,5,0)</f>
        <v>253.56240000000005</v>
      </c>
      <c r="P63" s="13">
        <f t="shared" si="33"/>
        <v>61.348145886656177</v>
      </c>
      <c r="Q63" s="20">
        <f t="shared" si="53"/>
        <v>548.46920075259288</v>
      </c>
      <c r="R63" s="59">
        <f t="shared" si="0"/>
        <v>841.80253408592625</v>
      </c>
      <c r="S63" s="59">
        <f ca="1">AVERAGE(OFFSET($R$3,0,0,'Données projet'!$E$9+1,1))-AVERAGE(OFFSET($H$3,0,0,'Données projet'!$E$9+1,1))</f>
        <v>328.34986205643321</v>
      </c>
      <c r="T63" s="59">
        <f t="shared" si="34"/>
        <v>251.60894449147008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56</v>
      </c>
      <c r="W63" s="16">
        <f>IF(ISNA(VLOOKUP(A63,'Données projet'!$A$35:$I$55,5,0)),0%,VLOOKUP(A63,'Données projet'!$A$35:$I$55,5,0)*VLOOKUP('Données projet'!$B$9,Paramètres!$A$1:$I$89,7,0))</f>
        <v>0.36549999999999999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34.697028374578743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34.697028374578743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5.6843418860808015E-14</v>
      </c>
      <c r="AJ63" s="13">
        <f>AI63*VLOOKUP('Données projet'!$B$10,Paramètres!$A$1:$I$89,3,0)*VLOOKUP('Données projet'!$B$10,Paramètres!$A$1:$I$89,5,0)</f>
        <v>2.8908289095852525E-14</v>
      </c>
      <c r="AK63" s="13">
        <f t="shared" si="35"/>
        <v>5.0177780569126974E-13</v>
      </c>
      <c r="AL63" s="20">
        <f t="shared" si="4"/>
        <v>9.2427828175423786E-13</v>
      </c>
      <c r="AM63" s="59">
        <f t="shared" si="5"/>
        <v>293.33333333333422</v>
      </c>
      <c r="AN63" s="59">
        <f ca="1">AVERAGE(OFFSET($AM$3,0,0,'Données projet'!$E$10+1,1))-AVERAGE(OFFSET($H$3,0,0,'Données projet'!$E$10+1,1))</f>
        <v>141.98581704643658</v>
      </c>
      <c r="AO63" s="59">
        <f t="shared" si="36"/>
        <v>396.03373990407204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50.773227240434018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9.7410502967814144E-5</v>
      </c>
      <c r="AX63" s="21">
        <f t="shared" si="6"/>
        <v>50.773324650936985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-5.6843418860808015E-14</v>
      </c>
      <c r="BE63" s="13">
        <f>BD63*VLOOKUP('Données projet'!$B$11,Paramètres!$A$1:$I$89,3,0)*VLOOKUP('Données projet'!$B$11,Paramètres!$A$1:$I$89,5,0)</f>
        <v>-3.2810021366458389E-14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122.36861947722917</v>
      </c>
      <c r="BJ63" s="59">
        <f t="shared" si="38"/>
        <v>341.51856651265109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43.98140613136205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8.4380117738032338E-5</v>
      </c>
      <c r="BS63" s="22">
        <f t="shared" si="9"/>
        <v>43.981490511479791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6">
        <f t="shared" si="1"/>
        <v>378.48758380565391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8.5</v>
      </c>
      <c r="N64" s="13">
        <f>IF('Données projet'!$A$36&gt;35,N63+M64-V63,IF(A64&lt;'Données projet'!$A$36,$K$205^A64,IF(A64='Données projet'!$A$36,'Données projet'!$B$36,N63+M64-V63)))</f>
        <v>253.5</v>
      </c>
      <c r="O64" s="13">
        <f>N64*VLOOKUP('Données projet'!$B$9,Paramètres!$A$1:$I$89,3,0)*VLOOKUP('Données projet'!$B$9,Paramètres!$A$1:$I$89,5,0)</f>
        <v>213.54840000000004</v>
      </c>
      <c r="P64" s="13">
        <f t="shared" si="33"/>
        <v>52.710242573823848</v>
      </c>
      <c r="Q64" s="20">
        <f t="shared" si="53"/>
        <v>463.73380248274316</v>
      </c>
      <c r="R64" s="59">
        <f t="shared" si="0"/>
        <v>757.06713581607642</v>
      </c>
      <c r="S64" s="59">
        <f ca="1">AVERAGE(OFFSET($R$3,0,0,'Données projet'!$E$9+1,1))-AVERAGE(OFFSET($H$3,0,0,'Données projet'!$E$9+1,1))</f>
        <v>328.34986205643321</v>
      </c>
      <c r="T64" s="59">
        <f t="shared" si="34"/>
        <v>251.60894449147008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34.01664081125088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34.01664081125088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5.6843418860808015E-14</v>
      </c>
      <c r="AJ64" s="13">
        <f>AI64*VLOOKUP('Données projet'!$B$10,Paramètres!$A$1:$I$89,3,0)*VLOOKUP('Données projet'!$B$10,Paramètres!$A$1:$I$89,5,0)</f>
        <v>2.8908289095852525E-14</v>
      </c>
      <c r="AK64" s="13">
        <f t="shared" si="35"/>
        <v>5.0177780569126974E-13</v>
      </c>
      <c r="AL64" s="20">
        <f t="shared" si="4"/>
        <v>9.2427828175423786E-13</v>
      </c>
      <c r="AM64" s="59">
        <f t="shared" si="5"/>
        <v>293.33333333333422</v>
      </c>
      <c r="AN64" s="59">
        <f ca="1">AVERAGE(OFFSET($AM$3,0,0,'Données projet'!$E$10+1,1))-AVERAGE(OFFSET($H$3,0,0,'Données projet'!$E$10+1,1))</f>
        <v>141.98581704643658</v>
      </c>
      <c r="AO64" s="59">
        <f t="shared" si="36"/>
        <v>396.03373990407204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49.77759522285983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6.8879627207333693E-5</v>
      </c>
      <c r="AX64" s="21">
        <f t="shared" si="6"/>
        <v>49.777664102487037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-5.6843418860808015E-14</v>
      </c>
      <c r="BE64" s="13">
        <f>BD64*VLOOKUP('Données projet'!$B$11,Paramètres!$A$1:$I$89,3,0)*VLOOKUP('Données projet'!$B$11,Paramètres!$A$1:$I$89,5,0)</f>
        <v>-3.2810021366458389E-14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122.36861947722917</v>
      </c>
      <c r="BJ64" s="59">
        <f t="shared" si="38"/>
        <v>341.51856651265109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43.118957583134929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5.9665753449881952E-5</v>
      </c>
      <c r="BS64" s="22">
        <f t="shared" si="9"/>
        <v>43.119017248888376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6">
        <f t="shared" si="1"/>
        <v>380.43208155058352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8.5</v>
      </c>
      <c r="N65" s="13">
        <f>IF('Données projet'!$A$36&gt;35,N64+M65-V64,IF(A65&lt;'Données projet'!$A$36,$K$205^A65,IF(A65='Données projet'!$A$36,'Données projet'!$B$36,N64+M65-V64)))</f>
        <v>262</v>
      </c>
      <c r="O65" s="13">
        <f>N65*VLOOKUP('Données projet'!$B$9,Paramètres!$A$1:$I$89,3,0)*VLOOKUP('Données projet'!$B$9,Paramètres!$A$1:$I$89,5,0)</f>
        <v>220.70880000000002</v>
      </c>
      <c r="P65" s="13">
        <f t="shared" si="33"/>
        <v>54.268911046456566</v>
      </c>
      <c r="Q65" s="20">
        <f t="shared" si="53"/>
        <v>478.91951340591186</v>
      </c>
      <c r="R65" s="59">
        <f t="shared" si="0"/>
        <v>772.25284673924511</v>
      </c>
      <c r="S65" s="59">
        <f ca="1">AVERAGE(OFFSET($R$3,0,0,'Données projet'!$E$9+1,1))-AVERAGE(OFFSET($H$3,0,0,'Données projet'!$E$9+1,1))</f>
        <v>328.34986205643321</v>
      </c>
      <c r="T65" s="59">
        <f t="shared" si="34"/>
        <v>251.60894449147008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33.34959523304444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33.34959523304444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5.6843418860808015E-14</v>
      </c>
      <c r="AJ65" s="13">
        <f>AI65*VLOOKUP('Données projet'!$B$10,Paramètres!$A$1:$I$89,3,0)*VLOOKUP('Données projet'!$B$10,Paramètres!$A$1:$I$89,5,0)</f>
        <v>2.8908289095852525E-14</v>
      </c>
      <c r="AK65" s="13">
        <f t="shared" si="35"/>
        <v>5.0177780569126974E-13</v>
      </c>
      <c r="AL65" s="20">
        <f t="shared" si="4"/>
        <v>9.2427828175423786E-13</v>
      </c>
      <c r="AM65" s="59">
        <f t="shared" si="5"/>
        <v>293.33333333333422</v>
      </c>
      <c r="AN65" s="59">
        <f ca="1">AVERAGE(OFFSET($AM$3,0,0,'Données projet'!$E$10+1,1))-AVERAGE(OFFSET($H$3,0,0,'Données projet'!$E$10+1,1))</f>
        <v>141.98581704643658</v>
      </c>
      <c r="AO65" s="59">
        <f t="shared" si="36"/>
        <v>396.03373990407204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48.8014869418747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4.8705251483907072E-5</v>
      </c>
      <c r="AX65" s="21">
        <f t="shared" si="6"/>
        <v>48.801535647126187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-5.6843418860808015E-14</v>
      </c>
      <c r="BE65" s="13">
        <f>BD65*VLOOKUP('Données projet'!$B$11,Paramètres!$A$1:$I$89,3,0)*VLOOKUP('Données projet'!$B$11,Paramètres!$A$1:$I$89,5,0)</f>
        <v>-3.2810021366458389E-14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122.36861947722917</v>
      </c>
      <c r="BJ65" s="59">
        <f t="shared" si="38"/>
        <v>341.51856651265109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42.273421124896871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4.2190058869016176E-5</v>
      </c>
      <c r="BS65" s="22">
        <f t="shared" si="9"/>
        <v>42.273463314955741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6">
        <f t="shared" si="1"/>
        <v>382.37583686147428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8.5</v>
      </c>
      <c r="N66" s="13">
        <f>IF('Données projet'!$A$36&gt;35,N65+M66-V65,IF(A66&lt;'Données projet'!$A$36,$K$205^A66,IF(A66='Données projet'!$A$36,'Données projet'!$B$36,N65+M66-V65)))</f>
        <v>270.5</v>
      </c>
      <c r="O66" s="13">
        <f>N66*VLOOKUP('Données projet'!$B$9,Paramètres!$A$1:$I$89,3,0)*VLOOKUP('Données projet'!$B$9,Paramètres!$A$1:$I$89,5,0)</f>
        <v>227.86920000000003</v>
      </c>
      <c r="P66" s="13">
        <f t="shared" si="33"/>
        <v>55.82170347430052</v>
      </c>
      <c r="Q66" s="20">
        <f t="shared" si="53"/>
        <v>494.09499021774013</v>
      </c>
      <c r="R66" s="59">
        <f t="shared" si="0"/>
        <v>787.42832355107339</v>
      </c>
      <c r="S66" s="59">
        <f ca="1">AVERAGE(OFFSET($R$3,0,0,'Données projet'!$E$9+1,1))-AVERAGE(OFFSET($H$3,0,0,'Données projet'!$E$9+1,1))</f>
        <v>328.34986205643321</v>
      </c>
      <c r="T66" s="59">
        <f t="shared" si="34"/>
        <v>251.60894449147008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32.695630011768998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32.695630011768998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5.6843418860808015E-14</v>
      </c>
      <c r="AJ66" s="13">
        <f>AI66*VLOOKUP('Données projet'!$B$10,Paramètres!$A$1:$I$89,3,0)*VLOOKUP('Données projet'!$B$10,Paramètres!$A$1:$I$89,5,0)</f>
        <v>2.8908289095852525E-14</v>
      </c>
      <c r="AK66" s="13">
        <f t="shared" si="35"/>
        <v>5.0177780569126974E-13</v>
      </c>
      <c r="AL66" s="20">
        <f t="shared" si="4"/>
        <v>9.2427828175423786E-13</v>
      </c>
      <c r="AM66" s="59">
        <f t="shared" si="5"/>
        <v>293.33333333333422</v>
      </c>
      <c r="AN66" s="59">
        <f ca="1">AVERAGE(OFFSET($AM$3,0,0,'Données projet'!$E$10+1,1))-AVERAGE(OFFSET($H$3,0,0,'Données projet'!$E$10+1,1))</f>
        <v>141.98581704643658</v>
      </c>
      <c r="AO66" s="59">
        <f t="shared" si="36"/>
        <v>396.03373990407204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47.844519548912423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3.4439813603666847E-5</v>
      </c>
      <c r="AX66" s="21">
        <f t="shared" si="6"/>
        <v>47.844553988726027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-5.6843418860808015E-14</v>
      </c>
      <c r="BE66" s="13">
        <f>BD66*VLOOKUP('Données projet'!$B$11,Paramètres!$A$1:$I$89,3,0)*VLOOKUP('Données projet'!$B$11,Paramètres!$A$1:$I$89,5,0)</f>
        <v>-3.2810021366458389E-14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122.36861947722917</v>
      </c>
      <c r="BJ66" s="59">
        <f t="shared" si="38"/>
        <v>341.51856651265109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41.444465120878547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2.9832876724940983E-5</v>
      </c>
      <c r="BS66" s="22">
        <f t="shared" si="9"/>
        <v>41.444494953755274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6">
        <f t="shared" si="1"/>
        <v>384.31886288369424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8.5</v>
      </c>
      <c r="N67" s="13">
        <f>IF('Données projet'!$A$36&gt;35,N66+M67-V66,IF(A67&lt;'Données projet'!$A$36,$K$205^A67,IF(A67='Données projet'!$A$36,'Données projet'!$B$36,N66+M67-V66)))</f>
        <v>279</v>
      </c>
      <c r="O67" s="13">
        <f>N67*VLOOKUP('Données projet'!$B$9,Paramètres!$A$1:$I$89,3,0)*VLOOKUP('Données projet'!$B$9,Paramètres!$A$1:$I$89,5,0)</f>
        <v>235.02960000000002</v>
      </c>
      <c r="P67" s="13">
        <f t="shared" si="33"/>
        <v>57.368825686861157</v>
      </c>
      <c r="Q67" s="20">
        <f t="shared" ref="Q67:Q98" si="54">(O67+P67)*0.475*44/12</f>
        <v>509.26059140461649</v>
      </c>
      <c r="R67" s="59">
        <f t="shared" ref="R67:R130" si="55">Q67+(I67+J67)*44/12</f>
        <v>802.59392473794981</v>
      </c>
      <c r="S67" s="59">
        <f ca="1">AVERAGE(OFFSET($R$3,0,0,'Données projet'!$E$9+1,1))-AVERAGE(OFFSET($H$3,0,0,'Données projet'!$E$9+1,1))</f>
        <v>328.34986205643321</v>
      </c>
      <c r="T67" s="59">
        <f t="shared" si="34"/>
        <v>251.60894449147008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32.054488649603371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32.054488649603371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5.6843418860808015E-14</v>
      </c>
      <c r="AJ67" s="13">
        <f>AI67*VLOOKUP('Données projet'!$B$10,Paramètres!$A$1:$I$89,3,0)*VLOOKUP('Données projet'!$B$10,Paramètres!$A$1:$I$89,5,0)</f>
        <v>2.8908289095852525E-14</v>
      </c>
      <c r="AK67" s="13">
        <f t="shared" si="35"/>
        <v>5.0177780569126974E-13</v>
      </c>
      <c r="AL67" s="20">
        <f t="shared" si="4"/>
        <v>9.2427828175423786E-13</v>
      </c>
      <c r="AM67" s="59">
        <f t="shared" si="5"/>
        <v>293.33333333333422</v>
      </c>
      <c r="AN67" s="59">
        <f ca="1">AVERAGE(OFFSET($AM$3,0,0,'Données projet'!$E$10+1,1))-AVERAGE(OFFSET($H$3,0,0,'Données projet'!$E$10+1,1))</f>
        <v>141.98581704643658</v>
      </c>
      <c r="AO67" s="59">
        <f t="shared" si="36"/>
        <v>396.03373990407204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46.906317702833668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2.4352625741953536E-5</v>
      </c>
      <c r="AX67" s="21">
        <f t="shared" si="6"/>
        <v>46.906342055459412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-5.6843418860808015E-14</v>
      </c>
      <c r="BE67" s="13">
        <f>BD67*VLOOKUP('Données projet'!$B$11,Paramètres!$A$1:$I$89,3,0)*VLOOKUP('Données projet'!$B$11,Paramètres!$A$1:$I$89,5,0)</f>
        <v>-3.2810021366458389E-14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122.36861947722917</v>
      </c>
      <c r="BJ67" s="59">
        <f t="shared" si="38"/>
        <v>341.51856651265109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40.631764438485789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2.1095029434508091E-5</v>
      </c>
      <c r="BS67" s="22">
        <f t="shared" si="9"/>
        <v>40.63178553351522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6">
        <f t="shared" ref="H68:H131" si="56">(B68+E68+F68)*44/12+(C68+D68)*0.475*44/12</f>
        <v>386.26117232825266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8.5</v>
      </c>
      <c r="N68" s="13">
        <f>IF('Données projet'!$A$36&gt;35,N67+M68-V67,IF(A68&lt;'Données projet'!$A$36,$K$205^A68,IF(A68='Données projet'!$A$36,'Données projet'!$B$36,N67+M68-V67)))</f>
        <v>287.5</v>
      </c>
      <c r="O68" s="13">
        <f>N68*VLOOKUP('Données projet'!$B$9,Paramètres!$A$1:$I$89,3,0)*VLOOKUP('Données projet'!$B$9,Paramètres!$A$1:$I$89,5,0)</f>
        <v>242.19</v>
      </c>
      <c r="P68" s="13">
        <f t="shared" si="33"/>
        <v>58.910470259429353</v>
      </c>
      <c r="Q68" s="20">
        <f t="shared" si="54"/>
        <v>524.41665236850611</v>
      </c>
      <c r="R68" s="59">
        <f t="shared" si="55"/>
        <v>817.74998570183948</v>
      </c>
      <c r="S68" s="59">
        <f ca="1">AVERAGE(OFFSET($R$3,0,0,'Données projet'!$E$9+1,1))-AVERAGE(OFFSET($H$3,0,0,'Données projet'!$E$9+1,1))</f>
        <v>328.34986205643321</v>
      </c>
      <c r="T68" s="59">
        <f t="shared" si="34"/>
        <v>251.60894449147008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31.425919678492193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31.425919678492193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5.6843418860808015E-14</v>
      </c>
      <c r="AJ68" s="13">
        <f>AI68*VLOOKUP('Données projet'!$B$10,Paramètres!$A$1:$I$89,3,0)*VLOOKUP('Données projet'!$B$10,Paramètres!$A$1:$I$89,5,0)</f>
        <v>2.8908289095852525E-14</v>
      </c>
      <c r="AK68" s="13">
        <f t="shared" si="35"/>
        <v>5.0177780569126974E-13</v>
      </c>
      <c r="AL68" s="20">
        <f t="shared" ref="AL68:AL131" si="58">(AJ68+AK68)*0.475*44/12</f>
        <v>9.2427828175423786E-13</v>
      </c>
      <c r="AM68" s="59">
        <f t="shared" ref="AM68:AM131" si="59">AL68+(AD68+AE68)*44/12</f>
        <v>293.33333333333422</v>
      </c>
      <c r="AN68" s="59">
        <f ca="1">AVERAGE(OFFSET($AM$3,0,0,'Données projet'!$E$10+1,1))-AVERAGE(OFFSET($H$3,0,0,'Données projet'!$E$10+1,1))</f>
        <v>141.98581704643658</v>
      </c>
      <c r="AO68" s="59">
        <f t="shared" si="36"/>
        <v>396.03373990407204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45.986513422709891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1.7219906801833423E-5</v>
      </c>
      <c r="AX68" s="21">
        <f t="shared" ref="AX68:AX131" si="60">SUM(AU68:AW68)</f>
        <v>45.986530642616692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-5.6843418860808015E-14</v>
      </c>
      <c r="BE68" s="13">
        <f>BD68*VLOOKUP('Données projet'!$B$11,Paramètres!$A$1:$I$89,3,0)*VLOOKUP('Données projet'!$B$11,Paramètres!$A$1:$I$89,5,0)</f>
        <v>-3.2810021366458389E-14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122.36861947722917</v>
      </c>
      <c r="BJ68" s="59">
        <f t="shared" si="38"/>
        <v>341.51856651265109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39.835000320776281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1.4916438362470493E-5</v>
      </c>
      <c r="BS68" s="22">
        <f t="shared" ref="BS68:BS131" si="63">SUM(BP68:BR68)</f>
        <v>39.835015237214641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6">
        <f t="shared" si="56"/>
        <v>388.20277749261015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8.5</v>
      </c>
      <c r="N69" s="13">
        <f>IF('Données projet'!$A$36&gt;35,N68+M69-V68,IF(A69&lt;'Données projet'!$A$36,$K$205^A69,IF(A69='Données projet'!$A$36,'Données projet'!$B$36,N68+M69-V68)))</f>
        <v>296</v>
      </c>
      <c r="O69" s="13">
        <f>N69*VLOOKUP('Données projet'!$B$9,Paramètres!$A$1:$I$89,3,0)*VLOOKUP('Données projet'!$B$9,Paramètres!$A$1:$I$89,5,0)</f>
        <v>249.35040000000001</v>
      </c>
      <c r="P69" s="13">
        <f t="shared" ref="P69:P132" si="87">EXP(-1.0587+0.8836*LN(O69)+0.284)</f>
        <v>60.446817732908166</v>
      </c>
      <c r="Q69" s="20">
        <f t="shared" si="54"/>
        <v>539.56348755148167</v>
      </c>
      <c r="R69" s="59">
        <f t="shared" si="55"/>
        <v>832.89682088481504</v>
      </c>
      <c r="S69" s="59">
        <f ca="1">AVERAGE(OFFSET($R$3,0,0,'Données projet'!$E$9+1,1))-AVERAGE(OFFSET($H$3,0,0,'Données projet'!$E$9+1,1))</f>
        <v>328.34986205643321</v>
      </c>
      <c r="T69" s="59">
        <f t="shared" ref="T69:T132" si="88">$T$3</f>
        <v>251.60894449147008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30.809676561515289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30.809676561515289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5.6843418860808015E-14</v>
      </c>
      <c r="AJ69" s="13">
        <f>AI69*VLOOKUP('Données projet'!$B$10,Paramètres!$A$1:$I$89,3,0)*VLOOKUP('Données projet'!$B$10,Paramètres!$A$1:$I$89,5,0)</f>
        <v>2.8908289095852525E-14</v>
      </c>
      <c r="AK69" s="13">
        <f t="shared" ref="AK69:AK132" si="89">EXP(-1.0587+0.8836*LN(AJ69)+0.284)</f>
        <v>5.0177780569126974E-13</v>
      </c>
      <c r="AL69" s="20">
        <f t="shared" si="58"/>
        <v>9.2427828175423786E-13</v>
      </c>
      <c r="AM69" s="59">
        <f t="shared" si="59"/>
        <v>293.33333333333422</v>
      </c>
      <c r="AN69" s="59">
        <f ca="1">AVERAGE(OFFSET($AM$3,0,0,'Données projet'!$E$10+1,1))-AVERAGE(OFFSET($H$3,0,0,'Données projet'!$E$10+1,1))</f>
        <v>141.98581704643658</v>
      </c>
      <c r="AO69" s="59">
        <f t="shared" ref="AO69:AO132" si="90">$AO$3</f>
        <v>396.03373990407204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45.084745943494127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1.2176312870976768E-5</v>
      </c>
      <c r="AX69" s="21">
        <f t="shared" si="60"/>
        <v>45.084758119806999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-5.6843418860808015E-14</v>
      </c>
      <c r="BE69" s="13">
        <f>BD69*VLOOKUP('Données projet'!$B$11,Paramètres!$A$1:$I$89,3,0)*VLOOKUP('Données projet'!$B$11,Paramètres!$A$1:$I$89,5,0)</f>
        <v>-3.2810021366458389E-14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122.36861947722917</v>
      </c>
      <c r="BJ69" s="59">
        <f t="shared" ref="BJ69:BJ132" si="92">$BJ$3</f>
        <v>341.51856651265109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39.053860261436931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1.0547514717254047E-5</v>
      </c>
      <c r="BS69" s="22">
        <f t="shared" si="63"/>
        <v>39.05387080895165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6">
        <f t="shared" si="56"/>
        <v>390.14369028019127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8.5</v>
      </c>
      <c r="N70" s="13">
        <f>IF('Données projet'!$A$36&gt;35,N69+M70-V69,IF(A70&lt;'Données projet'!$A$36,$K$205^A70,IF(A70='Données projet'!$A$36,'Données projet'!$B$36,N69+M70-V69)))</f>
        <v>304.5</v>
      </c>
      <c r="O70" s="13">
        <f>N70*VLOOKUP('Données projet'!$B$9,Paramètres!$A$1:$I$89,3,0)*VLOOKUP('Données projet'!$B$9,Paramètres!$A$1:$I$89,5,0)</f>
        <v>256.51080000000002</v>
      </c>
      <c r="P70" s="13">
        <f t="shared" si="87"/>
        <v>61.978037689587161</v>
      </c>
      <c r="Q70" s="20">
        <f t="shared" si="54"/>
        <v>554.70139230936422</v>
      </c>
      <c r="R70" s="59">
        <f t="shared" si="55"/>
        <v>848.03472564269759</v>
      </c>
      <c r="S70" s="59">
        <f ca="1">AVERAGE(OFFSET($R$3,0,0,'Données projet'!$E$9+1,1))-AVERAGE(OFFSET($H$3,0,0,'Données projet'!$E$9+1,1))</f>
        <v>328.34986205643321</v>
      </c>
      <c r="T70" s="59">
        <f t="shared" si="88"/>
        <v>251.60894449147008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30.205517596191115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30.205517596191115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5.6843418860808015E-14</v>
      </c>
      <c r="AJ70" s="13">
        <f>AI70*VLOOKUP('Données projet'!$B$10,Paramètres!$A$1:$I$89,3,0)*VLOOKUP('Données projet'!$B$10,Paramètres!$A$1:$I$89,5,0)</f>
        <v>2.8908289095852525E-14</v>
      </c>
      <c r="AK70" s="13">
        <f t="shared" si="89"/>
        <v>5.0177780569126974E-13</v>
      </c>
      <c r="AL70" s="20">
        <f t="shared" si="58"/>
        <v>9.2427828175423786E-13</v>
      </c>
      <c r="AM70" s="59">
        <f t="shared" si="59"/>
        <v>293.33333333333422</v>
      </c>
      <c r="AN70" s="59">
        <f ca="1">AVERAGE(OFFSET($AM$3,0,0,'Données projet'!$E$10+1,1))-AVERAGE(OFFSET($H$3,0,0,'Données projet'!$E$10+1,1))</f>
        <v>141.98581704643658</v>
      </c>
      <c r="AO70" s="59">
        <f t="shared" si="90"/>
        <v>396.03373990407204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44.200661574521931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8.6099534009167117E-6</v>
      </c>
      <c r="AX70" s="21">
        <f t="shared" si="60"/>
        <v>44.200670184475335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-5.6843418860808015E-14</v>
      </c>
      <c r="BE70" s="13">
        <f>BD70*VLOOKUP('Données projet'!$B$11,Paramètres!$A$1:$I$89,3,0)*VLOOKUP('Données projet'!$B$11,Paramètres!$A$1:$I$89,5,0)</f>
        <v>-3.2810021366458389E-14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122.36861947722917</v>
      </c>
      <c r="BJ70" s="59">
        <f t="shared" si="92"/>
        <v>341.51856651265109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38.288037882212834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7.4582191812352482E-6</v>
      </c>
      <c r="BS70" s="22">
        <f t="shared" si="63"/>
        <v>38.288045340432014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6">
        <f t="shared" si="56"/>
        <v>392.08392221869906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8.5</v>
      </c>
      <c r="N71" s="13">
        <f>IF('Données projet'!$A$36&gt;35,N70+M71-V70,IF(A71&lt;'Données projet'!$A$36,$K$205^A71,IF(A71='Données projet'!$A$36,'Données projet'!$B$36,N70+M71-V70)))</f>
        <v>313</v>
      </c>
      <c r="O71" s="13">
        <f>N71*VLOOKUP('Données projet'!$B$9,Paramètres!$A$1:$I$89,3,0)*VLOOKUP('Données projet'!$B$9,Paramètres!$A$1:$I$89,5,0)</f>
        <v>263.6712</v>
      </c>
      <c r="P71" s="13">
        <f t="shared" si="87"/>
        <v>63.504289705419772</v>
      </c>
      <c r="Q71" s="20">
        <f t="shared" si="54"/>
        <v>569.83064457027274</v>
      </c>
      <c r="R71" s="59">
        <f t="shared" si="55"/>
        <v>863.16397790360611</v>
      </c>
      <c r="S71" s="59">
        <f ca="1">AVERAGE(OFFSET($R$3,0,0,'Données projet'!$E$9+1,1))-AVERAGE(OFFSET($H$3,0,0,'Données projet'!$E$9+1,1))</f>
        <v>328.34986205643321</v>
      </c>
      <c r="T71" s="59">
        <f t="shared" si="88"/>
        <v>251.60894449147008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29.613205819676367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29.613205819676367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5.6843418860808015E-14</v>
      </c>
      <c r="AJ71" s="13">
        <f>AI71*VLOOKUP('Données projet'!$B$10,Paramètres!$A$1:$I$89,3,0)*VLOOKUP('Données projet'!$B$10,Paramètres!$A$1:$I$89,5,0)</f>
        <v>2.8908289095852525E-14</v>
      </c>
      <c r="AK71" s="13">
        <f t="shared" si="89"/>
        <v>5.0177780569126974E-13</v>
      </c>
      <c r="AL71" s="20">
        <f t="shared" si="58"/>
        <v>9.2427828175423786E-13</v>
      </c>
      <c r="AM71" s="59">
        <f t="shared" si="59"/>
        <v>293.33333333333422</v>
      </c>
      <c r="AN71" s="59">
        <f ca="1">AVERAGE(OFFSET($AM$3,0,0,'Données projet'!$E$10+1,1))-AVERAGE(OFFSET($H$3,0,0,'Données projet'!$E$10+1,1))</f>
        <v>141.98581704643658</v>
      </c>
      <c r="AO71" s="59">
        <f t="shared" si="90"/>
        <v>396.03373990407204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43.33391356078706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6.088156435488384E-6</v>
      </c>
      <c r="AX71" s="21">
        <f t="shared" si="60"/>
        <v>43.333919648943493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-5.6843418860808015E-14</v>
      </c>
      <c r="BE71" s="13">
        <f>BD71*VLOOKUP('Données projet'!$B$11,Paramètres!$A$1:$I$89,3,0)*VLOOKUP('Données projet'!$B$11,Paramètres!$A$1:$I$89,5,0)</f>
        <v>-3.2810021366458389E-14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122.36861947722917</v>
      </c>
      <c r="BJ71" s="59">
        <f t="shared" si="92"/>
        <v>341.51856651265109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37.537232812739795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5.2737573586270245E-6</v>
      </c>
      <c r="BS71" s="22">
        <f t="shared" si="63"/>
        <v>37.537238086497155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6">
        <f t="shared" si="56"/>
        <v>394.02348447732243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8.5</v>
      </c>
      <c r="N72" s="13">
        <f>IF('Données projet'!$A$36&gt;35,N71+M72-V71,IF(A72&lt;'Données projet'!$A$36,$K$205^A72,IF(A72='Données projet'!$A$36,'Données projet'!$B$36,N71+M72-V71)))</f>
        <v>321.5</v>
      </c>
      <c r="O72" s="13">
        <f>N72*VLOOKUP('Données projet'!$B$9,Paramètres!$A$1:$I$89,3,0)*VLOOKUP('Données projet'!$B$9,Paramètres!$A$1:$I$89,5,0)</f>
        <v>270.83160000000004</v>
      </c>
      <c r="P72" s="13">
        <f t="shared" si="87"/>
        <v>65.025724195950417</v>
      </c>
      <c r="Q72" s="20">
        <f t="shared" si="54"/>
        <v>584.95150630794706</v>
      </c>
      <c r="R72" s="59">
        <f t="shared" si="55"/>
        <v>878.28483964128031</v>
      </c>
      <c r="S72" s="59">
        <f ca="1">AVERAGE(OFFSET($R$3,0,0,'Données projet'!$E$9+1,1))-AVERAGE(OFFSET($H$3,0,0,'Données projet'!$E$9+1,1))</f>
        <v>328.34986205643321</v>
      </c>
      <c r="T72" s="59">
        <f t="shared" si="88"/>
        <v>251.60894449147008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29.032508915824561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29.032508915824561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5.6843418860808015E-14</v>
      </c>
      <c r="AJ72" s="13">
        <f>AI72*VLOOKUP('Données projet'!$B$10,Paramètres!$A$1:$I$89,3,0)*VLOOKUP('Données projet'!$B$10,Paramètres!$A$1:$I$89,5,0)</f>
        <v>2.8908289095852525E-14</v>
      </c>
      <c r="AK72" s="13">
        <f t="shared" si="89"/>
        <v>5.0177780569126974E-13</v>
      </c>
      <c r="AL72" s="20">
        <f t="shared" si="58"/>
        <v>9.2427828175423786E-13</v>
      </c>
      <c r="AM72" s="59">
        <f t="shared" si="59"/>
        <v>293.33333333333422</v>
      </c>
      <c r="AN72" s="59">
        <f ca="1">AVERAGE(OFFSET($AM$3,0,0,'Données projet'!$E$10+1,1))-AVERAGE(OFFSET($H$3,0,0,'Données projet'!$E$10+1,1))</f>
        <v>141.98581704643658</v>
      </c>
      <c r="AO72" s="59">
        <f t="shared" si="90"/>
        <v>396.03373990407204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42.484161946937448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4.3049767004583558E-6</v>
      </c>
      <c r="AX72" s="21">
        <f t="shared" si="60"/>
        <v>42.484166251914147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-5.6843418860808015E-14</v>
      </c>
      <c r="BE72" s="13">
        <f>BD72*VLOOKUP('Données projet'!$B$11,Paramètres!$A$1:$I$89,3,0)*VLOOKUP('Données projet'!$B$11,Paramètres!$A$1:$I$89,5,0)</f>
        <v>-3.2810021366458389E-14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122.36861947722917</v>
      </c>
      <c r="BJ72" s="59">
        <f t="shared" si="92"/>
        <v>341.51856651265109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36.801150572733242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3.7291095906176245E-6</v>
      </c>
      <c r="BS72" s="22">
        <f t="shared" si="63"/>
        <v>36.801154301842836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6">
        <f t="shared" si="56"/>
        <v>395.96238788291669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330</v>
      </c>
      <c r="L73" s="12">
        <f>VLOOKUP(A73,'Données projet'!$A$35:$I$55,9,0)</f>
        <v>8.5</v>
      </c>
      <c r="M73" s="12">
        <f t="array" ref="M73">INDEX(L:L,MIN(IF(ISNUMBER(L73:L269),ROW(L73:L269),"")))</f>
        <v>8.5</v>
      </c>
      <c r="N73" s="13">
        <f>IF('Données projet'!$A$36&gt;35,N72+M73-V72,IF(A73&lt;'Données projet'!$A$36,$K$205^A73,IF(A73='Données projet'!$A$36,'Données projet'!$B$36,N72+M73-V72)))</f>
        <v>330</v>
      </c>
      <c r="O73" s="13">
        <f>N73*VLOOKUP('Données projet'!$B$9,Paramètres!$A$1:$I$89,3,0)*VLOOKUP('Données projet'!$B$9,Paramètres!$A$1:$I$89,5,0)</f>
        <v>277.99200000000002</v>
      </c>
      <c r="P73" s="13">
        <f t="shared" si="87"/>
        <v>66.542483170264177</v>
      </c>
      <c r="Q73" s="20">
        <f t="shared" si="54"/>
        <v>600.06422485487678</v>
      </c>
      <c r="R73" s="59">
        <f t="shared" si="55"/>
        <v>893.39755818821004</v>
      </c>
      <c r="S73" s="59">
        <f ca="1">AVERAGE(OFFSET($R$3,0,0,'Données projet'!$E$9+1,1))-AVERAGE(OFFSET($H$3,0,0,'Données projet'!$E$9+1,1))</f>
        <v>328.34986205643321</v>
      </c>
      <c r="T73" s="59">
        <f t="shared" si="88"/>
        <v>251.60894449147008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56</v>
      </c>
      <c r="W73" s="16">
        <f>IF(ISNA(VLOOKUP(A73,'Données projet'!$A$35:$I$55,5,0)),0%,VLOOKUP(A73,'Données projet'!$A$35:$I$55,5,0)*VLOOKUP('Données projet'!$B$9,Paramètres!$A$1:$I$89,7,0))</f>
        <v>0.36549999999999999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47.523988258370579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47.523988258370579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5.6843418860808015E-14</v>
      </c>
      <c r="AJ73" s="13">
        <f>AI73*VLOOKUP('Données projet'!$B$10,Paramètres!$A$1:$I$89,3,0)*VLOOKUP('Données projet'!$B$10,Paramètres!$A$1:$I$89,5,0)</f>
        <v>2.8908289095852525E-14</v>
      </c>
      <c r="AK73" s="13">
        <f t="shared" si="89"/>
        <v>5.0177780569126974E-13</v>
      </c>
      <c r="AL73" s="20">
        <f t="shared" si="58"/>
        <v>9.2427828175423786E-13</v>
      </c>
      <c r="AM73" s="59">
        <f t="shared" si="59"/>
        <v>293.33333333333422</v>
      </c>
      <c r="AN73" s="59">
        <f ca="1">AVERAGE(OFFSET($AM$3,0,0,'Données projet'!$E$10+1,1))-AVERAGE(OFFSET($H$3,0,0,'Données projet'!$E$10+1,1))</f>
        <v>141.98581704643658</v>
      </c>
      <c r="AO73" s="59">
        <f t="shared" si="90"/>
        <v>396.03373990407204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41.651073443938117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3.044078217744192E-6</v>
      </c>
      <c r="AX73" s="21">
        <f t="shared" si="60"/>
        <v>41.651076488016336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-5.6843418860808015E-14</v>
      </c>
      <c r="BE73" s="13">
        <f>BD73*VLOOKUP('Données projet'!$B$11,Paramètres!$A$1:$I$89,3,0)*VLOOKUP('Données projet'!$B$11,Paramètres!$A$1:$I$89,5,0)</f>
        <v>-3.2810021366458389E-14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122.36861947722917</v>
      </c>
      <c r="BJ73" s="59">
        <f t="shared" si="92"/>
        <v>341.51856651265109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36.079502456487383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2.6368786793135127E-6</v>
      </c>
      <c r="BS73" s="22">
        <f t="shared" si="63"/>
        <v>36.079505093366059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6">
        <f t="shared" si="56"/>
        <v>397.90064293523346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7.4</v>
      </c>
      <c r="N74" s="13">
        <f>IF('Données projet'!$A$36&gt;35,N73+M74-V73,IF(A74&lt;'Données projet'!$A$36,$K$205^A74,IF(A74='Données projet'!$A$36,'Données projet'!$B$36,N73+M74-V73)))</f>
        <v>281.39999999999998</v>
      </c>
      <c r="O74" s="13">
        <f>N74*VLOOKUP('Données projet'!$B$9,Paramètres!$A$1:$I$89,3,0)*VLOOKUP('Données projet'!$B$9,Paramètres!$A$1:$I$89,5,0)</f>
        <v>237.05135999999999</v>
      </c>
      <c r="P74" s="13">
        <f t="shared" si="87"/>
        <v>57.804660499743029</v>
      </c>
      <c r="Q74" s="20">
        <f t="shared" si="54"/>
        <v>513.54090237038565</v>
      </c>
      <c r="R74" s="59">
        <f t="shared" si="55"/>
        <v>806.87423570371902</v>
      </c>
      <c r="S74" s="59">
        <f ca="1">AVERAGE(OFFSET($R$3,0,0,'Données projet'!$E$9+1,1))-AVERAGE(OFFSET($H$3,0,0,'Données projet'!$E$9+1,1))</f>
        <v>328.34986205643321</v>
      </c>
      <c r="T74" s="59">
        <f t="shared" si="88"/>
        <v>251.60894449147008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46.592071835394563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46.592071835394563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5.6843418860808015E-14</v>
      </c>
      <c r="AJ74" s="13">
        <f>AI74*VLOOKUP('Données projet'!$B$10,Paramètres!$A$1:$I$89,3,0)*VLOOKUP('Données projet'!$B$10,Paramètres!$A$1:$I$89,5,0)</f>
        <v>2.8908289095852525E-14</v>
      </c>
      <c r="AK74" s="13">
        <f t="shared" si="89"/>
        <v>5.0177780569126974E-13</v>
      </c>
      <c r="AL74" s="20">
        <f t="shared" si="58"/>
        <v>9.2427828175423786E-13</v>
      </c>
      <c r="AM74" s="59">
        <f t="shared" si="59"/>
        <v>293.33333333333422</v>
      </c>
      <c r="AN74" s="59">
        <f ca="1">AVERAGE(OFFSET($AM$3,0,0,'Données projet'!$E$10+1,1))-AVERAGE(OFFSET($H$3,0,0,'Données projet'!$E$10+1,1))</f>
        <v>141.98581704643658</v>
      </c>
      <c r="AO74" s="59">
        <f t="shared" si="90"/>
        <v>396.03373990407204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40.83432129834879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2.1524883502291779E-6</v>
      </c>
      <c r="AX74" s="21">
        <f t="shared" si="60"/>
        <v>40.83432345083714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-5.6843418860808015E-14</v>
      </c>
      <c r="BE74" s="13">
        <f>BD74*VLOOKUP('Données projet'!$B$11,Paramètres!$A$1:$I$89,3,0)*VLOOKUP('Données projet'!$B$11,Paramètres!$A$1:$I$89,5,0)</f>
        <v>-3.2810021366458389E-14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122.36861947722917</v>
      </c>
      <c r="BJ74" s="59">
        <f t="shared" si="92"/>
        <v>341.51856651265109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35.372005419639223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1.8645547953088125E-6</v>
      </c>
      <c r="BS74" s="22">
        <f t="shared" si="63"/>
        <v>35.372007284194019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6">
        <f t="shared" si="56"/>
        <v>399.83825982126905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7.4</v>
      </c>
      <c r="N75" s="13">
        <f>IF('Données projet'!$A$36&gt;35,N74+M75-V74,IF(A75&lt;'Données projet'!$A$36,$K$205^A75,IF(A75='Données projet'!$A$36,'Données projet'!$B$36,N74+M75-V74)))</f>
        <v>288.79999999999995</v>
      </c>
      <c r="O75" s="13">
        <f>N75*VLOOKUP('Données projet'!$B$9,Paramètres!$A$1:$I$89,3,0)*VLOOKUP('Données projet'!$B$9,Paramètres!$A$1:$I$89,5,0)</f>
        <v>243.28512000000001</v>
      </c>
      <c r="P75" s="13">
        <f t="shared" si="87"/>
        <v>59.145779826981617</v>
      </c>
      <c r="Q75" s="20">
        <f t="shared" si="54"/>
        <v>526.73381719865961</v>
      </c>
      <c r="R75" s="59">
        <f t="shared" si="55"/>
        <v>820.06715053199287</v>
      </c>
      <c r="S75" s="59">
        <f ca="1">AVERAGE(OFFSET($R$3,0,0,'Données projet'!$E$9+1,1))-AVERAGE(OFFSET($H$3,0,0,'Données projet'!$E$9+1,1))</f>
        <v>328.34986205643321</v>
      </c>
      <c r="T75" s="59">
        <f t="shared" si="88"/>
        <v>251.60894449147008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45.678429725060212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45.678429725060212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5.6843418860808015E-14</v>
      </c>
      <c r="AJ75" s="13">
        <f>AI75*VLOOKUP('Données projet'!$B$10,Paramètres!$A$1:$I$89,3,0)*VLOOKUP('Données projet'!$B$10,Paramètres!$A$1:$I$89,5,0)</f>
        <v>2.8908289095852525E-14</v>
      </c>
      <c r="AK75" s="13">
        <f t="shared" si="89"/>
        <v>5.0177780569126974E-13</v>
      </c>
      <c r="AL75" s="20">
        <f t="shared" si="58"/>
        <v>9.2427828175423786E-13</v>
      </c>
      <c r="AM75" s="59">
        <f t="shared" si="59"/>
        <v>293.33333333333422</v>
      </c>
      <c r="AN75" s="59">
        <f ca="1">AVERAGE(OFFSET($AM$3,0,0,'Données projet'!$E$10+1,1))-AVERAGE(OFFSET($H$3,0,0,'Données projet'!$E$10+1,1))</f>
        <v>141.98581704643658</v>
      </c>
      <c r="AO75" s="59">
        <f t="shared" si="90"/>
        <v>396.03373990407204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40.033585164164855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1.522039108872096E-6</v>
      </c>
      <c r="AX75" s="21">
        <f t="shared" si="60"/>
        <v>40.033586686203961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-5.6843418860808015E-14</v>
      </c>
      <c r="BE75" s="13">
        <f>BD75*VLOOKUP('Données projet'!$B$11,Paramètres!$A$1:$I$89,3,0)*VLOOKUP('Données projet'!$B$11,Paramètres!$A$1:$I$89,5,0)</f>
        <v>-3.2810021366458389E-14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122.36861947722917</v>
      </c>
      <c r="BJ75" s="59">
        <f t="shared" si="92"/>
        <v>341.51856651265109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34.678381968153069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1.3184393396567566E-6</v>
      </c>
      <c r="BS75" s="22">
        <f t="shared" si="63"/>
        <v>34.678383286592407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6">
        <f t="shared" si="56"/>
        <v>401.77524842879154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7.4</v>
      </c>
      <c r="N76" s="13">
        <f>IF('Données projet'!$A$36&gt;35,N75+M76-V75,IF(A76&lt;'Données projet'!$A$36,$K$205^A76,IF(A76='Données projet'!$A$36,'Données projet'!$B$36,N75+M76-V75)))</f>
        <v>296.19999999999993</v>
      </c>
      <c r="O76" s="13">
        <f>N76*VLOOKUP('Données projet'!$B$9,Paramètres!$A$1:$I$89,3,0)*VLOOKUP('Données projet'!$B$9,Paramètres!$A$1:$I$89,5,0)</f>
        <v>249.51887999999997</v>
      </c>
      <c r="P76" s="13">
        <f t="shared" si="87"/>
        <v>60.482904697997853</v>
      </c>
      <c r="Q76" s="20">
        <f t="shared" si="54"/>
        <v>539.91977501567953</v>
      </c>
      <c r="R76" s="59">
        <f t="shared" si="55"/>
        <v>833.25310834901279</v>
      </c>
      <c r="S76" s="59">
        <f ca="1">AVERAGE(OFFSET($R$3,0,0,'Données projet'!$E$9+1,1))-AVERAGE(OFFSET($H$3,0,0,'Données projet'!$E$9+1,1))</f>
        <v>328.34986205643321</v>
      </c>
      <c r="T76" s="59">
        <f t="shared" si="88"/>
        <v>251.60894449147008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44.782703579242856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44.782703579242856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5.6843418860808015E-14</v>
      </c>
      <c r="AJ76" s="13">
        <f>AI76*VLOOKUP('Données projet'!$B$10,Paramètres!$A$1:$I$89,3,0)*VLOOKUP('Données projet'!$B$10,Paramètres!$A$1:$I$89,5,0)</f>
        <v>2.8908289095852525E-14</v>
      </c>
      <c r="AK76" s="13">
        <f t="shared" si="89"/>
        <v>5.0177780569126974E-13</v>
      </c>
      <c r="AL76" s="20">
        <f t="shared" si="58"/>
        <v>9.2427828175423786E-13</v>
      </c>
      <c r="AM76" s="59">
        <f t="shared" si="59"/>
        <v>293.33333333333422</v>
      </c>
      <c r="AN76" s="59">
        <f ca="1">AVERAGE(OFFSET($AM$3,0,0,'Données projet'!$E$10+1,1))-AVERAGE(OFFSET($H$3,0,0,'Données projet'!$E$10+1,1))</f>
        <v>141.98581704643658</v>
      </c>
      <c r="AO76" s="59">
        <f t="shared" si="90"/>
        <v>396.03373990407204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39.248550977171448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1.076244175114589E-6</v>
      </c>
      <c r="AX76" s="21">
        <f t="shared" si="60"/>
        <v>39.248552053415622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-5.6843418860808015E-14</v>
      </c>
      <c r="BE76" s="13">
        <f>BD76*VLOOKUP('Données projet'!$B$11,Paramètres!$A$1:$I$89,3,0)*VLOOKUP('Données projet'!$B$11,Paramètres!$A$1:$I$89,5,0)</f>
        <v>-3.2810021366458389E-14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122.36861947722917</v>
      </c>
      <c r="BJ76" s="59">
        <f t="shared" si="92"/>
        <v>341.51856651265109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33.998360049482031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9.3227739765440645E-7</v>
      </c>
      <c r="BS76" s="22">
        <f t="shared" si="63"/>
        <v>33.998360981759426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6">
        <f t="shared" si="56"/>
        <v>403.71161835910709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7.4</v>
      </c>
      <c r="N77" s="13">
        <f>IF('Données projet'!$A$36&gt;35,N76+M77-V76,IF(A77&lt;'Données projet'!$A$36,$K$205^A77,IF(A77='Données projet'!$A$36,'Données projet'!$B$36,N76+M77-V76)))</f>
        <v>303.59999999999991</v>
      </c>
      <c r="O77" s="13">
        <f>N77*VLOOKUP('Données projet'!$B$9,Paramètres!$A$1:$I$89,3,0)*VLOOKUP('Données projet'!$B$9,Paramètres!$A$1:$I$89,5,0)</f>
        <v>255.75263999999996</v>
      </c>
      <c r="P77" s="13">
        <f t="shared" si="87"/>
        <v>61.816146384369418</v>
      </c>
      <c r="Q77" s="20">
        <f t="shared" si="54"/>
        <v>553.09896961944332</v>
      </c>
      <c r="R77" s="59">
        <f t="shared" si="55"/>
        <v>846.43230295277658</v>
      </c>
      <c r="S77" s="59">
        <f ca="1">AVERAGE(OFFSET($R$3,0,0,'Données projet'!$E$9+1,1))-AVERAGE(OFFSET($H$3,0,0,'Données projet'!$E$9+1,1))</f>
        <v>328.34986205643321</v>
      </c>
      <c r="T77" s="59">
        <f t="shared" si="88"/>
        <v>251.60894449147008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43.904542076805981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43.904542076805981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5.6843418860808015E-14</v>
      </c>
      <c r="AJ77" s="13">
        <f>AI77*VLOOKUP('Données projet'!$B$10,Paramètres!$A$1:$I$89,3,0)*VLOOKUP('Données projet'!$B$10,Paramètres!$A$1:$I$89,5,0)</f>
        <v>2.8908289095852525E-14</v>
      </c>
      <c r="AK77" s="13">
        <f t="shared" si="89"/>
        <v>5.0177780569126974E-13</v>
      </c>
      <c r="AL77" s="20">
        <f t="shared" si="58"/>
        <v>9.2427828175423786E-13</v>
      </c>
      <c r="AM77" s="59">
        <f t="shared" si="59"/>
        <v>293.33333333333422</v>
      </c>
      <c r="AN77" s="59">
        <f ca="1">AVERAGE(OFFSET($AM$3,0,0,'Données projet'!$E$10+1,1))-AVERAGE(OFFSET($H$3,0,0,'Données projet'!$E$10+1,1))</f>
        <v>141.98581704643658</v>
      </c>
      <c r="AO77" s="59">
        <f t="shared" si="90"/>
        <v>396.03373990407204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38.478910831761404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7.61019554436048E-7</v>
      </c>
      <c r="AX77" s="21">
        <f t="shared" si="60"/>
        <v>38.47891159278096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-5.6843418860808015E-14</v>
      </c>
      <c r="BE77" s="13">
        <f>BD77*VLOOKUP('Données projet'!$B$11,Paramètres!$A$1:$I$89,3,0)*VLOOKUP('Données projet'!$B$11,Paramètres!$A$1:$I$89,5,0)</f>
        <v>-3.2810021366458389E-14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122.36861947722917</v>
      </c>
      <c r="BJ77" s="59">
        <f t="shared" si="92"/>
        <v>341.51856651265109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33.331672945863716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6.5921966982837838E-7</v>
      </c>
      <c r="BS77" s="22">
        <f t="shared" si="63"/>
        <v>33.331673605083388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6">
        <f t="shared" si="56"/>
        <v>405.64737893911513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7.4</v>
      </c>
      <c r="N78" s="13">
        <f>IF('Données projet'!$A$36&gt;35,N77+M78-V77,IF(A78&lt;'Données projet'!$A$36,$K$205^A78,IF(A78='Données projet'!$A$36,'Données projet'!$B$36,N77+M78-V77)))</f>
        <v>310.99999999999989</v>
      </c>
      <c r="O78" s="13">
        <f>N78*VLOOKUP('Données projet'!$B$9,Paramètres!$A$1:$I$89,3,0)*VLOOKUP('Données projet'!$B$9,Paramètres!$A$1:$I$89,5,0)</f>
        <v>261.98639999999989</v>
      </c>
      <c r="P78" s="13">
        <f t="shared" si="87"/>
        <v>63.14561042409737</v>
      </c>
      <c r="Q78" s="20">
        <f t="shared" si="54"/>
        <v>566.27158482196944</v>
      </c>
      <c r="R78" s="59">
        <f t="shared" si="55"/>
        <v>859.60491815530281</v>
      </c>
      <c r="S78" s="59">
        <f ca="1">AVERAGE(OFFSET($R$3,0,0,'Données projet'!$E$9+1,1))-AVERAGE(OFFSET($H$3,0,0,'Données projet'!$E$9+1,1))</f>
        <v>328.34986205643321</v>
      </c>
      <c r="T78" s="59">
        <f t="shared" si="88"/>
        <v>251.60894449147008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43.043600785806262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43.043600785806262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5.6843418860808015E-14</v>
      </c>
      <c r="AJ78" s="13">
        <f>AI78*VLOOKUP('Données projet'!$B$10,Paramètres!$A$1:$I$89,3,0)*VLOOKUP('Données projet'!$B$10,Paramètres!$A$1:$I$89,5,0)</f>
        <v>2.8908289095852525E-14</v>
      </c>
      <c r="AK78" s="13">
        <f t="shared" si="89"/>
        <v>5.0177780569126974E-13</v>
      </c>
      <c r="AL78" s="20">
        <f t="shared" si="58"/>
        <v>9.2427828175423786E-13</v>
      </c>
      <c r="AM78" s="59">
        <f t="shared" si="59"/>
        <v>293.33333333333422</v>
      </c>
      <c r="AN78" s="59">
        <f ca="1">AVERAGE(OFFSET($AM$3,0,0,'Données projet'!$E$10+1,1))-AVERAGE(OFFSET($H$3,0,0,'Données projet'!$E$10+1,1))</f>
        <v>141.98581704643658</v>
      </c>
      <c r="AO78" s="59">
        <f t="shared" si="90"/>
        <v>396.03373990407204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37.724362860168718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5.3812208755729448E-7</v>
      </c>
      <c r="AX78" s="21">
        <f t="shared" si="60"/>
        <v>37.724363398290805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-5.6843418860808015E-14</v>
      </c>
      <c r="BE78" s="13">
        <f>BD78*VLOOKUP('Données projet'!$B$11,Paramètres!$A$1:$I$89,3,0)*VLOOKUP('Données projet'!$B$11,Paramètres!$A$1:$I$89,5,0)</f>
        <v>-3.2810021366458389E-14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122.36861947722917</v>
      </c>
      <c r="BJ78" s="59">
        <f t="shared" si="92"/>
        <v>341.51856651265109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32.678059169708376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4.6613869882720328E-7</v>
      </c>
      <c r="BS78" s="22">
        <f t="shared" si="63"/>
        <v>32.678059635847077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6">
        <f t="shared" si="56"/>
        <v>407.58253923270354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7.4</v>
      </c>
      <c r="N79" s="13">
        <f>IF('Données projet'!$A$36&gt;35,N78+M79-V78,IF(A79&lt;'Données projet'!$A$36,$K$205^A79,IF(A79='Données projet'!$A$36,'Données projet'!$B$36,N78+M79-V78)))</f>
        <v>318.39999999999986</v>
      </c>
      <c r="O79" s="13">
        <f>N79*VLOOKUP('Données projet'!$B$9,Paramètres!$A$1:$I$89,3,0)*VLOOKUP('Données projet'!$B$9,Paramètres!$A$1:$I$89,5,0)</f>
        <v>268.22015999999991</v>
      </c>
      <c r="P79" s="13">
        <f t="shared" si="87"/>
        <v>64.471397046337671</v>
      </c>
      <c r="Q79" s="20">
        <f t="shared" si="54"/>
        <v>579.43779518903796</v>
      </c>
      <c r="R79" s="59">
        <f t="shared" si="55"/>
        <v>872.77112852237133</v>
      </c>
      <c r="S79" s="59">
        <f ca="1">AVERAGE(OFFSET($R$3,0,0,'Données projet'!$E$9+1,1))-AVERAGE(OFFSET($H$3,0,0,'Données projet'!$E$9+1,1))</f>
        <v>328.34986205643321</v>
      </c>
      <c r="T79" s="59">
        <f t="shared" si="88"/>
        <v>251.60894449147008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42.199542028400714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42.199542028400714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5.6843418860808015E-14</v>
      </c>
      <c r="AJ79" s="13">
        <f>AI79*VLOOKUP('Données projet'!$B$10,Paramètres!$A$1:$I$89,3,0)*VLOOKUP('Données projet'!$B$10,Paramètres!$A$1:$I$89,5,0)</f>
        <v>2.8908289095852525E-14</v>
      </c>
      <c r="AK79" s="13">
        <f t="shared" si="89"/>
        <v>5.0177780569126974E-13</v>
      </c>
      <c r="AL79" s="20">
        <f t="shared" si="58"/>
        <v>9.2427828175423786E-13</v>
      </c>
      <c r="AM79" s="59">
        <f t="shared" si="59"/>
        <v>293.33333333333422</v>
      </c>
      <c r="AN79" s="59">
        <f ca="1">AVERAGE(OFFSET($AM$3,0,0,'Données projet'!$E$10+1,1))-AVERAGE(OFFSET($H$3,0,0,'Données projet'!$E$10+1,1))</f>
        <v>141.98581704643658</v>
      </c>
      <c r="AO79" s="59">
        <f t="shared" si="90"/>
        <v>396.03373990407204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36.984611114070148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3.80509777218024E-7</v>
      </c>
      <c r="AX79" s="21">
        <f t="shared" si="60"/>
        <v>36.984611494579923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-5.6843418860808015E-14</v>
      </c>
      <c r="BE79" s="13">
        <f>BD79*VLOOKUP('Données projet'!$B$11,Paramètres!$A$1:$I$89,3,0)*VLOOKUP('Données projet'!$B$11,Paramètres!$A$1:$I$89,5,0)</f>
        <v>-3.2810021366458389E-14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122.36861947722917</v>
      </c>
      <c r="BJ79" s="59">
        <f t="shared" si="92"/>
        <v>341.51856651265109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32.037262361038401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3.2960983491418924E-7</v>
      </c>
      <c r="BS79" s="22">
        <f t="shared" si="63"/>
        <v>32.037262690648234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6">
        <f t="shared" si="56"/>
        <v>409.51710805152618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7.4</v>
      </c>
      <c r="N80" s="13">
        <f>IF('Données projet'!$A$36&gt;35,N79+M80-V79,IF(A80&lt;'Données projet'!$A$36,$K$205^A80,IF(A80='Données projet'!$A$36,'Données projet'!$B$36,N79+M80-V79)))</f>
        <v>325.79999999999984</v>
      </c>
      <c r="O80" s="13">
        <f>N80*VLOOKUP('Données projet'!$B$9,Paramètres!$A$1:$I$89,3,0)*VLOOKUP('Données projet'!$B$9,Paramètres!$A$1:$I$89,5,0)</f>
        <v>274.45391999999993</v>
      </c>
      <c r="P80" s="13">
        <f t="shared" si="87"/>
        <v>65.793601555534096</v>
      </c>
      <c r="Q80" s="20">
        <f t="shared" si="54"/>
        <v>592.59776670922179</v>
      </c>
      <c r="R80" s="59">
        <f t="shared" si="55"/>
        <v>885.93110004255504</v>
      </c>
      <c r="S80" s="59">
        <f ca="1">AVERAGE(OFFSET($R$3,0,0,'Données projet'!$E$9+1,1))-AVERAGE(OFFSET($H$3,0,0,'Données projet'!$E$9+1,1))</f>
        <v>328.34986205643321</v>
      </c>
      <c r="T80" s="59">
        <f t="shared" si="88"/>
        <v>251.60894449147008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41.372034748402882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41.372034748402882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5.6843418860808015E-14</v>
      </c>
      <c r="AJ80" s="13">
        <f>AI80*VLOOKUP('Données projet'!$B$10,Paramètres!$A$1:$I$89,3,0)*VLOOKUP('Données projet'!$B$10,Paramètres!$A$1:$I$89,5,0)</f>
        <v>2.8908289095852525E-14</v>
      </c>
      <c r="AK80" s="13">
        <f t="shared" si="89"/>
        <v>5.0177780569126974E-13</v>
      </c>
      <c r="AL80" s="20">
        <f t="shared" si="58"/>
        <v>9.2427828175423786E-13</v>
      </c>
      <c r="AM80" s="59">
        <f t="shared" si="59"/>
        <v>293.33333333333422</v>
      </c>
      <c r="AN80" s="59">
        <f ca="1">AVERAGE(OFFSET($AM$3,0,0,'Données projet'!$E$10+1,1))-AVERAGE(OFFSET($H$3,0,0,'Données projet'!$E$10+1,1))</f>
        <v>141.98581704643658</v>
      </c>
      <c r="AO80" s="59">
        <f t="shared" si="90"/>
        <v>396.03373990407204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36.259365448508554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2.6906104377864724E-7</v>
      </c>
      <c r="AX80" s="21">
        <f t="shared" si="60"/>
        <v>36.259365717569601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-5.6843418860808015E-14</v>
      </c>
      <c r="BE80" s="13">
        <f>BD80*VLOOKUP('Données projet'!$B$11,Paramètres!$A$1:$I$89,3,0)*VLOOKUP('Données projet'!$B$11,Paramètres!$A$1:$I$89,5,0)</f>
        <v>-3.2810021366458389E-14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122.36861947722917</v>
      </c>
      <c r="BJ80" s="59">
        <f t="shared" si="92"/>
        <v>341.51856651265109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31.409031186938986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2.3306934941360169E-7</v>
      </c>
      <c r="BS80" s="22">
        <f t="shared" si="63"/>
        <v>31.409031420008336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6">
        <f t="shared" si="56"/>
        <v>411.45109396520513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7.4</v>
      </c>
      <c r="N81" s="13">
        <f>IF('Données projet'!$A$36&gt;35,N80+M81-V80,IF(A81&lt;'Données projet'!$A$36,$K$205^A81,IF(A81='Données projet'!$A$36,'Données projet'!$B$36,N80+M81-V80)))</f>
        <v>333.19999999999982</v>
      </c>
      <c r="O81" s="13">
        <f>N81*VLOOKUP('Données projet'!$B$9,Paramètres!$A$1:$I$89,3,0)*VLOOKUP('Données projet'!$B$9,Paramètres!$A$1:$I$89,5,0)</f>
        <v>280.68767999999989</v>
      </c>
      <c r="P81" s="13">
        <f t="shared" si="87"/>
        <v>67.11231467966806</v>
      </c>
      <c r="Q81" s="20">
        <f t="shared" si="54"/>
        <v>605.75165740042166</v>
      </c>
      <c r="R81" s="59">
        <f t="shared" si="55"/>
        <v>899.08499073375492</v>
      </c>
      <c r="S81" s="59">
        <f ca="1">AVERAGE(OFFSET($R$3,0,0,'Données projet'!$E$9+1,1))-AVERAGE(OFFSET($H$3,0,0,'Données projet'!$E$9+1,1))</f>
        <v>328.34986205643321</v>
      </c>
      <c r="T81" s="59">
        <f t="shared" si="88"/>
        <v>251.60894449147008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40.560754381436205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40.560754381436205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5.6843418860808015E-14</v>
      </c>
      <c r="AJ81" s="13">
        <f>AI81*VLOOKUP('Données projet'!$B$10,Paramètres!$A$1:$I$89,3,0)*VLOOKUP('Données projet'!$B$10,Paramètres!$A$1:$I$89,5,0)</f>
        <v>2.8908289095852525E-14</v>
      </c>
      <c r="AK81" s="13">
        <f t="shared" si="89"/>
        <v>5.0177780569126974E-13</v>
      </c>
      <c r="AL81" s="20">
        <f t="shared" si="58"/>
        <v>9.2427828175423786E-13</v>
      </c>
      <c r="AM81" s="59">
        <f t="shared" si="59"/>
        <v>293.33333333333422</v>
      </c>
      <c r="AN81" s="59">
        <f ca="1">AVERAGE(OFFSET($AM$3,0,0,'Données projet'!$E$10+1,1))-AVERAGE(OFFSET($H$3,0,0,'Données projet'!$E$10+1,1))</f>
        <v>141.98581704643658</v>
      </c>
      <c r="AO81" s="59">
        <f t="shared" si="90"/>
        <v>396.03373990407204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35.548341408092448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1.90254888609012E-7</v>
      </c>
      <c r="AX81" s="21">
        <f t="shared" si="60"/>
        <v>35.548341598347335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-5.6843418860808015E-14</v>
      </c>
      <c r="BE81" s="13">
        <f>BD81*VLOOKUP('Données projet'!$B$11,Paramètres!$A$1:$I$89,3,0)*VLOOKUP('Données projet'!$B$11,Paramètres!$A$1:$I$89,5,0)</f>
        <v>-3.2810021366458389E-14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122.36861947722917</v>
      </c>
      <c r="BJ81" s="59">
        <f t="shared" si="92"/>
        <v>341.51856651265109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30.793119242980477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1.6480491745709465E-7</v>
      </c>
      <c r="BS81" s="22">
        <f t="shared" si="63"/>
        <v>30.793119407785394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6">
        <f t="shared" si="56"/>
        <v>413.38450531099431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7.4</v>
      </c>
      <c r="N82" s="13">
        <f>IF('Données projet'!$A$36&gt;35,N81+M82-V81,IF(A82&lt;'Données projet'!$A$36,$K$205^A82,IF(A82='Données projet'!$A$36,'Données projet'!$B$36,N81+M82-V81)))</f>
        <v>340.5999999999998</v>
      </c>
      <c r="O82" s="13">
        <f>N82*VLOOKUP('Données projet'!$B$9,Paramètres!$A$1:$I$89,3,0)*VLOOKUP('Données projet'!$B$9,Paramètres!$A$1:$I$89,5,0)</f>
        <v>286.92143999999985</v>
      </c>
      <c r="P82" s="13">
        <f t="shared" si="87"/>
        <v>68.427622886698884</v>
      </c>
      <c r="Q82" s="20">
        <f t="shared" si="54"/>
        <v>618.89961786100014</v>
      </c>
      <c r="R82" s="59">
        <f t="shared" si="55"/>
        <v>912.23295119433351</v>
      </c>
      <c r="S82" s="59">
        <f ca="1">AVERAGE(OFFSET($R$3,0,0,'Données projet'!$E$9+1,1))-AVERAGE(OFFSET($H$3,0,0,'Données projet'!$E$9+1,1))</f>
        <v>328.34986205643321</v>
      </c>
      <c r="T82" s="59">
        <f t="shared" si="88"/>
        <v>251.60894449147008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39.765382727633579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39.765382727633579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5.6843418860808015E-14</v>
      </c>
      <c r="AJ82" s="13">
        <f>AI82*VLOOKUP('Données projet'!$B$10,Paramètres!$A$1:$I$89,3,0)*VLOOKUP('Données projet'!$B$10,Paramètres!$A$1:$I$89,5,0)</f>
        <v>2.8908289095852525E-14</v>
      </c>
      <c r="AK82" s="13">
        <f t="shared" si="89"/>
        <v>5.0177780569126974E-13</v>
      </c>
      <c r="AL82" s="20">
        <f t="shared" si="58"/>
        <v>9.2427828175423786E-13</v>
      </c>
      <c r="AM82" s="59">
        <f t="shared" si="59"/>
        <v>293.33333333333422</v>
      </c>
      <c r="AN82" s="59">
        <f ca="1">AVERAGE(OFFSET($AM$3,0,0,'Données projet'!$E$10+1,1))-AVERAGE(OFFSET($H$3,0,0,'Données projet'!$E$10+1,1))</f>
        <v>141.98581704643658</v>
      </c>
      <c r="AO82" s="59">
        <f t="shared" si="90"/>
        <v>396.03373990407204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34.85126011542706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1.3453052188932362E-7</v>
      </c>
      <c r="AX82" s="21">
        <f t="shared" si="60"/>
        <v>34.851260249957583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-5.6843418860808015E-14</v>
      </c>
      <c r="BE82" s="13">
        <f>BD82*VLOOKUP('Données projet'!$B$11,Paramètres!$A$1:$I$89,3,0)*VLOOKUP('Données projet'!$B$11,Paramètres!$A$1:$I$89,5,0)</f>
        <v>-3.2810021366458389E-14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122.36861947722917</v>
      </c>
      <c r="BJ82" s="59">
        <f t="shared" si="92"/>
        <v>341.51856651265109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30.189284956573804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1.1653467470680086E-7</v>
      </c>
      <c r="BS82" s="22">
        <f t="shared" si="63"/>
        <v>30.189285073108479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6">
        <f t="shared" si="56"/>
        <v>415.31735020294059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348</v>
      </c>
      <c r="L83" s="12">
        <f>VLOOKUP(A83,'Données projet'!$A$35:$I$55,9,0)</f>
        <v>7.4</v>
      </c>
      <c r="M83" s="12">
        <f t="array" ref="M83">INDEX(L:L,MIN(IF(ISNUMBER(L83:L279),ROW(L83:L279),"")))</f>
        <v>7.4</v>
      </c>
      <c r="N83" s="13">
        <f>IF('Données projet'!$A$36&gt;35,N82+M83-V82,IF(A83&lt;'Données projet'!$A$36,$K$205^A83,IF(A83='Données projet'!$A$36,'Données projet'!$B$36,N82+M83-V82)))</f>
        <v>347.99999999999977</v>
      </c>
      <c r="O83" s="13">
        <f>N83*VLOOKUP('Données projet'!$B$9,Paramètres!$A$1:$I$89,3,0)*VLOOKUP('Données projet'!$B$9,Paramètres!$A$1:$I$89,5,0)</f>
        <v>293.15519999999987</v>
      </c>
      <c r="P83" s="13">
        <f t="shared" si="87"/>
        <v>69.739608672728551</v>
      </c>
      <c r="Q83" s="20">
        <f t="shared" si="54"/>
        <v>632.0417917716685</v>
      </c>
      <c r="R83" s="59">
        <f t="shared" si="55"/>
        <v>925.37512510500187</v>
      </c>
      <c r="S83" s="59">
        <f ca="1">AVERAGE(OFFSET($R$3,0,0,'Données projet'!$E$9+1,1))-AVERAGE(OFFSET($H$3,0,0,'Données projet'!$E$9+1,1))</f>
        <v>328.34986205643321</v>
      </c>
      <c r="T83" s="59">
        <f t="shared" si="88"/>
        <v>251.60894449147008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56</v>
      </c>
      <c r="W83" s="16">
        <f>IF(ISNA(VLOOKUP(A83,'Données projet'!$A$35:$I$55,5,0)),0%,VLOOKUP(A83,'Données projet'!$A$35:$I$55,5,0)*VLOOKUP('Données projet'!$B$9,Paramètres!$A$1:$I$89,7,0))</f>
        <v>0.36549999999999999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58.046396961136651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58.046396961136651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5.6843418860808015E-14</v>
      </c>
      <c r="AJ83" s="13">
        <f>AI83*VLOOKUP('Données projet'!$B$10,Paramètres!$A$1:$I$89,3,0)*VLOOKUP('Données projet'!$B$10,Paramètres!$A$1:$I$89,5,0)</f>
        <v>2.8908289095852525E-14</v>
      </c>
      <c r="AK83" s="13">
        <f t="shared" si="89"/>
        <v>5.0177780569126974E-13</v>
      </c>
      <c r="AL83" s="20">
        <f t="shared" si="58"/>
        <v>9.2427828175423786E-13</v>
      </c>
      <c r="AM83" s="59">
        <f t="shared" si="59"/>
        <v>293.33333333333422</v>
      </c>
      <c r="AN83" s="59">
        <f ca="1">AVERAGE(OFFSET($AM$3,0,0,'Données projet'!$E$10+1,1))-AVERAGE(OFFSET($H$3,0,0,'Données projet'!$E$10+1,1))</f>
        <v>141.98581704643658</v>
      </c>
      <c r="AO83" s="59">
        <f t="shared" si="90"/>
        <v>396.03373990407204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34.167848161733232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9.5127444304506E-8</v>
      </c>
      <c r="AX83" s="21">
        <f t="shared" si="60"/>
        <v>34.16784825686068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-5.6843418860808015E-14</v>
      </c>
      <c r="BE83" s="13">
        <f>BD83*VLOOKUP('Données projet'!$B$11,Paramètres!$A$1:$I$89,3,0)*VLOOKUP('Données projet'!$B$11,Paramètres!$A$1:$I$89,5,0)</f>
        <v>-3.2810021366458389E-14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122.36861947722917</v>
      </c>
      <c r="BJ83" s="59">
        <f t="shared" si="92"/>
        <v>341.51856651265109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29.597291492221018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8.2402458728547338E-8</v>
      </c>
      <c r="BS83" s="22">
        <f t="shared" si="63"/>
        <v>29.597291574623476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6">
        <f t="shared" si="56"/>
        <v>417.24963654057308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6.6</v>
      </c>
      <c r="N84" s="13">
        <f>IF('Données projet'!$A$36&gt;35,N83+M84-V83,IF(A84&lt;'Données projet'!$A$36,$K$205^A84,IF(A84='Données projet'!$A$36,'Données projet'!$B$36,N83+M84-V83)))</f>
        <v>298.5999999999998</v>
      </c>
      <c r="O84" s="13">
        <f>N84*VLOOKUP('Données projet'!$B$9,Paramètres!$A$1:$I$89,3,0)*VLOOKUP('Données projet'!$B$9,Paramètres!$A$1:$I$89,5,0)</f>
        <v>251.54063999999983</v>
      </c>
      <c r="P84" s="13">
        <f t="shared" si="87"/>
        <v>60.915727667172014</v>
      </c>
      <c r="Q84" s="20">
        <f t="shared" si="54"/>
        <v>544.19484035365758</v>
      </c>
      <c r="R84" s="59">
        <f t="shared" si="55"/>
        <v>837.52817368699084</v>
      </c>
      <c r="S84" s="59">
        <f ca="1">AVERAGE(OFFSET($R$3,0,0,'Données projet'!$E$9+1,1))-AVERAGE(OFFSET($H$3,0,0,'Données projet'!$E$9+1,1))</f>
        <v>328.34986205643321</v>
      </c>
      <c r="T84" s="59">
        <f t="shared" si="88"/>
        <v>251.60894449147008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56.90814252153497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56.90814252153497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5.6843418860808015E-14</v>
      </c>
      <c r="AJ84" s="13">
        <f>AI84*VLOOKUP('Données projet'!$B$10,Paramètres!$A$1:$I$89,3,0)*VLOOKUP('Données projet'!$B$10,Paramètres!$A$1:$I$89,5,0)</f>
        <v>2.8908289095852525E-14</v>
      </c>
      <c r="AK84" s="13">
        <f t="shared" si="89"/>
        <v>5.0177780569126974E-13</v>
      </c>
      <c r="AL84" s="20">
        <f t="shared" si="58"/>
        <v>9.2427828175423786E-13</v>
      </c>
      <c r="AM84" s="59">
        <f t="shared" si="59"/>
        <v>293.33333333333422</v>
      </c>
      <c r="AN84" s="59">
        <f ca="1">AVERAGE(OFFSET($AM$3,0,0,'Données projet'!$E$10+1,1))-AVERAGE(OFFSET($H$3,0,0,'Données projet'!$E$10+1,1))</f>
        <v>141.98581704643658</v>
      </c>
      <c r="AO84" s="59">
        <f t="shared" si="90"/>
        <v>396.03373990407204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33.497837499611208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6.726526094466181E-8</v>
      </c>
      <c r="AX84" s="21">
        <f t="shared" si="60"/>
        <v>33.49783756687647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-5.6843418860808015E-14</v>
      </c>
      <c r="BE84" s="13">
        <f>BD84*VLOOKUP('Données projet'!$B$11,Paramètres!$A$1:$I$89,3,0)*VLOOKUP('Données projet'!$B$11,Paramètres!$A$1:$I$89,5,0)</f>
        <v>-3.2810021366458389E-14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122.36861947722917</v>
      </c>
      <c r="BJ84" s="59">
        <f t="shared" si="92"/>
        <v>341.51856651265109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29.016906658623832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5.8267337353400443E-8</v>
      </c>
      <c r="BS84" s="22">
        <f t="shared" si="63"/>
        <v>29.016906716891167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6">
        <f t="shared" si="56"/>
        <v>419.18137201715149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6.6</v>
      </c>
      <c r="N85" s="13">
        <f>IF('Données projet'!$A$36&gt;35,N84+M85-V84,IF(A85&lt;'Données projet'!$A$36,$K$205^A85,IF(A85='Données projet'!$A$36,'Données projet'!$B$36,N84+M85-V84)))</f>
        <v>305.19999999999982</v>
      </c>
      <c r="O85" s="13">
        <f>N85*VLOOKUP('Données projet'!$B$9,Paramètres!$A$1:$I$89,3,0)*VLOOKUP('Données projet'!$B$9,Paramètres!$A$1:$I$89,5,0)</f>
        <v>257.10047999999989</v>
      </c>
      <c r="P85" s="13">
        <f t="shared" si="87"/>
        <v>62.103914639805609</v>
      </c>
      <c r="Q85" s="20">
        <f t="shared" si="54"/>
        <v>555.94765399766129</v>
      </c>
      <c r="R85" s="59">
        <f t="shared" si="55"/>
        <v>849.28098733099455</v>
      </c>
      <c r="S85" s="59">
        <f ca="1">AVERAGE(OFFSET($R$3,0,0,'Données projet'!$E$9+1,1))-AVERAGE(OFFSET($H$3,0,0,'Données projet'!$E$9+1,1))</f>
        <v>328.34986205643321</v>
      </c>
      <c r="T85" s="59">
        <f t="shared" si="88"/>
        <v>251.60894449147008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55.792208557227227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55.792208557227227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5.6843418860808015E-14</v>
      </c>
      <c r="AJ85" s="13">
        <f>AI85*VLOOKUP('Données projet'!$B$10,Paramètres!$A$1:$I$89,3,0)*VLOOKUP('Données projet'!$B$10,Paramètres!$A$1:$I$89,5,0)</f>
        <v>2.8908289095852525E-14</v>
      </c>
      <c r="AK85" s="13">
        <f t="shared" si="89"/>
        <v>5.0177780569126974E-13</v>
      </c>
      <c r="AL85" s="20">
        <f t="shared" si="58"/>
        <v>9.2427828175423786E-13</v>
      </c>
      <c r="AM85" s="59">
        <f t="shared" si="59"/>
        <v>293.33333333333422</v>
      </c>
      <c r="AN85" s="59">
        <f ca="1">AVERAGE(OFFSET($AM$3,0,0,'Données projet'!$E$10+1,1))-AVERAGE(OFFSET($H$3,0,0,'Données projet'!$E$10+1,1))</f>
        <v>141.98581704643658</v>
      </c>
      <c r="AO85" s="59">
        <f t="shared" si="90"/>
        <v>396.03373990407204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32.840965337907249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4.7563722152253E-8</v>
      </c>
      <c r="AX85" s="21">
        <f t="shared" si="60"/>
        <v>32.840965385470973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-5.6843418860808015E-14</v>
      </c>
      <c r="BE85" s="13">
        <f>BD85*VLOOKUP('Données projet'!$B$11,Paramètres!$A$1:$I$89,3,0)*VLOOKUP('Données projet'!$B$11,Paramètres!$A$1:$I$89,5,0)</f>
        <v>-3.2810021366458389E-14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122.36861947722917</v>
      </c>
      <c r="BJ85" s="59">
        <f t="shared" si="92"/>
        <v>341.51856651265109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28.447902817613691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4.1201229364273675E-8</v>
      </c>
      <c r="BS85" s="22">
        <f t="shared" si="63"/>
        <v>28.447902858814921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6">
        <f t="shared" si="56"/>
        <v>421.1125641275006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6.6</v>
      </c>
      <c r="N86" s="13">
        <f>IF('Données projet'!$A$36&gt;35,N85+M86-V85,IF(A86&lt;'Données projet'!$A$36,$K$205^A86,IF(A86='Données projet'!$A$36,'Données projet'!$B$36,N85+M86-V85)))</f>
        <v>311.79999999999984</v>
      </c>
      <c r="O86" s="13">
        <f>N86*VLOOKUP('Données projet'!$B$9,Paramètres!$A$1:$I$89,3,0)*VLOOKUP('Données projet'!$B$9,Paramètres!$A$1:$I$89,5,0)</f>
        <v>262.6603199999999</v>
      </c>
      <c r="P86" s="13">
        <f t="shared" si="87"/>
        <v>63.289114259938842</v>
      </c>
      <c r="Q86" s="20">
        <f t="shared" si="54"/>
        <v>567.69526466939328</v>
      </c>
      <c r="R86" s="59">
        <f t="shared" si="55"/>
        <v>861.02859800272654</v>
      </c>
      <c r="S86" s="59">
        <f ca="1">AVERAGE(OFFSET($R$3,0,0,'Données projet'!$E$9+1,1))-AVERAGE(OFFSET($H$3,0,0,'Données projet'!$E$9+1,1))</f>
        <v>328.34986205643321</v>
      </c>
      <c r="T86" s="59">
        <f t="shared" si="88"/>
        <v>251.60894449147008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54.698157377307048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54.698157377307048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5.6843418860808015E-14</v>
      </c>
      <c r="AJ86" s="13">
        <f>AI86*VLOOKUP('Données projet'!$B$10,Paramètres!$A$1:$I$89,3,0)*VLOOKUP('Données projet'!$B$10,Paramètres!$A$1:$I$89,5,0)</f>
        <v>2.8908289095852525E-14</v>
      </c>
      <c r="AK86" s="13">
        <f t="shared" si="89"/>
        <v>5.0177780569126974E-13</v>
      </c>
      <c r="AL86" s="20">
        <f t="shared" si="58"/>
        <v>9.2427828175423786E-13</v>
      </c>
      <c r="AM86" s="59">
        <f t="shared" si="59"/>
        <v>293.33333333333422</v>
      </c>
      <c r="AN86" s="59">
        <f ca="1">AVERAGE(OFFSET($AM$3,0,0,'Données projet'!$E$10+1,1))-AVERAGE(OFFSET($H$3,0,0,'Données projet'!$E$10+1,1))</f>
        <v>141.98581704643658</v>
      </c>
      <c r="AO86" s="59">
        <f t="shared" si="90"/>
        <v>396.03373990407204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32.196974038641848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3.3632630472330905E-8</v>
      </c>
      <c r="AX86" s="21">
        <f t="shared" si="60"/>
        <v>32.196974072274479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-5.6843418860808015E-14</v>
      </c>
      <c r="BE86" s="13">
        <f>BD86*VLOOKUP('Données projet'!$B$11,Paramètres!$A$1:$I$89,3,0)*VLOOKUP('Données projet'!$B$11,Paramètres!$A$1:$I$89,5,0)</f>
        <v>-3.2810021366458389E-14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122.36861947722917</v>
      </c>
      <c r="BJ86" s="59">
        <f t="shared" si="92"/>
        <v>341.51856651265109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27.890056794867686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2.9133668676700225E-8</v>
      </c>
      <c r="BS86" s="22">
        <f t="shared" si="63"/>
        <v>27.890056824001356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6">
        <f t="shared" si="56"/>
        <v>423.0432201754565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6.6</v>
      </c>
      <c r="N87" s="13">
        <f>IF('Données projet'!$A$36&gt;35,N86+M87-V86,IF(A87&lt;'Données projet'!$A$36,$K$205^A87,IF(A87='Données projet'!$A$36,'Données projet'!$B$36,N86+M87-V86)))</f>
        <v>318.39999999999986</v>
      </c>
      <c r="O87" s="13">
        <f>N87*VLOOKUP('Données projet'!$B$9,Paramètres!$A$1:$I$89,3,0)*VLOOKUP('Données projet'!$B$9,Paramètres!$A$1:$I$89,5,0)</f>
        <v>268.22015999999991</v>
      </c>
      <c r="P87" s="13">
        <f t="shared" si="87"/>
        <v>64.471397046337671</v>
      </c>
      <c r="Q87" s="20">
        <f t="shared" si="54"/>
        <v>579.43779518903796</v>
      </c>
      <c r="R87" s="59">
        <f t="shared" si="55"/>
        <v>872.77112852237133</v>
      </c>
      <c r="S87" s="59">
        <f ca="1">AVERAGE(OFFSET($R$3,0,0,'Données projet'!$E$9+1,1))-AVERAGE(OFFSET($H$3,0,0,'Données projet'!$E$9+1,1))</f>
        <v>328.34986205643321</v>
      </c>
      <c r="T87" s="59">
        <f t="shared" si="88"/>
        <v>251.60894449147008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53.625559873719773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53.625559873719773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5.6843418860808015E-14</v>
      </c>
      <c r="AJ87" s="13">
        <f>AI87*VLOOKUP('Données projet'!$B$10,Paramètres!$A$1:$I$89,3,0)*VLOOKUP('Données projet'!$B$10,Paramètres!$A$1:$I$89,5,0)</f>
        <v>2.8908289095852525E-14</v>
      </c>
      <c r="AK87" s="13">
        <f t="shared" si="89"/>
        <v>5.0177780569126974E-13</v>
      </c>
      <c r="AL87" s="20">
        <f t="shared" si="58"/>
        <v>9.2427828175423786E-13</v>
      </c>
      <c r="AM87" s="59">
        <f t="shared" si="59"/>
        <v>293.33333333333422</v>
      </c>
      <c r="AN87" s="59">
        <f ca="1">AVERAGE(OFFSET($AM$3,0,0,'Données projet'!$E$10+1,1))-AVERAGE(OFFSET($H$3,0,0,'Données projet'!$E$10+1,1))</f>
        <v>141.98581704643658</v>
      </c>
      <c r="AO87" s="59">
        <f t="shared" si="90"/>
        <v>396.03373990407204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31.565611015959131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2.37818610761265E-8</v>
      </c>
      <c r="AX87" s="21">
        <f t="shared" si="60"/>
        <v>31.565611039740993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-5.6843418860808015E-14</v>
      </c>
      <c r="BE87" s="13">
        <f>BD87*VLOOKUP('Données projet'!$B$11,Paramètres!$A$1:$I$89,3,0)*VLOOKUP('Données projet'!$B$11,Paramètres!$A$1:$I$89,5,0)</f>
        <v>-3.2810021366458389E-14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122.36861947722917</v>
      </c>
      <c r="BJ87" s="59">
        <f t="shared" si="92"/>
        <v>341.51856651265109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27.343149792375254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2.0600614682136841E-8</v>
      </c>
      <c r="BS87" s="22">
        <f t="shared" si="63"/>
        <v>27.34314981297587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6">
        <f t="shared" si="56"/>
        <v>424.97334728094779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6.6</v>
      </c>
      <c r="N88" s="13">
        <f>IF('Données projet'!$A$36&gt;35,N87+M88-V87,IF(A88&lt;'Données projet'!$A$36,$K$205^A88,IF(A88='Données projet'!$A$36,'Données projet'!$B$36,N87+M88-V87)))</f>
        <v>324.99999999999989</v>
      </c>
      <c r="O88" s="13">
        <f>N88*VLOOKUP('Données projet'!$B$9,Paramètres!$A$1:$I$89,3,0)*VLOOKUP('Données projet'!$B$9,Paramètres!$A$1:$I$89,5,0)</f>
        <v>273.77999999999992</v>
      </c>
      <c r="P88" s="13">
        <f t="shared" si="87"/>
        <v>65.650830427167435</v>
      </c>
      <c r="Q88" s="20">
        <f t="shared" si="54"/>
        <v>591.17536299398307</v>
      </c>
      <c r="R88" s="59">
        <f t="shared" si="55"/>
        <v>884.50869632731633</v>
      </c>
      <c r="S88" s="59">
        <f ca="1">AVERAGE(OFFSET($R$3,0,0,'Données projet'!$E$9+1,1))-AVERAGE(OFFSET($H$3,0,0,'Données projet'!$E$9+1,1))</f>
        <v>328.34986205643321</v>
      </c>
      <c r="T88" s="59">
        <f t="shared" si="88"/>
        <v>251.60894449147008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52.573995352957972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52.573995352957972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5.6843418860808015E-14</v>
      </c>
      <c r="AJ88" s="13">
        <f>AI88*VLOOKUP('Données projet'!$B$10,Paramètres!$A$1:$I$89,3,0)*VLOOKUP('Données projet'!$B$10,Paramètres!$A$1:$I$89,5,0)</f>
        <v>2.8908289095852525E-14</v>
      </c>
      <c r="AK88" s="13">
        <f t="shared" si="89"/>
        <v>5.0177780569126974E-13</v>
      </c>
      <c r="AL88" s="20">
        <f t="shared" si="58"/>
        <v>9.2427828175423786E-13</v>
      </c>
      <c r="AM88" s="59">
        <f t="shared" si="59"/>
        <v>293.33333333333422</v>
      </c>
      <c r="AN88" s="59">
        <f ca="1">AVERAGE(OFFSET($AM$3,0,0,'Données projet'!$E$10+1,1))-AVERAGE(OFFSET($H$3,0,0,'Données projet'!$E$10+1,1))</f>
        <v>141.98581704643658</v>
      </c>
      <c r="AO88" s="59">
        <f t="shared" si="90"/>
        <v>396.03373990407204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30.946628637057806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1.6816315236165452E-8</v>
      </c>
      <c r="AX88" s="21">
        <f t="shared" si="60"/>
        <v>30.946628653874122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-5.6843418860808015E-14</v>
      </c>
      <c r="BE88" s="13">
        <f>BD88*VLOOKUP('Données projet'!$B$11,Paramètres!$A$1:$I$89,3,0)*VLOOKUP('Données projet'!$B$11,Paramètres!$A$1:$I$89,5,0)</f>
        <v>-3.2810021366458389E-14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122.36861947722917</v>
      </c>
      <c r="BJ88" s="59">
        <f t="shared" si="92"/>
        <v>341.51856651265109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26.806967302621366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1.4566834338350114E-8</v>
      </c>
      <c r="BS88" s="22">
        <f t="shared" si="63"/>
        <v>26.806967317188199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6">
        <f t="shared" si="56"/>
        <v>426.9029523867344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6.6</v>
      </c>
      <c r="N89" s="13">
        <f>IF('Données projet'!$A$36&gt;35,N88+M89-V88,IF(A89&lt;'Données projet'!$A$36,$K$205^A89,IF(A89='Données projet'!$A$36,'Données projet'!$B$36,N88+M89-V88)))</f>
        <v>331.59999999999991</v>
      </c>
      <c r="O89" s="13">
        <f>N89*VLOOKUP('Données projet'!$B$9,Paramètres!$A$1:$I$89,3,0)*VLOOKUP('Données projet'!$B$9,Paramètres!$A$1:$I$89,5,0)</f>
        <v>279.33983999999998</v>
      </c>
      <c r="P89" s="13">
        <f t="shared" si="87"/>
        <v>66.827478935410426</v>
      </c>
      <c r="Q89" s="20">
        <f t="shared" si="54"/>
        <v>602.90808047917312</v>
      </c>
      <c r="R89" s="59">
        <f t="shared" si="55"/>
        <v>896.24141381250638</v>
      </c>
      <c r="S89" s="59">
        <f ca="1">AVERAGE(OFFSET($R$3,0,0,'Données projet'!$E$9+1,1))-AVERAGE(OFFSET($H$3,0,0,'Données projet'!$E$9+1,1))</f>
        <v>328.34986205643321</v>
      </c>
      <c r="T89" s="59">
        <f t="shared" si="88"/>
        <v>251.60894449147008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51.543051371057281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51.543051371057281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5.6843418860808015E-14</v>
      </c>
      <c r="AJ89" s="13">
        <f>AI89*VLOOKUP('Données projet'!$B$10,Paramètres!$A$1:$I$89,3,0)*VLOOKUP('Données projet'!$B$10,Paramètres!$A$1:$I$89,5,0)</f>
        <v>2.8908289095852525E-14</v>
      </c>
      <c r="AK89" s="13">
        <f t="shared" si="89"/>
        <v>5.0177780569126974E-13</v>
      </c>
      <c r="AL89" s="20">
        <f t="shared" si="58"/>
        <v>9.2427828175423786E-13</v>
      </c>
      <c r="AM89" s="59">
        <f t="shared" si="59"/>
        <v>293.33333333333422</v>
      </c>
      <c r="AN89" s="59">
        <f ca="1">AVERAGE(OFFSET($AM$3,0,0,'Données projet'!$E$10+1,1))-AVERAGE(OFFSET($H$3,0,0,'Données projet'!$E$10+1,1))</f>
        <v>141.98581704643658</v>
      </c>
      <c r="AO89" s="59">
        <f t="shared" si="90"/>
        <v>396.03373990407204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30.339784125064764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1.189093053806325E-8</v>
      </c>
      <c r="AX89" s="21">
        <f t="shared" si="60"/>
        <v>30.339784136955693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-5.6843418860808015E-14</v>
      </c>
      <c r="BE89" s="13">
        <f>BD89*VLOOKUP('Données projet'!$B$11,Paramètres!$A$1:$I$89,3,0)*VLOOKUP('Données projet'!$B$11,Paramètres!$A$1:$I$89,5,0)</f>
        <v>-3.2810021366458389E-14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122.36861947722917</v>
      </c>
      <c r="BJ89" s="59">
        <f t="shared" si="92"/>
        <v>341.51856651265109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26.281299024452526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1.0300307341068422E-8</v>
      </c>
      <c r="BS89" s="22">
        <f t="shared" si="63"/>
        <v>26.281299034752834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6">
        <f t="shared" si="56"/>
        <v>428.83204226482388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6.6</v>
      </c>
      <c r="N90" s="13">
        <f>IF('Données projet'!$A$36&gt;35,N89+M90-V89,IF(A90&lt;'Données projet'!$A$36,$K$205^A90,IF(A90='Données projet'!$A$36,'Données projet'!$B$36,N89+M90-V89)))</f>
        <v>338.19999999999993</v>
      </c>
      <c r="O90" s="13">
        <f>N90*VLOOKUP('Données projet'!$B$9,Paramètres!$A$1:$I$89,3,0)*VLOOKUP('Données projet'!$B$9,Paramètres!$A$1:$I$89,5,0)</f>
        <v>284.89967999999999</v>
      </c>
      <c r="P90" s="13">
        <f t="shared" si="87"/>
        <v>68.001404388285337</v>
      </c>
      <c r="Q90" s="20">
        <f t="shared" si="54"/>
        <v>614.63605530959683</v>
      </c>
      <c r="R90" s="59">
        <f t="shared" si="55"/>
        <v>907.9693886429302</v>
      </c>
      <c r="S90" s="59">
        <f ca="1">AVERAGE(OFFSET($R$3,0,0,'Données projet'!$E$9+1,1))-AVERAGE(OFFSET($H$3,0,0,'Données projet'!$E$9+1,1))</f>
        <v>328.34986205643321</v>
      </c>
      <c r="T90" s="59">
        <f t="shared" si="88"/>
        <v>251.60894449147008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50.532323571827924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50.532323571827924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5.6843418860808015E-14</v>
      </c>
      <c r="AJ90" s="13">
        <f>AI90*VLOOKUP('Données projet'!$B$10,Paramètres!$A$1:$I$89,3,0)*VLOOKUP('Données projet'!$B$10,Paramètres!$A$1:$I$89,5,0)</f>
        <v>2.8908289095852525E-14</v>
      </c>
      <c r="AK90" s="13">
        <f t="shared" si="89"/>
        <v>5.0177780569126974E-13</v>
      </c>
      <c r="AL90" s="20">
        <f t="shared" si="58"/>
        <v>9.2427828175423786E-13</v>
      </c>
      <c r="AM90" s="59">
        <f t="shared" si="59"/>
        <v>293.33333333333422</v>
      </c>
      <c r="AN90" s="59">
        <f ca="1">AVERAGE(OFFSET($AM$3,0,0,'Données projet'!$E$10+1,1))-AVERAGE(OFFSET($H$3,0,0,'Données projet'!$E$10+1,1))</f>
        <v>141.98581704643658</v>
      </c>
      <c r="AO90" s="59">
        <f t="shared" si="90"/>
        <v>396.03373990407204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29.7448394638133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8.4081576180827262E-9</v>
      </c>
      <c r="AX90" s="21">
        <f t="shared" si="60"/>
        <v>29.744839472221457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-5.6843418860808015E-14</v>
      </c>
      <c r="BE90" s="13">
        <f>BD90*VLOOKUP('Données projet'!$B$11,Paramètres!$A$1:$I$89,3,0)*VLOOKUP('Données projet'!$B$11,Paramètres!$A$1:$I$89,5,0)</f>
        <v>-3.2810021366458389E-14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122.36861947722917</v>
      </c>
      <c r="BJ90" s="59">
        <f t="shared" si="92"/>
        <v>341.51856651265109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25.765938780592585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7.2834171691750586E-9</v>
      </c>
      <c r="BS90" s="22">
        <f t="shared" si="63"/>
        <v>25.765938787876003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6">
        <f t="shared" si="56"/>
        <v>430.76062352258458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6.6</v>
      </c>
      <c r="N91" s="13">
        <f>IF('Données projet'!$A$36&gt;35,N90+M91-V90,IF(A91&lt;'Données projet'!$A$36,$K$205^A91,IF(A91='Données projet'!$A$36,'Données projet'!$B$36,N90+M91-V90)))</f>
        <v>344.79999999999995</v>
      </c>
      <c r="O91" s="13">
        <f>N91*VLOOKUP('Données projet'!$B$9,Paramètres!$A$1:$I$89,3,0)*VLOOKUP('Données projet'!$B$9,Paramètres!$A$1:$I$89,5,0)</f>
        <v>290.45952</v>
      </c>
      <c r="P91" s="13">
        <f t="shared" si="87"/>
        <v>69.172666052266209</v>
      </c>
      <c r="Q91" s="20">
        <f t="shared" si="54"/>
        <v>626.35939070769689</v>
      </c>
      <c r="R91" s="59">
        <f t="shared" si="55"/>
        <v>919.69272404103026</v>
      </c>
      <c r="S91" s="59">
        <f ca="1">AVERAGE(OFFSET($R$3,0,0,'Données projet'!$E$9+1,1))-AVERAGE(OFFSET($H$3,0,0,'Données projet'!$E$9+1,1))</f>
        <v>328.34986205643321</v>
      </c>
      <c r="T91" s="59">
        <f t="shared" si="88"/>
        <v>251.60894449147008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49.541415528258369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49.541415528258369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5.6843418860808015E-14</v>
      </c>
      <c r="AJ91" s="13">
        <f>AI91*VLOOKUP('Données projet'!$B$10,Paramètres!$A$1:$I$89,3,0)*VLOOKUP('Données projet'!$B$10,Paramètres!$A$1:$I$89,5,0)</f>
        <v>2.8908289095852525E-14</v>
      </c>
      <c r="AK91" s="13">
        <f t="shared" si="89"/>
        <v>5.0177780569126974E-13</v>
      </c>
      <c r="AL91" s="20">
        <f t="shared" si="58"/>
        <v>9.2427828175423786E-13</v>
      </c>
      <c r="AM91" s="59">
        <f t="shared" si="59"/>
        <v>293.33333333333422</v>
      </c>
      <c r="AN91" s="59">
        <f ca="1">AVERAGE(OFFSET($AM$3,0,0,'Données projet'!$E$10+1,1))-AVERAGE(OFFSET($H$3,0,0,'Données projet'!$E$10+1,1))</f>
        <v>141.98581704643658</v>
      </c>
      <c r="AO91" s="59">
        <f t="shared" si="90"/>
        <v>396.03373990407204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29.161561304488565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5.945465269031625E-9</v>
      </c>
      <c r="AX91" s="21">
        <f t="shared" si="60"/>
        <v>29.161561310434031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-5.6843418860808015E-14</v>
      </c>
      <c r="BE91" s="13">
        <f>BD91*VLOOKUP('Données projet'!$B$11,Paramètres!$A$1:$I$89,3,0)*VLOOKUP('Données projet'!$B$11,Paramètres!$A$1:$I$89,5,0)</f>
        <v>-3.2810021366458389E-14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122.36861947722917</v>
      </c>
      <c r="BJ91" s="59">
        <f t="shared" si="92"/>
        <v>341.51856651265109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25.260684436776028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5.1501536705342119E-9</v>
      </c>
      <c r="BS91" s="22">
        <f t="shared" si="63"/>
        <v>25.26068444192618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6">
        <f t="shared" si="56"/>
        <v>432.68870260857216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6.6</v>
      </c>
      <c r="N92" s="13">
        <f>IF('Données projet'!$A$36&gt;35,N91+M92-V91,IF(A92&lt;'Données projet'!$A$36,$K$205^A92,IF(A92='Données projet'!$A$36,'Données projet'!$B$36,N91+M92-V91)))</f>
        <v>351.4</v>
      </c>
      <c r="O92" s="13">
        <f>N92*VLOOKUP('Données projet'!$B$9,Paramètres!$A$1:$I$89,3,0)*VLOOKUP('Données projet'!$B$9,Paramètres!$A$1:$I$89,5,0)</f>
        <v>296.01936000000001</v>
      </c>
      <c r="P92" s="13">
        <f t="shared" si="87"/>
        <v>70.341320795108345</v>
      </c>
      <c r="Q92" s="20">
        <f t="shared" si="54"/>
        <v>638.07818571814698</v>
      </c>
      <c r="R92" s="59">
        <f t="shared" si="55"/>
        <v>931.41151905148035</v>
      </c>
      <c r="S92" s="59">
        <f ca="1">AVERAGE(OFFSET($R$3,0,0,'Données projet'!$E$9+1,1))-AVERAGE(OFFSET($H$3,0,0,'Données projet'!$E$9+1,1))</f>
        <v>328.34986205643321</v>
      </c>
      <c r="T92" s="59">
        <f t="shared" si="88"/>
        <v>251.60894449147008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48.569938587028986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48.569938587028986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5.6843418860808015E-14</v>
      </c>
      <c r="AJ92" s="13">
        <f>AI92*VLOOKUP('Données projet'!$B$10,Paramètres!$A$1:$I$89,3,0)*VLOOKUP('Données projet'!$B$10,Paramètres!$A$1:$I$89,5,0)</f>
        <v>2.8908289095852525E-14</v>
      </c>
      <c r="AK92" s="13">
        <f t="shared" si="89"/>
        <v>5.0177780569126974E-13</v>
      </c>
      <c r="AL92" s="20">
        <f t="shared" si="58"/>
        <v>9.2427828175423786E-13</v>
      </c>
      <c r="AM92" s="59">
        <f t="shared" si="59"/>
        <v>293.33333333333422</v>
      </c>
      <c r="AN92" s="59">
        <f ca="1">AVERAGE(OFFSET($AM$3,0,0,'Données projet'!$E$10+1,1))-AVERAGE(OFFSET($H$3,0,0,'Données projet'!$E$10+1,1))</f>
        <v>141.98581704643658</v>
      </c>
      <c r="AO92" s="59">
        <f t="shared" si="90"/>
        <v>396.03373990407204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28.589720874103641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4.2040788090413631E-9</v>
      </c>
      <c r="AX92" s="21">
        <f t="shared" si="60"/>
        <v>28.58972087830772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-5.6843418860808015E-14</v>
      </c>
      <c r="BE92" s="13">
        <f>BD92*VLOOKUP('Données projet'!$B$11,Paramètres!$A$1:$I$89,3,0)*VLOOKUP('Données projet'!$B$11,Paramètres!$A$1:$I$89,5,0)</f>
        <v>-3.2810021366458389E-14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122.36861947722917</v>
      </c>
      <c r="BJ92" s="59">
        <f t="shared" si="92"/>
        <v>341.51856651265109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24.765337822466993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3.6417085845875297E-9</v>
      </c>
      <c r="BS92" s="22">
        <f t="shared" si="63"/>
        <v>24.765337826108702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6">
        <f t="shared" si="56"/>
        <v>434.61628581808787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358</v>
      </c>
      <c r="L93" s="12">
        <f>VLOOKUP(A93,'Données projet'!$A$35:$I$55,9,0)</f>
        <v>6.6</v>
      </c>
      <c r="M93" s="12">
        <f t="array" ref="M93">INDEX(L:L,MIN(IF(ISNUMBER(L93:L289),ROW(L93:L289),"")))</f>
        <v>6.6</v>
      </c>
      <c r="N93" s="13">
        <f>IF('Données projet'!$A$36&gt;35,N92+M93-V92,IF(A93&lt;'Données projet'!$A$36,$K$205^A93,IF(A93='Données projet'!$A$36,'Données projet'!$B$36,N92+M93-V92)))</f>
        <v>358</v>
      </c>
      <c r="O93" s="13">
        <f>N93*VLOOKUP('Données projet'!$B$9,Paramètres!$A$1:$I$89,3,0)*VLOOKUP('Données projet'!$B$9,Paramètres!$A$1:$I$89,5,0)</f>
        <v>301.57920000000007</v>
      </c>
      <c r="P93" s="13">
        <f t="shared" si="87"/>
        <v>71.507423226130925</v>
      </c>
      <c r="Q93" s="20">
        <f t="shared" si="54"/>
        <v>649.79253545217807</v>
      </c>
      <c r="R93" s="59">
        <f t="shared" si="55"/>
        <v>943.12586878551133</v>
      </c>
      <c r="S93" s="59">
        <f ca="1">AVERAGE(OFFSET($R$3,0,0,'Données projet'!$E$9+1,1))-AVERAGE(OFFSET($H$3,0,0,'Données projet'!$E$9+1,1))</f>
        <v>328.34986205643321</v>
      </c>
      <c r="T93" s="59">
        <f t="shared" si="88"/>
        <v>251.60894449147008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56</v>
      </c>
      <c r="W93" s="16">
        <f>IF(ISNA(VLOOKUP(A93,'Données projet'!$A$35:$I$55,5,0)),0%,VLOOKUP(A93,'Données projet'!$A$35:$I$55,5,0)*VLOOKUP('Données projet'!$B$9,Paramètres!$A$1:$I$89,7,0))</f>
        <v>0.36549999999999999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66.678300850378122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66.678300850378122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5.6843418860808015E-14</v>
      </c>
      <c r="AJ93" s="13">
        <f>AI93*VLOOKUP('Données projet'!$B$10,Paramètres!$A$1:$I$89,3,0)*VLOOKUP('Données projet'!$B$10,Paramètres!$A$1:$I$89,5,0)</f>
        <v>2.8908289095852525E-14</v>
      </c>
      <c r="AK93" s="13">
        <f t="shared" si="89"/>
        <v>5.0177780569126974E-13</v>
      </c>
      <c r="AL93" s="20">
        <f t="shared" si="58"/>
        <v>9.2427828175423786E-13</v>
      </c>
      <c r="AM93" s="59">
        <f t="shared" si="59"/>
        <v>293.33333333333422</v>
      </c>
      <c r="AN93" s="59">
        <f ca="1">AVERAGE(OFFSET($AM$3,0,0,'Données projet'!$E$10+1,1))-AVERAGE(OFFSET($H$3,0,0,'Données projet'!$E$10+1,1))</f>
        <v>141.98581704643658</v>
      </c>
      <c r="AO93" s="59">
        <f t="shared" si="90"/>
        <v>396.03373990407204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28.02909388577034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2.9727326345158125E-9</v>
      </c>
      <c r="AX93" s="21">
        <f t="shared" si="60"/>
        <v>28.029093888743073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-5.6843418860808015E-14</v>
      </c>
      <c r="BE93" s="13">
        <f>BD93*VLOOKUP('Données projet'!$B$11,Paramètres!$A$1:$I$89,3,0)*VLOOKUP('Données projet'!$B$11,Paramètres!$A$1:$I$89,5,0)</f>
        <v>-3.2810021366458389E-14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122.36861947722917</v>
      </c>
      <c r="BJ93" s="59">
        <f t="shared" si="92"/>
        <v>341.51856651265109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24.279704653132956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2.5750768352671064E-9</v>
      </c>
      <c r="BS93" s="22">
        <f t="shared" si="63"/>
        <v>24.279704655708034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6">
        <f t="shared" si="56"/>
        <v>436.54337929848225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5.9</v>
      </c>
      <c r="N94" s="13">
        <f>IF('Données projet'!$A$36&gt;35,N93+M94-V93,IF(A94&lt;'Données projet'!$A$36,$K$205^A94,IF(A94='Données projet'!$A$36,'Données projet'!$B$36,N93+M94-V93)))</f>
        <v>307.89999999999998</v>
      </c>
      <c r="O94" s="13">
        <f>N94*VLOOKUP('Données projet'!$B$9,Paramètres!$A$1:$I$89,3,0)*VLOOKUP('Données projet'!$B$9,Paramètres!$A$1:$I$89,5,0)</f>
        <v>259.37495999999999</v>
      </c>
      <c r="P94" s="13">
        <f t="shared" si="87"/>
        <v>62.589126028863561</v>
      </c>
      <c r="Q94" s="20">
        <f t="shared" si="54"/>
        <v>560.7541165002707</v>
      </c>
      <c r="R94" s="59">
        <f t="shared" si="55"/>
        <v>854.08744983360407</v>
      </c>
      <c r="S94" s="59">
        <f ca="1">AVERAGE(OFFSET($R$3,0,0,'Données projet'!$E$9+1,1))-AVERAGE(OFFSET($H$3,0,0,'Données projet'!$E$9+1,1))</f>
        <v>328.34986205643321</v>
      </c>
      <c r="T94" s="59">
        <f t="shared" si="88"/>
        <v>251.60894449147008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65.370780040449915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65.370780040449915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5.6843418860808015E-14</v>
      </c>
      <c r="AJ94" s="13">
        <f>AI94*VLOOKUP('Données projet'!$B$10,Paramètres!$A$1:$I$89,3,0)*VLOOKUP('Données projet'!$B$10,Paramètres!$A$1:$I$89,5,0)</f>
        <v>2.8908289095852525E-14</v>
      </c>
      <c r="AK94" s="13">
        <f t="shared" si="89"/>
        <v>5.0177780569126974E-13</v>
      </c>
      <c r="AL94" s="20">
        <f t="shared" si="58"/>
        <v>9.2427828175423786E-13</v>
      </c>
      <c r="AM94" s="59">
        <f t="shared" si="59"/>
        <v>293.33333333333422</v>
      </c>
      <c r="AN94" s="59">
        <f ca="1">AVERAGE(OFFSET($AM$3,0,0,'Données projet'!$E$10+1,1))-AVERAGE(OFFSET($H$3,0,0,'Données projet'!$E$10+1,1))</f>
        <v>141.98581704643658</v>
      </c>
      <c r="AO94" s="59">
        <f t="shared" si="90"/>
        <v>396.03373990407204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27.479460450729558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2.1020394045206816E-9</v>
      </c>
      <c r="AX94" s="21">
        <f t="shared" si="60"/>
        <v>27.479460452831596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-5.6843418860808015E-14</v>
      </c>
      <c r="BE94" s="13">
        <f>BD94*VLOOKUP('Données projet'!$B$11,Paramètres!$A$1:$I$89,3,0)*VLOOKUP('Données projet'!$B$11,Paramètres!$A$1:$I$89,5,0)</f>
        <v>-3.2810021366458389E-14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122.36861947722917</v>
      </c>
      <c r="BJ94" s="59">
        <f t="shared" si="92"/>
        <v>341.51856651265109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23.803594454042575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1.8208542922937653E-9</v>
      </c>
      <c r="BS94" s="22">
        <f t="shared" si="63"/>
        <v>23.803594455863429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6">
        <f t="shared" si="56"/>
        <v>438.46998905421867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5.9</v>
      </c>
      <c r="N95" s="13">
        <f>IF('Données projet'!$A$36&gt;35,N94+M95-V94,IF(A95&lt;'Données projet'!$A$36,$K$205^A95,IF(A95='Données projet'!$A$36,'Données projet'!$B$36,N94+M95-V94)))</f>
        <v>313.79999999999995</v>
      </c>
      <c r="O95" s="13">
        <f>N95*VLOOKUP('Données projet'!$B$9,Paramètres!$A$1:$I$89,3,0)*VLOOKUP('Données projet'!$B$9,Paramètres!$A$1:$I$89,5,0)</f>
        <v>264.34512000000001</v>
      </c>
      <c r="P95" s="13">
        <f t="shared" si="87"/>
        <v>63.647686641828493</v>
      </c>
      <c r="Q95" s="20">
        <f t="shared" si="54"/>
        <v>571.25413823451788</v>
      </c>
      <c r="R95" s="59">
        <f t="shared" si="55"/>
        <v>864.58747156785125</v>
      </c>
      <c r="S95" s="59">
        <f ca="1">AVERAGE(OFFSET($R$3,0,0,'Données projet'!$E$9+1,1))-AVERAGE(OFFSET($H$3,0,0,'Données projet'!$E$9+1,1))</f>
        <v>328.34986205643321</v>
      </c>
      <c r="T95" s="59">
        <f t="shared" si="88"/>
        <v>251.60894449147008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64.088898916095459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64.088898916095459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5.6843418860808015E-14</v>
      </c>
      <c r="AJ95" s="13">
        <f>AI95*VLOOKUP('Données projet'!$B$10,Paramètres!$A$1:$I$89,3,0)*VLOOKUP('Données projet'!$B$10,Paramètres!$A$1:$I$89,5,0)</f>
        <v>2.8908289095852525E-14</v>
      </c>
      <c r="AK95" s="13">
        <f t="shared" si="89"/>
        <v>5.0177780569126974E-13</v>
      </c>
      <c r="AL95" s="20">
        <f t="shared" si="58"/>
        <v>9.2427828175423786E-13</v>
      </c>
      <c r="AM95" s="59">
        <f t="shared" si="59"/>
        <v>293.33333333333422</v>
      </c>
      <c r="AN95" s="59">
        <f ca="1">AVERAGE(OFFSET($AM$3,0,0,'Données projet'!$E$10+1,1))-AVERAGE(OFFSET($H$3,0,0,'Données projet'!$E$10+1,1))</f>
        <v>141.98581704643658</v>
      </c>
      <c r="AO95" s="59">
        <f t="shared" si="90"/>
        <v>396.03373990407204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26.940604992106632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1.4863663172579062E-9</v>
      </c>
      <c r="AX95" s="21">
        <f t="shared" si="60"/>
        <v>26.940604993592999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-5.6843418860808015E-14</v>
      </c>
      <c r="BE95" s="13">
        <f>BD95*VLOOKUP('Données projet'!$B$11,Paramètres!$A$1:$I$89,3,0)*VLOOKUP('Données projet'!$B$11,Paramètres!$A$1:$I$89,5,0)</f>
        <v>-3.2810021366458389E-14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122.36861947722917</v>
      </c>
      <c r="BJ95" s="59">
        <f t="shared" si="92"/>
        <v>341.51856651265109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23.336820485557809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1.2875384176335534E-9</v>
      </c>
      <c r="BS95" s="22">
        <f t="shared" si="63"/>
        <v>23.336820486845347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6">
        <f t="shared" si="56"/>
        <v>440.39612095171111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5.9</v>
      </c>
      <c r="N96" s="13">
        <f>IF('Données projet'!$A$36&gt;35,N95+M96-V95,IF(A96&lt;'Données projet'!$A$36,$K$205^A96,IF(A96='Données projet'!$A$36,'Données projet'!$B$36,N95+M96-V95)))</f>
        <v>319.69999999999993</v>
      </c>
      <c r="O96" s="13">
        <f>N96*VLOOKUP('Données projet'!$B$9,Paramètres!$A$1:$I$89,3,0)*VLOOKUP('Données projet'!$B$9,Paramètres!$A$1:$I$89,5,0)</f>
        <v>269.31527999999997</v>
      </c>
      <c r="P96" s="13">
        <f t="shared" si="87"/>
        <v>64.703932954620839</v>
      </c>
      <c r="Q96" s="20">
        <f t="shared" si="54"/>
        <v>581.75012922929784</v>
      </c>
      <c r="R96" s="59">
        <f t="shared" si="55"/>
        <v>875.08346256263121</v>
      </c>
      <c r="S96" s="59">
        <f ca="1">AVERAGE(OFFSET($R$3,0,0,'Données projet'!$E$9+1,1))-AVERAGE(OFFSET($H$3,0,0,'Données projet'!$E$9+1,1))</f>
        <v>328.34986205643321</v>
      </c>
      <c r="T96" s="59">
        <f t="shared" si="88"/>
        <v>251.60894449147008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62.832154698719314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62.832154698719314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5.6843418860808015E-14</v>
      </c>
      <c r="AJ96" s="13">
        <f>AI96*VLOOKUP('Données projet'!$B$10,Paramètres!$A$1:$I$89,3,0)*VLOOKUP('Données projet'!$B$10,Paramètres!$A$1:$I$89,5,0)</f>
        <v>2.8908289095852525E-14</v>
      </c>
      <c r="AK96" s="13">
        <f t="shared" si="89"/>
        <v>5.0177780569126974E-13</v>
      </c>
      <c r="AL96" s="20">
        <f t="shared" si="58"/>
        <v>9.2427828175423786E-13</v>
      </c>
      <c r="AM96" s="59">
        <f t="shared" si="59"/>
        <v>293.33333333333422</v>
      </c>
      <c r="AN96" s="59">
        <f ca="1">AVERAGE(OFFSET($AM$3,0,0,'Données projet'!$E$10+1,1))-AVERAGE(OFFSET($H$3,0,0,'Données projet'!$E$10+1,1))</f>
        <v>141.98581704643658</v>
      </c>
      <c r="AO96" s="59">
        <f t="shared" si="90"/>
        <v>396.03373990407204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26.412316160357925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1.0510197022603408E-9</v>
      </c>
      <c r="AX96" s="21">
        <f t="shared" si="60"/>
        <v>26.412316161408945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-5.6843418860808015E-14</v>
      </c>
      <c r="BE96" s="13">
        <f>BD96*VLOOKUP('Données projet'!$B$11,Paramètres!$A$1:$I$89,3,0)*VLOOKUP('Données projet'!$B$11,Paramètres!$A$1:$I$89,5,0)</f>
        <v>-3.2810021366458389E-14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122.36861947722917</v>
      </c>
      <c r="BJ96" s="59">
        <f t="shared" si="92"/>
        <v>341.51856651265109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22.879199669891019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9.1042714614688274E-10</v>
      </c>
      <c r="BS96" s="22">
        <f t="shared" si="63"/>
        <v>22.879199670801444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6">
        <f t="shared" si="56"/>
        <v>442.32178072394748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5.9</v>
      </c>
      <c r="N97" s="13">
        <f>IF('Données projet'!$A$36&gt;35,N96+M97-V96,IF(A97&lt;'Données projet'!$A$36,$K$205^A97,IF(A97='Données projet'!$A$36,'Données projet'!$B$36,N96+M97-V96)))</f>
        <v>325.59999999999991</v>
      </c>
      <c r="O97" s="13">
        <f>N97*VLOOKUP('Données projet'!$B$9,Paramètres!$A$1:$I$89,3,0)*VLOOKUP('Données projet'!$B$9,Paramètres!$A$1:$I$89,5,0)</f>
        <v>274.28543999999994</v>
      </c>
      <c r="P97" s="13">
        <f t="shared" si="87"/>
        <v>65.75791260290552</v>
      </c>
      <c r="Q97" s="20">
        <f t="shared" si="54"/>
        <v>592.24217245006037</v>
      </c>
      <c r="R97" s="59">
        <f t="shared" si="55"/>
        <v>885.57550578339374</v>
      </c>
      <c r="S97" s="59">
        <f ca="1">AVERAGE(OFFSET($R$3,0,0,'Données projet'!$E$9+1,1))-AVERAGE(OFFSET($H$3,0,0,'Données projet'!$E$9+1,1))</f>
        <v>328.34986205643321</v>
      </c>
      <c r="T97" s="59">
        <f t="shared" si="88"/>
        <v>251.60894449147008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61.600054468907629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61.600054468907629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5.6843418860808015E-14</v>
      </c>
      <c r="AJ97" s="13">
        <f>AI97*VLOOKUP('Données projet'!$B$10,Paramètres!$A$1:$I$89,3,0)*VLOOKUP('Données projet'!$B$10,Paramètres!$A$1:$I$89,5,0)</f>
        <v>2.8908289095852525E-14</v>
      </c>
      <c r="AK97" s="13">
        <f t="shared" si="89"/>
        <v>5.0177780569126974E-13</v>
      </c>
      <c r="AL97" s="20">
        <f t="shared" si="58"/>
        <v>9.2427828175423786E-13</v>
      </c>
      <c r="AM97" s="59">
        <f t="shared" si="59"/>
        <v>293.33333333333422</v>
      </c>
      <c r="AN97" s="59">
        <f ca="1">AVERAGE(OFFSET($AM$3,0,0,'Données projet'!$E$10+1,1))-AVERAGE(OFFSET($H$3,0,0,'Données projet'!$E$10+1,1))</f>
        <v>141.98581704643658</v>
      </c>
      <c r="AO97" s="59">
        <f t="shared" si="90"/>
        <v>396.03373990407204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25.894386750375443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7.4318315862895312E-10</v>
      </c>
      <c r="AX97" s="21">
        <f t="shared" si="60"/>
        <v>25.894386751118624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-5.6843418860808015E-14</v>
      </c>
      <c r="BE97" s="13">
        <f>BD97*VLOOKUP('Données projet'!$B$11,Paramètres!$A$1:$I$89,3,0)*VLOOKUP('Données projet'!$B$11,Paramètres!$A$1:$I$89,5,0)</f>
        <v>-3.2810021366458389E-14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122.36861947722917</v>
      </c>
      <c r="BJ97" s="59">
        <f t="shared" si="92"/>
        <v>341.51856651265109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22.43055251929832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6.437692088167768E-10</v>
      </c>
      <c r="BS97" s="22">
        <f t="shared" si="63"/>
        <v>22.43055251994209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6">
        <f t="shared" si="56"/>
        <v>444.24697397491065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5.9</v>
      </c>
      <c r="N98" s="13">
        <f>IF('Données projet'!$A$36&gt;35,N97+M98-V97,IF(A98&lt;'Données projet'!$A$36,$K$205^A98,IF(A98='Données projet'!$A$36,'Données projet'!$B$36,N97+M98-V97)))</f>
        <v>331.49999999999989</v>
      </c>
      <c r="O98" s="13">
        <f>N98*VLOOKUP('Données projet'!$B$9,Paramètres!$A$1:$I$89,3,0)*VLOOKUP('Données projet'!$B$9,Paramètres!$A$1:$I$89,5,0)</f>
        <v>279.25559999999996</v>
      </c>
      <c r="P98" s="13">
        <f t="shared" si="87"/>
        <v>66.809671397146161</v>
      </c>
      <c r="Q98" s="20">
        <f t="shared" si="54"/>
        <v>602.73034768336277</v>
      </c>
      <c r="R98" s="59">
        <f t="shared" si="55"/>
        <v>896.06368101669614</v>
      </c>
      <c r="S98" s="59">
        <f ca="1">AVERAGE(OFFSET($R$3,0,0,'Données projet'!$E$9+1,1))-AVERAGE(OFFSET($H$3,0,0,'Données projet'!$E$9+1,1))</f>
        <v>328.34986205643321</v>
      </c>
      <c r="T98" s="59">
        <f t="shared" si="88"/>
        <v>251.60894449147008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60.392114973095616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60.392114973095616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5.6843418860808015E-14</v>
      </c>
      <c r="AJ98" s="13">
        <f>AI98*VLOOKUP('Données projet'!$B$10,Paramètres!$A$1:$I$89,3,0)*VLOOKUP('Données projet'!$B$10,Paramètres!$A$1:$I$89,5,0)</f>
        <v>2.8908289095852525E-14</v>
      </c>
      <c r="AK98" s="13">
        <f t="shared" si="89"/>
        <v>5.0177780569126974E-13</v>
      </c>
      <c r="AL98" s="20">
        <f t="shared" si="58"/>
        <v>9.2427828175423786E-13</v>
      </c>
      <c r="AM98" s="59">
        <f t="shared" si="59"/>
        <v>293.33333333333422</v>
      </c>
      <c r="AN98" s="59">
        <f ca="1">AVERAGE(OFFSET($AM$3,0,0,'Données projet'!$E$10+1,1))-AVERAGE(OFFSET($H$3,0,0,'Données projet'!$E$10+1,1))</f>
        <v>141.98581704643658</v>
      </c>
      <c r="AO98" s="59">
        <f t="shared" si="90"/>
        <v>396.03373990407204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25.38661362021697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5.2550985113017039E-10</v>
      </c>
      <c r="AX98" s="21">
        <f t="shared" si="60"/>
        <v>25.38661362074248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-5.6843418860808015E-14</v>
      </c>
      <c r="BE98" s="13">
        <f>BD98*VLOOKUP('Données projet'!$B$11,Paramètres!$A$1:$I$89,3,0)*VLOOKUP('Données projet'!$B$11,Paramètres!$A$1:$I$89,5,0)</f>
        <v>-3.2810021366458389E-14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122.36861947722917</v>
      </c>
      <c r="BJ98" s="59">
        <f t="shared" si="92"/>
        <v>341.51856651265109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21.990703065681004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4.5521357307344142E-10</v>
      </c>
      <c r="BS98" s="22">
        <f t="shared" si="63"/>
        <v>21.990703066136216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6">
        <f t="shared" si="56"/>
        <v>446.17170618380828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5.9</v>
      </c>
      <c r="N99" s="13">
        <f>IF('Données projet'!$A$36&gt;35,N98+M99-V98,IF(A99&lt;'Données projet'!$A$36,$K$205^A99,IF(A99='Données projet'!$A$36,'Données projet'!$B$36,N98+M99-V98)))</f>
        <v>337.39999999999986</v>
      </c>
      <c r="O99" s="13">
        <f>N99*VLOOKUP('Données projet'!$B$9,Paramètres!$A$1:$I$89,3,0)*VLOOKUP('Données projet'!$B$9,Paramètres!$A$1:$I$89,5,0)</f>
        <v>284.22575999999992</v>
      </c>
      <c r="P99" s="13">
        <f t="shared" si="87"/>
        <v>67.859253423756542</v>
      </c>
      <c r="Q99" s="20">
        <f t="shared" ref="Q99:Q130" si="107">(O99+P99)*0.475*44/12</f>
        <v>613.2147317130424</v>
      </c>
      <c r="R99" s="59">
        <f t="shared" si="55"/>
        <v>906.54806504637577</v>
      </c>
      <c r="S99" s="59">
        <f ca="1">AVERAGE(OFFSET($R$3,0,0,'Données projet'!$E$9+1,1))-AVERAGE(OFFSET($H$3,0,0,'Données projet'!$E$9+1,1))</f>
        <v>328.34986205643321</v>
      </c>
      <c r="T99" s="59">
        <f t="shared" si="88"/>
        <v>251.60894449147008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59.207862434026133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59.207862434026133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5.6843418860808015E-14</v>
      </c>
      <c r="AJ99" s="13">
        <f>AI99*VLOOKUP('Données projet'!$B$10,Paramètres!$A$1:$I$89,3,0)*VLOOKUP('Données projet'!$B$10,Paramètres!$A$1:$I$89,5,0)</f>
        <v>2.8908289095852525E-14</v>
      </c>
      <c r="AK99" s="13">
        <f t="shared" si="89"/>
        <v>5.0177780569126974E-13</v>
      </c>
      <c r="AL99" s="20">
        <f t="shared" si="58"/>
        <v>9.2427828175423786E-13</v>
      </c>
      <c r="AM99" s="59">
        <f t="shared" si="59"/>
        <v>293.33333333333422</v>
      </c>
      <c r="AN99" s="59">
        <f ca="1">AVERAGE(OFFSET($AM$3,0,0,'Données projet'!$E$10+1,1))-AVERAGE(OFFSET($H$3,0,0,'Données projet'!$E$10+1,1))</f>
        <v>141.98581704643658</v>
      </c>
      <c r="AO99" s="59">
        <f t="shared" si="90"/>
        <v>396.03373990407204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24.888797611429876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3.7159157931447656E-10</v>
      </c>
      <c r="AX99" s="21">
        <f t="shared" si="60"/>
        <v>24.888797611801468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-5.6843418860808015E-14</v>
      </c>
      <c r="BE99" s="13">
        <f>BD99*VLOOKUP('Données projet'!$B$11,Paramètres!$A$1:$I$89,3,0)*VLOOKUP('Données projet'!$B$11,Paramètres!$A$1:$I$89,5,0)</f>
        <v>-3.2810021366458389E-14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122.36861947722917</v>
      </c>
      <c r="BJ99" s="59">
        <f t="shared" si="92"/>
        <v>341.51856651265109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21.559478791567447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3.2188460440838845E-10</v>
      </c>
      <c r="BS99" s="22">
        <f t="shared" si="63"/>
        <v>21.55947879188933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6">
        <f t="shared" si="56"/>
        <v>448.09598270912102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5.9</v>
      </c>
      <c r="N100" s="13">
        <f>IF('Données projet'!$A$36&gt;35,N99+M100-V99,IF(A100&lt;'Données projet'!$A$36,$K$205^A100,IF(A100='Données projet'!$A$36,'Données projet'!$B$36,N99+M100-V99)))</f>
        <v>343.29999999999984</v>
      </c>
      <c r="O100" s="13">
        <f>N100*VLOOKUP('Données projet'!$B$9,Paramètres!$A$1:$I$89,3,0)*VLOOKUP('Données projet'!$B$9,Paramètres!$A$1:$I$89,5,0)</f>
        <v>289.19591999999989</v>
      </c>
      <c r="P100" s="13">
        <f t="shared" si="87"/>
        <v>68.906701138977155</v>
      </c>
      <c r="Q100" s="20">
        <f t="shared" si="107"/>
        <v>623.69539848371835</v>
      </c>
      <c r="R100" s="59">
        <f t="shared" si="55"/>
        <v>917.02873181705172</v>
      </c>
      <c r="S100" s="59">
        <f ca="1">AVERAGE(OFFSET($R$3,0,0,'Données projet'!$E$9+1,1))-AVERAGE(OFFSET($H$3,0,0,'Données projet'!$E$9+1,1))</f>
        <v>328.34986205643321</v>
      </c>
      <c r="T100" s="59">
        <f t="shared" si="88"/>
        <v>251.60894449147008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58.046832364925081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58.046832364925081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5.6843418860808015E-14</v>
      </c>
      <c r="AJ100" s="13">
        <f>AI100*VLOOKUP('Données projet'!$B$10,Paramètres!$A$1:$I$89,3,0)*VLOOKUP('Données projet'!$B$10,Paramètres!$A$1:$I$89,5,0)</f>
        <v>2.8908289095852525E-14</v>
      </c>
      <c r="AK100" s="13">
        <f t="shared" si="89"/>
        <v>5.0177780569126974E-13</v>
      </c>
      <c r="AL100" s="20">
        <f t="shared" si="58"/>
        <v>9.2427828175423786E-13</v>
      </c>
      <c r="AM100" s="59">
        <f t="shared" si="59"/>
        <v>293.33333333333422</v>
      </c>
      <c r="AN100" s="59">
        <f ca="1">AVERAGE(OFFSET($AM$3,0,0,'Données projet'!$E$10+1,1))-AVERAGE(OFFSET($H$3,0,0,'Données projet'!$E$10+1,1))</f>
        <v>141.98581704643658</v>
      </c>
      <c r="AO100" s="59">
        <f t="shared" si="90"/>
        <v>396.03373990407204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24.400743470937314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2.6275492556508519E-10</v>
      </c>
      <c r="AX100" s="21">
        <f t="shared" si="60"/>
        <v>24.400743471200069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-5.6843418860808015E-14</v>
      </c>
      <c r="BE100" s="13">
        <f>BD100*VLOOKUP('Données projet'!$B$11,Paramètres!$A$1:$I$89,3,0)*VLOOKUP('Données projet'!$B$11,Paramètres!$A$1:$I$89,5,0)</f>
        <v>-3.2810021366458389E-14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122.36861947722917</v>
      </c>
      <c r="BJ100" s="59">
        <f t="shared" si="92"/>
        <v>341.51856651265109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21.136710562448418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2.2760678653672076E-10</v>
      </c>
      <c r="BS100" s="22">
        <f t="shared" si="63"/>
        <v>21.136710562676026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6">
        <f t="shared" si="56"/>
        <v>450.01980879247901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5.9</v>
      </c>
      <c r="N101" s="13">
        <f>IF('Données projet'!$A$36&gt;35,N100+M101-V100,IF(A101&lt;'Données projet'!$A$36,$K$205^A101,IF(A101='Données projet'!$A$36,'Données projet'!$B$36,N100+M101-V100)))</f>
        <v>349.19999999999982</v>
      </c>
      <c r="O101" s="13">
        <f>N101*VLOOKUP('Données projet'!$B$9,Paramètres!$A$1:$I$89,3,0)*VLOOKUP('Données projet'!$B$9,Paramètres!$A$1:$I$89,5,0)</f>
        <v>294.16607999999991</v>
      </c>
      <c r="P101" s="13">
        <f t="shared" si="87"/>
        <v>69.952055456115559</v>
      </c>
      <c r="Q101" s="20">
        <f t="shared" si="107"/>
        <v>634.17241925273436</v>
      </c>
      <c r="R101" s="59">
        <f t="shared" si="55"/>
        <v>927.50575258606773</v>
      </c>
      <c r="S101" s="59">
        <f ca="1">AVERAGE(OFFSET($R$3,0,0,'Données projet'!$E$9+1,1))-AVERAGE(OFFSET($H$3,0,0,'Données projet'!$E$9+1,1))</f>
        <v>328.34986205643321</v>
      </c>
      <c r="T101" s="59">
        <f t="shared" si="88"/>
        <v>251.60894449147008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56.908569387320682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56.908569387320682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5.6843418860808015E-14</v>
      </c>
      <c r="AJ101" s="13">
        <f>AI101*VLOOKUP('Données projet'!$B$10,Paramètres!$A$1:$I$89,3,0)*VLOOKUP('Données projet'!$B$10,Paramètres!$A$1:$I$89,5,0)</f>
        <v>2.8908289095852525E-14</v>
      </c>
      <c r="AK101" s="13">
        <f t="shared" si="89"/>
        <v>5.0177780569126974E-13</v>
      </c>
      <c r="AL101" s="20">
        <f t="shared" si="58"/>
        <v>9.2427828175423786E-13</v>
      </c>
      <c r="AM101" s="59">
        <f t="shared" si="59"/>
        <v>293.33333333333422</v>
      </c>
      <c r="AN101" s="59">
        <f ca="1">AVERAGE(OFFSET($AM$3,0,0,'Données projet'!$E$10+1,1))-AVERAGE(OFFSET($H$3,0,0,'Données projet'!$E$10+1,1))</f>
        <v>141.98581704643658</v>
      </c>
      <c r="AO101" s="59">
        <f t="shared" si="90"/>
        <v>396.03373990407204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23.92225977445618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1.8579578965723828E-10</v>
      </c>
      <c r="AX101" s="21">
        <f t="shared" si="60"/>
        <v>23.922259774641976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-5.6843418860808015E-14</v>
      </c>
      <c r="BE101" s="13">
        <f>BD101*VLOOKUP('Données projet'!$B$11,Paramètres!$A$1:$I$89,3,0)*VLOOKUP('Données projet'!$B$11,Paramètres!$A$1:$I$89,5,0)</f>
        <v>-3.2810021366458389E-14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122.36861947722917</v>
      </c>
      <c r="BJ101" s="59">
        <f t="shared" si="92"/>
        <v>341.51856651265109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20.722232560439256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1.6094230220419425E-10</v>
      </c>
      <c r="BS101" s="22">
        <f t="shared" si="63"/>
        <v>20.722232560600197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6">
        <f t="shared" si="56"/>
        <v>451.94318956237618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5.9</v>
      </c>
      <c r="N102" s="13">
        <f>IF('Données projet'!$A$36&gt;35,N101+M102-V101,IF(A102&lt;'Données projet'!$A$36,$K$205^A102,IF(A102='Données projet'!$A$36,'Données projet'!$B$36,N101+M102-V101)))</f>
        <v>355.0999999999998</v>
      </c>
      <c r="O102" s="13">
        <f>N102*VLOOKUP('Données projet'!$B$9,Paramètres!$A$1:$I$89,3,0)*VLOOKUP('Données projet'!$B$9,Paramètres!$A$1:$I$89,5,0)</f>
        <v>299.13623999999987</v>
      </c>
      <c r="P102" s="13">
        <f t="shared" si="87"/>
        <v>70.995355826722829</v>
      </c>
      <c r="Q102" s="20">
        <f t="shared" si="107"/>
        <v>644.64586273154202</v>
      </c>
      <c r="R102" s="59">
        <f t="shared" si="55"/>
        <v>937.9791960648754</v>
      </c>
      <c r="S102" s="59">
        <f ca="1">AVERAGE(OFFSET($R$3,0,0,'Données projet'!$E$9+1,1))-AVERAGE(OFFSET($H$3,0,0,'Données projet'!$E$9+1,1))</f>
        <v>328.34986205643321</v>
      </c>
      <c r="T102" s="59">
        <f t="shared" si="88"/>
        <v>251.60894449147008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55.792627052435243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55.792627052435243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5.6843418860808015E-14</v>
      </c>
      <c r="AJ102" s="13">
        <f>AI102*VLOOKUP('Données projet'!$B$10,Paramètres!$A$1:$I$89,3,0)*VLOOKUP('Données projet'!$B$10,Paramètres!$A$1:$I$89,5,0)</f>
        <v>2.8908289095852525E-14</v>
      </c>
      <c r="AK102" s="13">
        <f t="shared" si="89"/>
        <v>5.0177780569126974E-13</v>
      </c>
      <c r="AL102" s="20">
        <f t="shared" si="58"/>
        <v>9.2427828175423786E-13</v>
      </c>
      <c r="AM102" s="59">
        <f t="shared" si="59"/>
        <v>293.33333333333422</v>
      </c>
      <c r="AN102" s="59">
        <f ca="1">AVERAGE(OFFSET($AM$3,0,0,'Données projet'!$E$10+1,1))-AVERAGE(OFFSET($H$3,0,0,'Données projet'!$E$10+1,1))</f>
        <v>141.98581704643658</v>
      </c>
      <c r="AO102" s="59">
        <f t="shared" si="90"/>
        <v>396.03373990407204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23.453158851416802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1.313774627825426E-10</v>
      </c>
      <c r="AX102" s="21">
        <f t="shared" si="60"/>
        <v>23.453158851548178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-5.6843418860808015E-14</v>
      </c>
      <c r="BE102" s="13">
        <f>BD102*VLOOKUP('Données projet'!$B$11,Paramètres!$A$1:$I$89,3,0)*VLOOKUP('Données projet'!$B$11,Paramètres!$A$1:$I$89,5,0)</f>
        <v>-3.2810021366458389E-14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122.36861947722917</v>
      </c>
      <c r="BJ102" s="59">
        <f t="shared" si="92"/>
        <v>341.51856651265109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20.315882219242877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1.1380339326836039E-10</v>
      </c>
      <c r="BS102" s="22">
        <f t="shared" si="63"/>
        <v>20.315882219356681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6">
        <f t="shared" si="56"/>
        <v>453.86613003772942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361</v>
      </c>
      <c r="L103" s="12">
        <f>VLOOKUP(A103,'Données projet'!$A$35:$I$55,9,0)</f>
        <v>5.9</v>
      </c>
      <c r="M103" s="12">
        <f t="array" ref="M103">INDEX(L:L,MIN(IF(ISNUMBER(L103:L299),ROW(L103:L299),"")))</f>
        <v>5.9</v>
      </c>
      <c r="N103" s="13">
        <f>IF('Données projet'!$A$36&gt;35,N102+M103-V102,IF(A103&lt;'Données projet'!$A$36,$K$205^A103,IF(A103='Données projet'!$A$36,'Données projet'!$B$36,N102+M103-V102)))</f>
        <v>360.99999999999977</v>
      </c>
      <c r="O103" s="13">
        <f>N103*VLOOKUP('Données projet'!$B$9,Paramètres!$A$1:$I$89,3,0)*VLOOKUP('Données projet'!$B$9,Paramètres!$A$1:$I$89,5,0)</f>
        <v>304.10639999999984</v>
      </c>
      <c r="P103" s="13">
        <f t="shared" si="87"/>
        <v>72.036640316223298</v>
      </c>
      <c r="Q103" s="20">
        <f t="shared" si="107"/>
        <v>655.11579521742192</v>
      </c>
      <c r="R103" s="59">
        <f t="shared" si="55"/>
        <v>948.44912855075518</v>
      </c>
      <c r="S103" s="59">
        <f ca="1">AVERAGE(OFFSET($R$3,0,0,'Données projet'!$E$9+1,1))-AVERAGE(OFFSET($H$3,0,0,'Données projet'!$E$9+1,1))</f>
        <v>328.34986205643321</v>
      </c>
      <c r="T103" s="59">
        <f t="shared" si="88"/>
        <v>251.60894449147008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55</v>
      </c>
      <c r="W103" s="16">
        <f>IF(ISNA(VLOOKUP(A103,'Données projet'!$A$35:$I$55,5,0)),0%,VLOOKUP(A103,'Données projet'!$A$35:$I$55,5,0)*VLOOKUP('Données projet'!$B$9,Paramètres!$A$1:$I$89,7,0))</f>
        <v>0.36549999999999999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73.418985565841581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73.418985565841581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5.6843418860808015E-14</v>
      </c>
      <c r="AJ103" s="13">
        <f>AI103*VLOOKUP('Données projet'!$B$10,Paramètres!$A$1:$I$89,3,0)*VLOOKUP('Données projet'!$B$10,Paramètres!$A$1:$I$89,5,0)</f>
        <v>2.8908289095852525E-14</v>
      </c>
      <c r="AK103" s="13">
        <f t="shared" si="89"/>
        <v>5.0177780569126974E-13</v>
      </c>
      <c r="AL103" s="20">
        <f t="shared" si="58"/>
        <v>9.2427828175423786E-13</v>
      </c>
      <c r="AM103" s="59">
        <f t="shared" si="59"/>
        <v>293.33333333333422</v>
      </c>
      <c r="AN103" s="59">
        <f ca="1">AVERAGE(OFFSET($AM$3,0,0,'Données projet'!$E$10+1,1))-AVERAGE(OFFSET($H$3,0,0,'Données projet'!$E$10+1,1))</f>
        <v>141.98581704643658</v>
      </c>
      <c r="AO103" s="59">
        <f t="shared" si="90"/>
        <v>396.03373990407204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22.993256711354917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9.2897894828619141E-11</v>
      </c>
      <c r="AX103" s="21">
        <f t="shared" si="60"/>
        <v>22.993256711447813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-5.6843418860808015E-14</v>
      </c>
      <c r="BE103" s="13">
        <f>BD103*VLOOKUP('Données projet'!$B$11,Paramètres!$A$1:$I$89,3,0)*VLOOKUP('Données projet'!$B$11,Paramètres!$A$1:$I$89,5,0)</f>
        <v>-3.2810021366458389E-14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122.36861947722917</v>
      </c>
      <c r="BJ103" s="59">
        <f t="shared" si="92"/>
        <v>341.51856651265109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19.917500160388123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8.0471151102097139E-11</v>
      </c>
      <c r="BS103" s="22">
        <f t="shared" si="63"/>
        <v>19.917500160468595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6">
        <f t="shared" si="56"/>
        <v>455.78863513129187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5.2</v>
      </c>
      <c r="N104" s="13">
        <f>IF('Données projet'!$A$36&gt;35,N103+M104-V103,IF(A104&lt;'Données projet'!$A$36,$K$205^A104,IF(A104='Données projet'!$A$36,'Données projet'!$B$36,N103+M104-V103)))</f>
        <v>311.19999999999976</v>
      </c>
      <c r="O104" s="13">
        <f>N104*VLOOKUP('Données projet'!$B$9,Paramètres!$A$1:$I$89,3,0)*VLOOKUP('Données projet'!$B$9,Paramètres!$A$1:$I$89,5,0)</f>
        <v>262.15487999999982</v>
      </c>
      <c r="P104" s="13">
        <f t="shared" si="87"/>
        <v>63.181490407105123</v>
      </c>
      <c r="Q104" s="20">
        <f t="shared" si="107"/>
        <v>566.62751179237432</v>
      </c>
      <c r="R104" s="59">
        <f t="shared" si="55"/>
        <v>859.96084512570769</v>
      </c>
      <c r="S104" s="59">
        <f ca="1">AVERAGE(OFFSET($R$3,0,0,'Données projet'!$E$9+1,1))-AVERAGE(OFFSET($H$3,0,0,'Données projet'!$E$9+1,1))</f>
        <v>328.34986205643321</v>
      </c>
      <c r="T104" s="59">
        <f t="shared" si="88"/>
        <v>251.60894449147008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71.97928404005485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71.97928404005485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5.6843418860808015E-14</v>
      </c>
      <c r="AJ104" s="13">
        <f>AI104*VLOOKUP('Données projet'!$B$10,Paramètres!$A$1:$I$89,3,0)*VLOOKUP('Données projet'!$B$10,Paramètres!$A$1:$I$89,5,0)</f>
        <v>2.8908289095852525E-14</v>
      </c>
      <c r="AK104" s="13">
        <f t="shared" si="89"/>
        <v>5.0177780569126974E-13</v>
      </c>
      <c r="AL104" s="20">
        <f t="shared" si="58"/>
        <v>9.2427828175423786E-13</v>
      </c>
      <c r="AM104" s="59">
        <f t="shared" si="59"/>
        <v>293.33333333333422</v>
      </c>
      <c r="AN104" s="59">
        <f ca="1">AVERAGE(OFFSET($AM$3,0,0,'Données projet'!$E$10+1,1))-AVERAGE(OFFSET($H$3,0,0,'Données projet'!$E$10+1,1))</f>
        <v>141.98581704643658</v>
      </c>
      <c r="AO104" s="59">
        <f t="shared" si="90"/>
        <v>396.03373990407204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22.542372971747035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6.5688731391271299E-11</v>
      </c>
      <c r="AX104" s="21">
        <f t="shared" si="60"/>
        <v>22.542372971812725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-5.6843418860808015E-14</v>
      </c>
      <c r="BE104" s="13">
        <f>BD104*VLOOKUP('Données projet'!$B$11,Paramètres!$A$1:$I$89,3,0)*VLOOKUP('Données projet'!$B$11,Paramètres!$A$1:$I$89,5,0)</f>
        <v>-3.2810021366458389E-14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122.36861947722917</v>
      </c>
      <c r="BJ104" s="59">
        <f t="shared" si="92"/>
        <v>341.51856651265109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19.526930130718448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5.690169663418021E-11</v>
      </c>
      <c r="BS104" s="22">
        <f t="shared" si="63"/>
        <v>19.526930130775348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6">
        <f t="shared" si="56"/>
        <v>457.71070965292688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5.2</v>
      </c>
      <c r="N105" s="13">
        <f>IF('Données projet'!$A$36&gt;35,N104+M105-V104,IF(A105&lt;'Données projet'!$A$36,$K$205^A105,IF(A105='Données projet'!$A$36,'Données projet'!$B$36,N104+M105-V104)))</f>
        <v>316.39999999999975</v>
      </c>
      <c r="O105" s="13">
        <f>N105*VLOOKUP('Données projet'!$B$9,Paramètres!$A$1:$I$89,3,0)*VLOOKUP('Données projet'!$B$9,Paramètres!$A$1:$I$89,5,0)</f>
        <v>266.5353599999998</v>
      </c>
      <c r="P105" s="13">
        <f t="shared" si="87"/>
        <v>64.113433471449738</v>
      </c>
      <c r="Q105" s="20">
        <f t="shared" si="107"/>
        <v>575.87998196277465</v>
      </c>
      <c r="R105" s="59">
        <f t="shared" si="55"/>
        <v>869.21331529610802</v>
      </c>
      <c r="S105" s="59">
        <f ca="1">AVERAGE(OFFSET($R$3,0,0,'Données projet'!$E$9+1,1))-AVERAGE(OFFSET($H$3,0,0,'Données projet'!$E$9+1,1))</f>
        <v>328.34986205643321</v>
      </c>
      <c r="T105" s="59">
        <f t="shared" si="88"/>
        <v>251.60894449147008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70.567814183057578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70.567814183057578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5.6843418860808015E-14</v>
      </c>
      <c r="AJ105" s="13">
        <f>AI105*VLOOKUP('Données projet'!$B$10,Paramètres!$A$1:$I$89,3,0)*VLOOKUP('Données projet'!$B$10,Paramètres!$A$1:$I$89,5,0)</f>
        <v>2.8908289095852525E-14</v>
      </c>
      <c r="AK105" s="13">
        <f t="shared" si="89"/>
        <v>5.0177780569126974E-13</v>
      </c>
      <c r="AL105" s="20">
        <f t="shared" si="58"/>
        <v>9.2427828175423786E-13</v>
      </c>
      <c r="AM105" s="59">
        <f t="shared" si="59"/>
        <v>293.33333333333422</v>
      </c>
      <c r="AN105" s="59">
        <f ca="1">AVERAGE(OFFSET($AM$3,0,0,'Données projet'!$E$10+1,1))-AVERAGE(OFFSET($H$3,0,0,'Données projet'!$E$10+1,1))</f>
        <v>141.98581704643658</v>
      </c>
      <c r="AO105" s="59">
        <f t="shared" si="90"/>
        <v>396.03373990407204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22.10033078726094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4.644894741430957E-11</v>
      </c>
      <c r="AX105" s="21">
        <f t="shared" si="60"/>
        <v>22.100330787307389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-5.6843418860808015E-14</v>
      </c>
      <c r="BE105" s="13">
        <f>BD105*VLOOKUP('Données projet'!$B$11,Paramètres!$A$1:$I$89,3,0)*VLOOKUP('Données projet'!$B$11,Paramètres!$A$1:$I$89,5,0)</f>
        <v>-3.2810021366458389E-14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122.36861947722917</v>
      </c>
      <c r="BJ105" s="59">
        <f t="shared" si="92"/>
        <v>341.51856651265109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19.144018941106399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4.0235575551048576E-11</v>
      </c>
      <c r="BS105" s="22">
        <f t="shared" si="63"/>
        <v>19.144018941146633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6">
        <f t="shared" si="56"/>
        <v>459.63235831274994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5.2</v>
      </c>
      <c r="N106" s="13">
        <f>IF('Données projet'!$A$36&gt;35,N105+M106-V105,IF(A106&lt;'Données projet'!$A$36,$K$205^A106,IF(A106='Données projet'!$A$36,'Données projet'!$B$36,N105+M106-V105)))</f>
        <v>321.59999999999974</v>
      </c>
      <c r="O106" s="13">
        <f>N106*VLOOKUP('Données projet'!$B$9,Paramètres!$A$1:$I$89,3,0)*VLOOKUP('Données projet'!$B$9,Paramètres!$A$1:$I$89,5,0)</f>
        <v>270.91583999999983</v>
      </c>
      <c r="P106" s="13">
        <f t="shared" si="87"/>
        <v>65.043595328112488</v>
      </c>
      <c r="Q106" s="20">
        <f t="shared" si="107"/>
        <v>585.12934986312894</v>
      </c>
      <c r="R106" s="59">
        <f t="shared" si="55"/>
        <v>878.46268319646219</v>
      </c>
      <c r="S106" s="59">
        <f ca="1">AVERAGE(OFFSET($R$3,0,0,'Données projet'!$E$9+1,1))-AVERAGE(OFFSET($H$3,0,0,'Données projet'!$E$9+1,1))</f>
        <v>328.34986205643321</v>
      </c>
      <c r="T106" s="59">
        <f t="shared" si="88"/>
        <v>251.60894449147008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69.184022389044415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69.184022389044415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5.6843418860808015E-14</v>
      </c>
      <c r="AJ106" s="13">
        <f>AI106*VLOOKUP('Données projet'!$B$10,Paramètres!$A$1:$I$89,3,0)*VLOOKUP('Données projet'!$B$10,Paramètres!$A$1:$I$89,5,0)</f>
        <v>2.8908289095852525E-14</v>
      </c>
      <c r="AK106" s="13">
        <f t="shared" si="89"/>
        <v>5.0177780569126974E-13</v>
      </c>
      <c r="AL106" s="20">
        <f t="shared" si="58"/>
        <v>9.2427828175423786E-13</v>
      </c>
      <c r="AM106" s="59">
        <f t="shared" si="59"/>
        <v>293.33333333333422</v>
      </c>
      <c r="AN106" s="59">
        <f ca="1">AVERAGE(OFFSET($AM$3,0,0,'Données projet'!$E$10+1,1))-AVERAGE(OFFSET($H$3,0,0,'Données projet'!$E$10+1,1))</f>
        <v>141.98581704643658</v>
      </c>
      <c r="AO106" s="59">
        <f t="shared" si="90"/>
        <v>396.03373990407204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21.666956780393505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3.2844365695635649E-11</v>
      </c>
      <c r="AX106" s="21">
        <f t="shared" si="60"/>
        <v>21.66695678042635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-5.6843418860808015E-14</v>
      </c>
      <c r="BE106" s="13">
        <f>BD106*VLOOKUP('Données projet'!$B$11,Paramètres!$A$1:$I$89,3,0)*VLOOKUP('Données projet'!$B$11,Paramètres!$A$1:$I$89,5,0)</f>
        <v>-3.2810021366458389E-14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122.36861947722917</v>
      </c>
      <c r="BJ106" s="59">
        <f t="shared" si="92"/>
        <v>341.51856651265109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18.76861640636988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2.8450848317090108E-11</v>
      </c>
      <c r="BS106" s="22">
        <f t="shared" si="63"/>
        <v>18.76861640639833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6">
        <f t="shared" si="56"/>
        <v>461.55358572414536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5.2</v>
      </c>
      <c r="N107" s="13">
        <f>IF('Données projet'!$A$36&gt;35,N106+M107-V106,IF(A107&lt;'Données projet'!$A$36,$K$205^A107,IF(A107='Données projet'!$A$36,'Données projet'!$B$36,N106+M107-V106)))</f>
        <v>326.79999999999973</v>
      </c>
      <c r="O107" s="13">
        <f>N107*VLOOKUP('Données projet'!$B$9,Paramètres!$A$1:$I$89,3,0)*VLOOKUP('Données projet'!$B$9,Paramètres!$A$1:$I$89,5,0)</f>
        <v>275.29631999999981</v>
      </c>
      <c r="P107" s="13">
        <f t="shared" si="87"/>
        <v>65.972008102689301</v>
      </c>
      <c r="Q107" s="20">
        <f t="shared" si="107"/>
        <v>594.37567144551679</v>
      </c>
      <c r="R107" s="59">
        <f t="shared" si="55"/>
        <v>887.70900477885016</v>
      </c>
      <c r="S107" s="59">
        <f ca="1">AVERAGE(OFFSET($R$3,0,0,'Données projet'!$E$9+1,1))-AVERAGE(OFFSET($H$3,0,0,'Données projet'!$E$9+1,1))</f>
        <v>328.34986205643321</v>
      </c>
      <c r="T107" s="59">
        <f t="shared" si="88"/>
        <v>251.60894449147008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67.8273659080822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67.8273659080822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5.6843418860808015E-14</v>
      </c>
      <c r="AJ107" s="13">
        <f>AI107*VLOOKUP('Données projet'!$B$10,Paramètres!$A$1:$I$89,3,0)*VLOOKUP('Données projet'!$B$10,Paramètres!$A$1:$I$89,5,0)</f>
        <v>2.8908289095852525E-14</v>
      </c>
      <c r="AK107" s="13">
        <f t="shared" si="89"/>
        <v>5.0177780569126974E-13</v>
      </c>
      <c r="AL107" s="20">
        <f t="shared" si="58"/>
        <v>9.2427828175423786E-13</v>
      </c>
      <c r="AM107" s="59">
        <f t="shared" si="59"/>
        <v>293.33333333333422</v>
      </c>
      <c r="AN107" s="59">
        <f ca="1">AVERAGE(OFFSET($AM$3,0,0,'Données projet'!$E$10+1,1))-AVERAGE(OFFSET($H$3,0,0,'Données projet'!$E$10+1,1))</f>
        <v>141.98581704643658</v>
      </c>
      <c r="AO107" s="59">
        <f t="shared" si="90"/>
        <v>396.03373990407204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21.242080973468699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2.3224473707154785E-11</v>
      </c>
      <c r="AX107" s="21">
        <f t="shared" si="60"/>
        <v>21.242080973491923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-5.6843418860808015E-14</v>
      </c>
      <c r="BE107" s="13">
        <f>BD107*VLOOKUP('Données projet'!$B$11,Paramètres!$A$1:$I$89,3,0)*VLOOKUP('Données projet'!$B$11,Paramètres!$A$1:$I$89,5,0)</f>
        <v>-3.2810021366458389E-14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122.36861947722917</v>
      </c>
      <c r="BJ107" s="59">
        <f t="shared" si="92"/>
        <v>341.51856651265109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18.400575286366607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2.0117787775524291E-11</v>
      </c>
      <c r="BS107" s="22">
        <f t="shared" si="63"/>
        <v>18.400575286386726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6">
        <f t="shared" si="56"/>
        <v>463.47439640666329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5.2</v>
      </c>
      <c r="N108" s="13">
        <f>IF('Données projet'!$A$36&gt;35,N107+M108-V107,IF(A108&lt;'Données projet'!$A$36,$K$205^A108,IF(A108='Données projet'!$A$36,'Données projet'!$B$36,N107+M108-V107)))</f>
        <v>331.99999999999972</v>
      </c>
      <c r="O108" s="13">
        <f>N108*VLOOKUP('Données projet'!$B$9,Paramètres!$A$1:$I$89,3,0)*VLOOKUP('Données projet'!$B$9,Paramètres!$A$1:$I$89,5,0)</f>
        <v>279.67679999999979</v>
      </c>
      <c r="P108" s="13">
        <f t="shared" si="87"/>
        <v>66.898702839782985</v>
      </c>
      <c r="Q108" s="20">
        <f t="shared" si="107"/>
        <v>603.61900077928829</v>
      </c>
      <c r="R108" s="59">
        <f t="shared" si="55"/>
        <v>896.95233411262166</v>
      </c>
      <c r="S108" s="59">
        <f ca="1">AVERAGE(OFFSET($R$3,0,0,'Données projet'!$E$9+1,1))-AVERAGE(OFFSET($H$3,0,0,'Données projet'!$E$9+1,1))</f>
        <v>328.34986205643321</v>
      </c>
      <c r="T108" s="59">
        <f t="shared" si="88"/>
        <v>251.60894449147008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66.497312633232909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66.497312633232909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5.6843418860808015E-14</v>
      </c>
      <c r="AJ108" s="13">
        <f>AI108*VLOOKUP('Données projet'!$B$10,Paramètres!$A$1:$I$89,3,0)*VLOOKUP('Données projet'!$B$10,Paramètres!$A$1:$I$89,5,0)</f>
        <v>2.8908289095852525E-14</v>
      </c>
      <c r="AK108" s="13">
        <f t="shared" si="89"/>
        <v>5.0177780569126974E-13</v>
      </c>
      <c r="AL108" s="20">
        <f t="shared" si="58"/>
        <v>9.2427828175423786E-13</v>
      </c>
      <c r="AM108" s="59">
        <f t="shared" si="59"/>
        <v>293.33333333333422</v>
      </c>
      <c r="AN108" s="59">
        <f ca="1">AVERAGE(OFFSET($AM$3,0,0,'Données projet'!$E$10+1,1))-AVERAGE(OFFSET($H$3,0,0,'Données projet'!$E$10+1,1))</f>
        <v>141.98581704643658</v>
      </c>
      <c r="AO108" s="59">
        <f t="shared" si="90"/>
        <v>396.03373990407204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20.825536721969033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1.6422182847817825E-11</v>
      </c>
      <c r="AX108" s="21">
        <f t="shared" si="60"/>
        <v>20.825536721985454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-5.6843418860808015E-14</v>
      </c>
      <c r="BE108" s="13">
        <f>BD108*VLOOKUP('Données projet'!$B$11,Paramètres!$A$1:$I$89,3,0)*VLOOKUP('Données projet'!$B$11,Paramètres!$A$1:$I$89,5,0)</f>
        <v>-3.2810021366458389E-14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122.36861947722917</v>
      </c>
      <c r="BJ108" s="59">
        <f t="shared" si="92"/>
        <v>341.51856651265109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18.039751228243681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1.4225424158545056E-11</v>
      </c>
      <c r="BS108" s="22">
        <f t="shared" si="63"/>
        <v>18.039751228257906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6">
        <f t="shared" si="56"/>
        <v>465.39479478880332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5.2</v>
      </c>
      <c r="N109" s="13">
        <f>IF('Données projet'!$A$36&gt;35,N108+M109-V108,IF(A109&lt;'Données projet'!$A$36,$K$205^A109,IF(A109='Données projet'!$A$36,'Données projet'!$B$36,N108+M109-V108)))</f>
        <v>337.1999999999997</v>
      </c>
      <c r="O109" s="13">
        <f>N109*VLOOKUP('Données projet'!$B$9,Paramètres!$A$1:$I$89,3,0)*VLOOKUP('Données projet'!$B$9,Paramètres!$A$1:$I$89,5,0)</f>
        <v>284.05727999999976</v>
      </c>
      <c r="P109" s="13">
        <f t="shared" si="87"/>
        <v>67.823709555728385</v>
      </c>
      <c r="Q109" s="20">
        <f t="shared" si="107"/>
        <v>612.85939014289318</v>
      </c>
      <c r="R109" s="59">
        <f t="shared" si="55"/>
        <v>906.19272347622655</v>
      </c>
      <c r="S109" s="59">
        <f ca="1">AVERAGE(OFFSET($R$3,0,0,'Données projet'!$E$9+1,1))-AVERAGE(OFFSET($H$3,0,0,'Données projet'!$E$9+1,1))</f>
        <v>328.34986205643321</v>
      </c>
      <c r="T109" s="59">
        <f t="shared" si="88"/>
        <v>251.60894449147008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65.193340891851008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65.193340891851008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5.6843418860808015E-14</v>
      </c>
      <c r="AJ109" s="13">
        <f>AI109*VLOOKUP('Données projet'!$B$10,Paramètres!$A$1:$I$89,3,0)*VLOOKUP('Données projet'!$B$10,Paramètres!$A$1:$I$89,5,0)</f>
        <v>2.8908289095852525E-14</v>
      </c>
      <c r="AK109" s="13">
        <f t="shared" si="89"/>
        <v>5.0177780569126974E-13</v>
      </c>
      <c r="AL109" s="20">
        <f t="shared" si="58"/>
        <v>9.2427828175423786E-13</v>
      </c>
      <c r="AM109" s="59">
        <f t="shared" si="59"/>
        <v>293.33333333333422</v>
      </c>
      <c r="AN109" s="59">
        <f ca="1">AVERAGE(OFFSET($AM$3,0,0,'Données projet'!$E$10+1,1))-AVERAGE(OFFSET($H$3,0,0,'Données projet'!$E$10+1,1))</f>
        <v>141.98581704643658</v>
      </c>
      <c r="AO109" s="59">
        <f t="shared" si="90"/>
        <v>396.03373990407204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20.41716064917437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1.1612236853577393E-11</v>
      </c>
      <c r="AX109" s="21">
        <f t="shared" si="60"/>
        <v>20.417160649185984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-5.6843418860808015E-14</v>
      </c>
      <c r="BE109" s="13">
        <f>BD109*VLOOKUP('Données projet'!$B$11,Paramètres!$A$1:$I$89,3,0)*VLOOKUP('Données projet'!$B$11,Paramètres!$A$1:$I$89,5,0)</f>
        <v>-3.2810021366458389E-14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122.36861947722917</v>
      </c>
      <c r="BJ109" s="59">
        <f t="shared" si="92"/>
        <v>341.51856651265109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17.686002709819601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1.0058893887762147E-11</v>
      </c>
      <c r="BS109" s="22">
        <f t="shared" si="63"/>
        <v>17.686002709829658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6">
        <f t="shared" si="56"/>
        <v>467.3147852106901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5.2</v>
      </c>
      <c r="N110" s="13">
        <f>IF('Données projet'!$A$36&gt;35,N109+M110-V109,IF(A110&lt;'Données projet'!$A$36,$K$205^A110,IF(A110='Données projet'!$A$36,'Données projet'!$B$36,N109+M110-V109)))</f>
        <v>342.39999999999969</v>
      </c>
      <c r="O110" s="13">
        <f>N110*VLOOKUP('Données projet'!$B$9,Paramètres!$A$1:$I$89,3,0)*VLOOKUP('Données projet'!$B$9,Paramètres!$A$1:$I$89,5,0)</f>
        <v>288.43775999999974</v>
      </c>
      <c r="P110" s="13">
        <f t="shared" si="87"/>
        <v>68.747057287972595</v>
      </c>
      <c r="Q110" s="20">
        <f t="shared" si="107"/>
        <v>622.09689010988507</v>
      </c>
      <c r="R110" s="59">
        <f t="shared" si="55"/>
        <v>915.43022344321844</v>
      </c>
      <c r="S110" s="59">
        <f ca="1">AVERAGE(OFFSET($R$3,0,0,'Données projet'!$E$9+1,1))-AVERAGE(OFFSET($H$3,0,0,'Données projet'!$E$9+1,1))</f>
        <v>328.34986205643321</v>
      </c>
      <c r="T110" s="59">
        <f t="shared" si="88"/>
        <v>251.60894449147008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63.914939240973382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63.914939240973382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5.6843418860808015E-14</v>
      </c>
      <c r="AJ110" s="13">
        <f>AI110*VLOOKUP('Données projet'!$B$10,Paramètres!$A$1:$I$89,3,0)*VLOOKUP('Données projet'!$B$10,Paramètres!$A$1:$I$89,5,0)</f>
        <v>2.8908289095852525E-14</v>
      </c>
      <c r="AK110" s="13">
        <f t="shared" si="89"/>
        <v>5.0177780569126974E-13</v>
      </c>
      <c r="AL110" s="20">
        <f t="shared" si="58"/>
        <v>9.2427828175423786E-13</v>
      </c>
      <c r="AM110" s="59">
        <f t="shared" si="59"/>
        <v>293.33333333333422</v>
      </c>
      <c r="AN110" s="59">
        <f ca="1">AVERAGE(OFFSET($AM$3,0,0,'Données projet'!$E$10+1,1))-AVERAGE(OFFSET($H$3,0,0,'Données projet'!$E$10+1,1))</f>
        <v>141.98581704643658</v>
      </c>
      <c r="AO110" s="59">
        <f t="shared" si="90"/>
        <v>396.03373990407204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20.016792582082402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8.2110914239089123E-12</v>
      </c>
      <c r="AX110" s="21">
        <f t="shared" si="60"/>
        <v>20.016792582090613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-5.6843418860808015E-14</v>
      </c>
      <c r="BE110" s="13">
        <f>BD110*VLOOKUP('Données projet'!$B$11,Paramètres!$A$1:$I$89,3,0)*VLOOKUP('Données projet'!$B$11,Paramètres!$A$1:$I$89,5,0)</f>
        <v>-3.2810021366458389E-14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122.36861947722917</v>
      </c>
      <c r="BJ110" s="59">
        <f t="shared" si="92"/>
        <v>341.51856651265109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17.339190984076524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7.1127120792725295E-12</v>
      </c>
      <c r="BS110" s="22">
        <f t="shared" si="63"/>
        <v>17.339190984083636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6">
        <f t="shared" si="56"/>
        <v>469.23437192664602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5.2</v>
      </c>
      <c r="N111" s="13">
        <f>IF('Données projet'!$A$36&gt;35,N110+M111-V110,IF(A111&lt;'Données projet'!$A$36,$K$205^A111,IF(A111='Données projet'!$A$36,'Données projet'!$B$36,N110+M111-V110)))</f>
        <v>347.59999999999968</v>
      </c>
      <c r="O111" s="13">
        <f>N111*VLOOKUP('Données projet'!$B$9,Paramètres!$A$1:$I$89,3,0)*VLOOKUP('Données projet'!$B$9,Paramètres!$A$1:$I$89,5,0)</f>
        <v>292.81823999999978</v>
      </c>
      <c r="P111" s="13">
        <f t="shared" si="87"/>
        <v>69.668774141370633</v>
      </c>
      <c r="Q111" s="20">
        <f t="shared" si="107"/>
        <v>631.33154962955348</v>
      </c>
      <c r="R111" s="59">
        <f t="shared" si="55"/>
        <v>924.66488296288685</v>
      </c>
      <c r="S111" s="59">
        <f ca="1">AVERAGE(OFFSET($R$3,0,0,'Données projet'!$E$9+1,1))-AVERAGE(OFFSET($H$3,0,0,'Données projet'!$E$9+1,1))</f>
        <v>328.34986205643321</v>
      </c>
      <c r="T111" s="59">
        <f t="shared" si="88"/>
        <v>251.60894449147008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62.661606266721456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62.661606266721456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5.6843418860808015E-14</v>
      </c>
      <c r="AJ111" s="13">
        <f>AI111*VLOOKUP('Données projet'!$B$10,Paramètres!$A$1:$I$89,3,0)*VLOOKUP('Données projet'!$B$10,Paramètres!$A$1:$I$89,5,0)</f>
        <v>2.8908289095852525E-14</v>
      </c>
      <c r="AK111" s="13">
        <f t="shared" si="89"/>
        <v>5.0177780569126974E-13</v>
      </c>
      <c r="AL111" s="20">
        <f t="shared" si="58"/>
        <v>9.2427828175423786E-13</v>
      </c>
      <c r="AM111" s="59">
        <f t="shared" si="59"/>
        <v>293.33333333333422</v>
      </c>
      <c r="AN111" s="59">
        <f ca="1">AVERAGE(OFFSET($AM$3,0,0,'Données projet'!$E$10+1,1))-AVERAGE(OFFSET($H$3,0,0,'Données projet'!$E$10+1,1))</f>
        <v>141.98581704643658</v>
      </c>
      <c r="AO111" s="59">
        <f t="shared" si="90"/>
        <v>396.03373990407204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19.624275488585699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5.8061184267886963E-12</v>
      </c>
      <c r="AX111" s="21">
        <f t="shared" si="60"/>
        <v>19.624275488591504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-5.6843418860808015E-14</v>
      </c>
      <c r="BE111" s="13">
        <f>BD111*VLOOKUP('Données projet'!$B$11,Paramètres!$A$1:$I$89,3,0)*VLOOKUP('Données projet'!$B$11,Paramètres!$A$1:$I$89,5,0)</f>
        <v>-3.2810021366458389E-14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122.36861947722917</v>
      </c>
      <c r="BJ111" s="59">
        <f t="shared" si="92"/>
        <v>341.51856651265109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16.999180024741005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5.0294469438810744E-12</v>
      </c>
      <c r="BS111" s="22">
        <f t="shared" si="63"/>
        <v>16.999180024746035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6">
        <f t="shared" si="56"/>
        <v>471.15355910766601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5.2</v>
      </c>
      <c r="N112" s="13">
        <f>IF('Données projet'!$A$36&gt;35,N111+M112-V111,IF(A112&lt;'Données projet'!$A$36,$K$205^A112,IF(A112='Données projet'!$A$36,'Données projet'!$B$36,N111+M112-V111)))</f>
        <v>352.79999999999967</v>
      </c>
      <c r="O112" s="13">
        <f>N112*VLOOKUP('Données projet'!$B$9,Paramètres!$A$1:$I$89,3,0)*VLOOKUP('Données projet'!$B$9,Paramètres!$A$1:$I$89,5,0)</f>
        <v>297.19871999999975</v>
      </c>
      <c r="P112" s="13">
        <f t="shared" si="87"/>
        <v>70.588887331631497</v>
      </c>
      <c r="Q112" s="20">
        <f t="shared" si="107"/>
        <v>640.56341610259108</v>
      </c>
      <c r="R112" s="59">
        <f t="shared" si="55"/>
        <v>933.89674943592445</v>
      </c>
      <c r="S112" s="59">
        <f ca="1">AVERAGE(OFFSET($R$3,0,0,'Données projet'!$E$9+1,1))-AVERAGE(OFFSET($H$3,0,0,'Données projet'!$E$9+1,1))</f>
        <v>328.34986205643321</v>
      </c>
      <c r="T112" s="59">
        <f t="shared" si="88"/>
        <v>251.60894449147008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61.432850387636982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61.432850387636982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5.6843418860808015E-14</v>
      </c>
      <c r="AJ112" s="13">
        <f>AI112*VLOOKUP('Données projet'!$B$10,Paramètres!$A$1:$I$89,3,0)*VLOOKUP('Données projet'!$B$10,Paramètres!$A$1:$I$89,5,0)</f>
        <v>2.8908289095852525E-14</v>
      </c>
      <c r="AK112" s="13">
        <f t="shared" si="89"/>
        <v>5.0177780569126974E-13</v>
      </c>
      <c r="AL112" s="20">
        <f t="shared" si="58"/>
        <v>9.2427828175423786E-13</v>
      </c>
      <c r="AM112" s="59">
        <f t="shared" si="59"/>
        <v>293.33333333333422</v>
      </c>
      <c r="AN112" s="59">
        <f ca="1">AVERAGE(OFFSET($AM$3,0,0,'Données projet'!$E$10+1,1))-AVERAGE(OFFSET($H$3,0,0,'Données projet'!$E$10+1,1))</f>
        <v>141.98581704643658</v>
      </c>
      <c r="AO112" s="59">
        <f t="shared" si="90"/>
        <v>396.03373990407204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19.239455415880681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4.1055457119544562E-12</v>
      </c>
      <c r="AX112" s="21">
        <f t="shared" si="60"/>
        <v>19.239455415884787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-5.6843418860808015E-14</v>
      </c>
      <c r="BE112" s="13">
        <f>BD112*VLOOKUP('Données projet'!$B$11,Paramètres!$A$1:$I$89,3,0)*VLOOKUP('Données projet'!$B$11,Paramètres!$A$1:$I$89,5,0)</f>
        <v>-3.2810021366458389E-14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122.36861947722917</v>
      </c>
      <c r="BJ112" s="59">
        <f t="shared" si="92"/>
        <v>341.51856651265109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16.665836472931847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3.5563560396362652E-12</v>
      </c>
      <c r="BS112" s="22">
        <f t="shared" si="63"/>
        <v>16.665836472935403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6">
        <f t="shared" si="56"/>
        <v>473.0723508437984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358</v>
      </c>
      <c r="L113" s="12">
        <f>VLOOKUP(A113,'Données projet'!$A$35:$I$55,9,0)</f>
        <v>5.2</v>
      </c>
      <c r="M113" s="12">
        <f t="array" ref="M113">INDEX(L:L,MIN(IF(ISNUMBER(L113:L309),ROW(L113:L309),"")))</f>
        <v>5.2</v>
      </c>
      <c r="N113" s="13">
        <f>IF('Données projet'!$A$36&gt;35,N112+M113-V112,IF(A113&lt;'Données projet'!$A$36,$K$205^A113,IF(A113='Données projet'!$A$36,'Données projet'!$B$36,N112+M113-V112)))</f>
        <v>357.99999999999966</v>
      </c>
      <c r="O113" s="13">
        <f>N113*VLOOKUP('Données projet'!$B$9,Paramètres!$A$1:$I$89,3,0)*VLOOKUP('Données projet'!$B$9,Paramètres!$A$1:$I$89,5,0)</f>
        <v>301.57919999999973</v>
      </c>
      <c r="P113" s="13">
        <f t="shared" si="87"/>
        <v>71.507423226130868</v>
      </c>
      <c r="Q113" s="20">
        <f t="shared" si="107"/>
        <v>649.79253545217739</v>
      </c>
      <c r="R113" s="59">
        <f t="shared" si="55"/>
        <v>943.12586878551065</v>
      </c>
      <c r="S113" s="59">
        <f ca="1">AVERAGE(OFFSET($R$3,0,0,'Données projet'!$E$9+1,1))-AVERAGE(OFFSET($H$3,0,0,'Données projet'!$E$9+1,1))</f>
        <v>328.34986205643321</v>
      </c>
      <c r="T113" s="59">
        <f t="shared" si="88"/>
        <v>251.60894449147008</v>
      </c>
      <c r="U113" s="15">
        <f>IF(ISNA(VLOOKUP(A113,'Données projet'!$A$35:$I$55,3,0)),0,VLOOKUP(A113,'Données projet'!$A$35:$I$55,3,0))</f>
        <v>10</v>
      </c>
      <c r="V113" s="15">
        <f>IF(ISNA(VLOOKUP(A113,'Données projet'!$A$35:$I$55,4,0)),0,VLOOKUP(A113,'Données projet'!$A$35:$I$55,4,0))</f>
        <v>51</v>
      </c>
      <c r="W113" s="16">
        <f>IF(ISNA(VLOOKUP(A113,'Données projet'!$A$35:$I$55,5,0)),0%,VLOOKUP(A113,'Données projet'!$A$35:$I$55,5,0)*VLOOKUP('Données projet'!$B$9,Paramètres!$A$1:$I$89,7,0))</f>
        <v>0.36549999999999999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77.587122623472027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77.587122623472027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5.6843418860808015E-14</v>
      </c>
      <c r="AJ113" s="13">
        <f>AI113*VLOOKUP('Données projet'!$B$10,Paramètres!$A$1:$I$89,3,0)*VLOOKUP('Données projet'!$B$10,Paramètres!$A$1:$I$89,5,0)</f>
        <v>2.8908289095852525E-14</v>
      </c>
      <c r="AK113" s="13">
        <f t="shared" si="89"/>
        <v>5.0177780569126974E-13</v>
      </c>
      <c r="AL113" s="20">
        <f t="shared" si="58"/>
        <v>9.2427828175423786E-13</v>
      </c>
      <c r="AM113" s="59">
        <f t="shared" si="59"/>
        <v>293.33333333333422</v>
      </c>
      <c r="AN113" s="59">
        <f ca="1">AVERAGE(OFFSET($AM$3,0,0,'Données projet'!$E$10+1,1))-AVERAGE(OFFSET($H$3,0,0,'Données projet'!$E$10+1,1))</f>
        <v>141.98581704643658</v>
      </c>
      <c r="AO113" s="59">
        <f t="shared" si="90"/>
        <v>396.03373990407204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18.862181430084338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2.9030592133943481E-12</v>
      </c>
      <c r="AX113" s="21">
        <f t="shared" si="60"/>
        <v>18.86218143008724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-5.6843418860808015E-14</v>
      </c>
      <c r="BE113" s="13">
        <f>BD113*VLOOKUP('Données projet'!$B$11,Paramètres!$A$1:$I$89,3,0)*VLOOKUP('Données projet'!$B$11,Paramètres!$A$1:$I$89,5,0)</f>
        <v>-3.2810021366458389E-14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122.36861947722917</v>
      </c>
      <c r="BJ113" s="59">
        <f t="shared" si="92"/>
        <v>341.51856651265109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16.339029584854178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2.5147234719405376E-12</v>
      </c>
      <c r="BS113" s="22">
        <f t="shared" si="63"/>
        <v>16.339029584856693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6">
        <f t="shared" si="56"/>
        <v>474.99075114643767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4.5</v>
      </c>
      <c r="N114" s="13">
        <f>IF('Données projet'!$A$36&gt;35,N113+M114-V113,IF(A114&lt;'Données projet'!$A$36,$K$205^A114,IF(A114='Données projet'!$A$36,'Données projet'!$B$36,N113+M114-V113)))</f>
        <v>311.49999999999966</v>
      </c>
      <c r="O114" s="13">
        <f>N114*VLOOKUP('Données projet'!$B$9,Paramètres!$A$1:$I$89,3,0)*VLOOKUP('Données projet'!$B$9,Paramètres!$A$1:$I$89,5,0)</f>
        <v>262.40759999999977</v>
      </c>
      <c r="P114" s="13">
        <f t="shared" si="87"/>
        <v>63.235305349754363</v>
      </c>
      <c r="Q114" s="20">
        <f t="shared" si="107"/>
        <v>567.16139348415504</v>
      </c>
      <c r="R114" s="59">
        <f t="shared" si="55"/>
        <v>860.4947268174883</v>
      </c>
      <c r="S114" s="59">
        <f ca="1">AVERAGE(OFFSET($R$3,0,0,'Données projet'!$E$9+1,1))-AVERAGE(OFFSET($H$3,0,0,'Données projet'!$E$9+1,1))</f>
        <v>328.34986205643321</v>
      </c>
      <c r="T114" s="59">
        <f t="shared" si="88"/>
        <v>251.60894449147008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76.065686472297742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76.065686472297742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5.6843418860808015E-14</v>
      </c>
      <c r="AJ114" s="13">
        <f>AI114*VLOOKUP('Données projet'!$B$10,Paramètres!$A$1:$I$89,3,0)*VLOOKUP('Données projet'!$B$10,Paramètres!$A$1:$I$89,5,0)</f>
        <v>2.8908289095852525E-14</v>
      </c>
      <c r="AK114" s="13">
        <f t="shared" si="89"/>
        <v>5.0177780569126974E-13</v>
      </c>
      <c r="AL114" s="20">
        <f t="shared" si="58"/>
        <v>9.2427828175423786E-13</v>
      </c>
      <c r="AM114" s="59">
        <f t="shared" si="59"/>
        <v>293.33333333333422</v>
      </c>
      <c r="AN114" s="59">
        <f ca="1">AVERAGE(OFFSET($AM$3,0,0,'Données projet'!$E$10+1,1))-AVERAGE(OFFSET($H$3,0,0,'Données projet'!$E$10+1,1))</f>
        <v>141.98581704643658</v>
      </c>
      <c r="AO114" s="59">
        <f t="shared" si="90"/>
        <v>396.03373990407204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18.492305557035053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2.0527728559772281E-12</v>
      </c>
      <c r="AX114" s="21">
        <f t="shared" si="60"/>
        <v>18.492305557037106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-5.6843418860808015E-14</v>
      </c>
      <c r="BE114" s="13">
        <f>BD114*VLOOKUP('Données projet'!$B$11,Paramètres!$A$1:$I$89,3,0)*VLOOKUP('Données projet'!$B$11,Paramètres!$A$1:$I$89,5,0)</f>
        <v>-3.2810021366458389E-14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122.36861947722917</v>
      </c>
      <c r="BJ114" s="59">
        <f t="shared" si="92"/>
        <v>341.51856651265109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16.01863118051919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1.778178019818133E-12</v>
      </c>
      <c r="BS114" s="22">
        <f t="shared" si="63"/>
        <v>16.01863118052097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6">
        <f t="shared" si="56"/>
        <v>476.90876395053112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4.5</v>
      </c>
      <c r="N115" s="13">
        <f>IF('Données projet'!$A$36&gt;35,N114+M115-V114,IF(A115&lt;'Données projet'!$A$36,$K$205^A115,IF(A115='Données projet'!$A$36,'Données projet'!$B$36,N114+M115-V114)))</f>
        <v>315.99999999999966</v>
      </c>
      <c r="O115" s="13">
        <f>N115*VLOOKUP('Données projet'!$B$9,Paramètres!$A$1:$I$89,3,0)*VLOOKUP('Données projet'!$B$9,Paramètres!$A$1:$I$89,5,0)</f>
        <v>266.19839999999971</v>
      </c>
      <c r="P115" s="13">
        <f t="shared" si="87"/>
        <v>64.041809198373159</v>
      </c>
      <c r="Q115" s="20">
        <f t="shared" si="107"/>
        <v>575.16836435383277</v>
      </c>
      <c r="R115" s="59">
        <f t="shared" si="55"/>
        <v>868.50169768716614</v>
      </c>
      <c r="S115" s="59">
        <f ca="1">AVERAGE(OFFSET($R$3,0,0,'Données projet'!$E$9+1,1))-AVERAGE(OFFSET($H$3,0,0,'Données projet'!$E$9+1,1))</f>
        <v>328.34986205643321</v>
      </c>
      <c r="T115" s="59">
        <f t="shared" si="88"/>
        <v>251.60894449147008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74.574084756063556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74.574084756063556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5.6843418860808015E-14</v>
      </c>
      <c r="AJ115" s="13">
        <f>AI115*VLOOKUP('Données projet'!$B$10,Paramètres!$A$1:$I$89,3,0)*VLOOKUP('Données projet'!$B$10,Paramètres!$A$1:$I$89,5,0)</f>
        <v>2.8908289095852525E-14</v>
      </c>
      <c r="AK115" s="13">
        <f t="shared" si="89"/>
        <v>5.0177780569126974E-13</v>
      </c>
      <c r="AL115" s="20">
        <f t="shared" si="58"/>
        <v>9.2427828175423786E-13</v>
      </c>
      <c r="AM115" s="59">
        <f t="shared" si="59"/>
        <v>293.33333333333422</v>
      </c>
      <c r="AN115" s="59">
        <f ca="1">AVERAGE(OFFSET($AM$3,0,0,'Données projet'!$E$10+1,1))-AVERAGE(OFFSET($H$3,0,0,'Données projet'!$E$10+1,1))</f>
        <v>141.98581704643658</v>
      </c>
      <c r="AO115" s="59">
        <f t="shared" si="90"/>
        <v>396.03373990407204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18.129682724254259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1.4515296066971741E-12</v>
      </c>
      <c r="AX115" s="21">
        <f t="shared" si="60"/>
        <v>18.129682724255712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-5.6843418860808015E-14</v>
      </c>
      <c r="BE115" s="13">
        <f>BD115*VLOOKUP('Données projet'!$B$11,Paramètres!$A$1:$I$89,3,0)*VLOOKUP('Données projet'!$B$11,Paramètres!$A$1:$I$89,5,0)</f>
        <v>-3.2810021366458389E-14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122.36861947722917</v>
      </c>
      <c r="BJ115" s="59">
        <f t="shared" si="92"/>
        <v>341.51856651265109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15.704515593469482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1.257361735970269E-12</v>
      </c>
      <c r="BS115" s="22">
        <f t="shared" si="63"/>
        <v>15.70451559347074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6">
        <f t="shared" si="56"/>
        <v>478.82639311670562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4.5</v>
      </c>
      <c r="N116" s="13">
        <f>IF('Données projet'!$A$36&gt;35,N115+M116-V115,IF(A116&lt;'Données projet'!$A$36,$K$205^A116,IF(A116='Données projet'!$A$36,'Données projet'!$B$36,N115+M116-V115)))</f>
        <v>320.49999999999966</v>
      </c>
      <c r="O116" s="13">
        <f>N116*VLOOKUP('Données projet'!$B$9,Paramètres!$A$1:$I$89,3,0)*VLOOKUP('Données projet'!$B$9,Paramètres!$A$1:$I$89,5,0)</f>
        <v>269.98919999999976</v>
      </c>
      <c r="P116" s="13">
        <f t="shared" si="87"/>
        <v>64.846977249929026</v>
      </c>
      <c r="Q116" s="20">
        <f t="shared" si="107"/>
        <v>583.17300871029261</v>
      </c>
      <c r="R116" s="59">
        <f t="shared" si="55"/>
        <v>876.50634204362586</v>
      </c>
      <c r="S116" s="59">
        <f ca="1">AVERAGE(OFFSET($R$3,0,0,'Données projet'!$E$9+1,1))-AVERAGE(OFFSET($H$3,0,0,'Données projet'!$E$9+1,1))</f>
        <v>328.34986205643321</v>
      </c>
      <c r="T116" s="59">
        <f t="shared" si="88"/>
        <v>251.60894449147008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73.111732439697505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73.111732439697505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5.6843418860808015E-14</v>
      </c>
      <c r="AJ116" s="13">
        <f>AI116*VLOOKUP('Données projet'!$B$10,Paramètres!$A$1:$I$89,3,0)*VLOOKUP('Données projet'!$B$10,Paramètres!$A$1:$I$89,5,0)</f>
        <v>2.8908289095852525E-14</v>
      </c>
      <c r="AK116" s="13">
        <f t="shared" si="89"/>
        <v>5.0177780569126974E-13</v>
      </c>
      <c r="AL116" s="20">
        <f t="shared" si="58"/>
        <v>9.2427828175423786E-13</v>
      </c>
      <c r="AM116" s="59">
        <f t="shared" si="59"/>
        <v>293.33333333333422</v>
      </c>
      <c r="AN116" s="59">
        <f ca="1">AVERAGE(OFFSET($AM$3,0,0,'Données projet'!$E$10+1,1))-AVERAGE(OFFSET($H$3,0,0,'Données projet'!$E$10+1,1))</f>
        <v>141.98581704643658</v>
      </c>
      <c r="AO116" s="59">
        <f t="shared" si="90"/>
        <v>396.03373990407204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17.774170704046206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1.026386427988614E-12</v>
      </c>
      <c r="AX116" s="21">
        <f t="shared" si="60"/>
        <v>17.774170704047233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-5.6843418860808015E-14</v>
      </c>
      <c r="BE116" s="13">
        <f>BD116*VLOOKUP('Données projet'!$B$11,Paramètres!$A$1:$I$89,3,0)*VLOOKUP('Données projet'!$B$11,Paramètres!$A$1:$I$89,5,0)</f>
        <v>-3.2810021366458389E-14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122.36861947722917</v>
      </c>
      <c r="BJ116" s="59">
        <f t="shared" si="92"/>
        <v>341.51856651265109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15.396559621490228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8.8908900990906659E-13</v>
      </c>
      <c r="BS116" s="22">
        <f t="shared" si="63"/>
        <v>15.396559621491118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6">
        <f t="shared" si="56"/>
        <v>480.74364243331581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4.5</v>
      </c>
      <c r="N117" s="13">
        <f>IF('Données projet'!$A$36&gt;35,N116+M117-V116,IF(A117&lt;'Données projet'!$A$36,$K$205^A117,IF(A117='Données projet'!$A$36,'Données projet'!$B$36,N116+M117-V116)))</f>
        <v>324.99999999999966</v>
      </c>
      <c r="O117" s="13">
        <f>N117*VLOOKUP('Données projet'!$B$9,Paramètres!$A$1:$I$89,3,0)*VLOOKUP('Données projet'!$B$9,Paramètres!$A$1:$I$89,5,0)</f>
        <v>273.77999999999975</v>
      </c>
      <c r="P117" s="13">
        <f t="shared" si="87"/>
        <v>65.650830427167435</v>
      </c>
      <c r="Q117" s="20">
        <f t="shared" si="107"/>
        <v>591.17536299398284</v>
      </c>
      <c r="R117" s="59">
        <f t="shared" si="55"/>
        <v>884.5086963273161</v>
      </c>
      <c r="S117" s="59">
        <f ca="1">AVERAGE(OFFSET($R$3,0,0,'Données projet'!$E$9+1,1))-AVERAGE(OFFSET($H$3,0,0,'Données projet'!$E$9+1,1))</f>
        <v>328.34986205643321</v>
      </c>
      <c r="T117" s="59">
        <f t="shared" si="88"/>
        <v>251.60894449147008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71.678055960308555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71.678055960308555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5.6843418860808015E-14</v>
      </c>
      <c r="AJ117" s="13">
        <f>AI117*VLOOKUP('Données projet'!$B$10,Paramètres!$A$1:$I$89,3,0)*VLOOKUP('Données projet'!$B$10,Paramètres!$A$1:$I$89,5,0)</f>
        <v>2.8908289095852525E-14</v>
      </c>
      <c r="AK117" s="13">
        <f t="shared" si="89"/>
        <v>5.0177780569126974E-13</v>
      </c>
      <c r="AL117" s="20">
        <f t="shared" si="58"/>
        <v>9.2427828175423786E-13</v>
      </c>
      <c r="AM117" s="59">
        <f t="shared" si="59"/>
        <v>293.33333333333422</v>
      </c>
      <c r="AN117" s="59">
        <f ca="1">AVERAGE(OFFSET($AM$3,0,0,'Données projet'!$E$10+1,1))-AVERAGE(OFFSET($H$3,0,0,'Données projet'!$E$10+1,1))</f>
        <v>141.98581704643658</v>
      </c>
      <c r="AO117" s="59">
        <f t="shared" si="90"/>
        <v>396.03373990407204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17.425630057713512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7.2576480334858704E-13</v>
      </c>
      <c r="AX117" s="21">
        <f t="shared" si="60"/>
        <v>17.425630057714237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-5.6843418860808015E-14</v>
      </c>
      <c r="BE117" s="13">
        <f>BD117*VLOOKUP('Données projet'!$B$11,Paramètres!$A$1:$I$89,3,0)*VLOOKUP('Données projet'!$B$11,Paramètres!$A$1:$I$89,5,0)</f>
        <v>-3.2810021366458389E-14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122.36861947722917</v>
      </c>
      <c r="BJ117" s="59">
        <f t="shared" si="92"/>
        <v>341.51856651265109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15.094642478286891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6.286808679851346E-13</v>
      </c>
      <c r="BS117" s="22">
        <f t="shared" si="63"/>
        <v>15.09464247828752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6">
        <f t="shared" si="56"/>
        <v>482.66051561841903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4.5</v>
      </c>
      <c r="N118" s="13">
        <f>IF('Données projet'!$A$36&gt;35,N117+M118-V117,IF(A118&lt;'Données projet'!$A$36,$K$205^A118,IF(A118='Données projet'!$A$36,'Données projet'!$B$36,N117+M118-V117)))</f>
        <v>329.49999999999966</v>
      </c>
      <c r="O118" s="13">
        <f>N118*VLOOKUP('Données projet'!$B$9,Paramètres!$A$1:$I$89,3,0)*VLOOKUP('Données projet'!$B$9,Paramètres!$A$1:$I$89,5,0)</f>
        <v>277.57079999999974</v>
      </c>
      <c r="P118" s="13">
        <f t="shared" si="87"/>
        <v>66.453389040149148</v>
      </c>
      <c r="Q118" s="20">
        <f t="shared" si="107"/>
        <v>599.17546257825927</v>
      </c>
      <c r="R118" s="59">
        <f t="shared" si="55"/>
        <v>892.50879591159264</v>
      </c>
      <c r="S118" s="59">
        <f ca="1">AVERAGE(OFFSET($R$3,0,0,'Données projet'!$E$9+1,1))-AVERAGE(OFFSET($H$3,0,0,'Données projet'!$E$9+1,1))</f>
        <v>328.34986205643321</v>
      </c>
      <c r="T118" s="59">
        <f t="shared" si="88"/>
        <v>251.60894449147008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70.272493002224124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70.272493002224124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5.6843418860808015E-14</v>
      </c>
      <c r="AJ118" s="13">
        <f>AI118*VLOOKUP('Données projet'!$B$10,Paramètres!$A$1:$I$89,3,0)*VLOOKUP('Données projet'!$B$10,Paramètres!$A$1:$I$89,5,0)</f>
        <v>2.8908289095852525E-14</v>
      </c>
      <c r="AK118" s="13">
        <f t="shared" si="89"/>
        <v>5.0177780569126974E-13</v>
      </c>
      <c r="AL118" s="20">
        <f t="shared" si="58"/>
        <v>9.2427828175423786E-13</v>
      </c>
      <c r="AM118" s="59">
        <f t="shared" si="59"/>
        <v>293.33333333333422</v>
      </c>
      <c r="AN118" s="59">
        <f ca="1">AVERAGE(OFFSET($AM$3,0,0,'Données projet'!$E$10+1,1))-AVERAGE(OFFSET($H$3,0,0,'Données projet'!$E$10+1,1))</f>
        <v>141.98581704643658</v>
      </c>
      <c r="AO118" s="59">
        <f t="shared" si="90"/>
        <v>396.03373990407204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17.083924080866598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5.1319321399430702E-13</v>
      </c>
      <c r="AX118" s="21">
        <f t="shared" si="60"/>
        <v>17.08392408086711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-5.6843418860808015E-14</v>
      </c>
      <c r="BE118" s="13">
        <f>BD118*VLOOKUP('Données projet'!$B$11,Paramètres!$A$1:$I$89,3,0)*VLOOKUP('Données projet'!$B$11,Paramètres!$A$1:$I$89,5,0)</f>
        <v>-3.2810021366458389E-14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122.36861947722917</v>
      </c>
      <c r="BJ118" s="59">
        <f t="shared" si="92"/>
        <v>341.51856651265109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14.798645746110498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4.445445049545334E-13</v>
      </c>
      <c r="BS118" s="22">
        <f t="shared" si="63"/>
        <v>14.798645746110942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6">
        <f t="shared" si="56"/>
        <v>484.57701632167959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4.5</v>
      </c>
      <c r="N119" s="13">
        <f>IF('Données projet'!$A$36&gt;35,N118+M119-V118,IF(A119&lt;'Données projet'!$A$36,$K$205^A119,IF(A119='Données projet'!$A$36,'Données projet'!$B$36,N118+M119-V118)))</f>
        <v>333.99999999999966</v>
      </c>
      <c r="O119" s="13">
        <f>N119*VLOOKUP('Données projet'!$B$9,Paramètres!$A$1:$I$89,3,0)*VLOOKUP('Données projet'!$B$9,Paramètres!$A$1:$I$89,5,0)</f>
        <v>281.36159999999973</v>
      </c>
      <c r="P119" s="13">
        <f t="shared" si="87"/>
        <v>67.254672812309238</v>
      </c>
      <c r="Q119" s="20">
        <f t="shared" si="107"/>
        <v>607.17334181477145</v>
      </c>
      <c r="R119" s="59">
        <f t="shared" si="55"/>
        <v>900.5066751481047</v>
      </c>
      <c r="S119" s="59">
        <f ca="1">AVERAGE(OFFSET($R$3,0,0,'Données projet'!$E$9+1,1))-AVERAGE(OFFSET($H$3,0,0,'Données projet'!$E$9+1,1))</f>
        <v>328.34986205643321</v>
      </c>
      <c r="T119" s="59">
        <f t="shared" si="88"/>
        <v>251.60894449147008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68.894492276438967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68.894492276438967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5.6843418860808015E-14</v>
      </c>
      <c r="AJ119" s="13">
        <f>AI119*VLOOKUP('Données projet'!$B$10,Paramètres!$A$1:$I$89,3,0)*VLOOKUP('Données projet'!$B$10,Paramètres!$A$1:$I$89,5,0)</f>
        <v>2.8908289095852525E-14</v>
      </c>
      <c r="AK119" s="13">
        <f t="shared" si="89"/>
        <v>5.0177780569126974E-13</v>
      </c>
      <c r="AL119" s="20">
        <f t="shared" si="58"/>
        <v>9.2427828175423786E-13</v>
      </c>
      <c r="AM119" s="59">
        <f t="shared" si="59"/>
        <v>293.33333333333422</v>
      </c>
      <c r="AN119" s="59">
        <f ca="1">AVERAGE(OFFSET($AM$3,0,0,'Données projet'!$E$10+1,1))-AVERAGE(OFFSET($H$3,0,0,'Données projet'!$E$10+1,1))</f>
        <v>141.98581704643658</v>
      </c>
      <c r="AO119" s="59">
        <f t="shared" si="90"/>
        <v>396.03373990407204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16.748918749805586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3.6288240167429352E-13</v>
      </c>
      <c r="AX119" s="21">
        <f t="shared" si="60"/>
        <v>16.748918749805949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-5.6843418860808015E-14</v>
      </c>
      <c r="BE119" s="13">
        <f>BD119*VLOOKUP('Données projet'!$B$11,Paramètres!$A$1:$I$89,3,0)*VLOOKUP('Données projet'!$B$11,Paramètres!$A$1:$I$89,5,0)</f>
        <v>-3.2810021366458389E-14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122.36861947722917</v>
      </c>
      <c r="BJ119" s="59">
        <f t="shared" si="92"/>
        <v>341.51856651265109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14.508453329311905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3.1434043399256735E-13</v>
      </c>
      <c r="BS119" s="22">
        <f t="shared" si="63"/>
        <v>14.50845332931222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6">
        <f t="shared" si="56"/>
        <v>486.49314812620531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4.5</v>
      </c>
      <c r="N120" s="13">
        <f>IF('Données projet'!$A$36&gt;35,N119+M120-V119,IF(A120&lt;'Données projet'!$A$36,$K$205^A120,IF(A120='Données projet'!$A$36,'Données projet'!$B$36,N119+M120-V119)))</f>
        <v>338.49999999999966</v>
      </c>
      <c r="O120" s="13">
        <f>N120*VLOOKUP('Données projet'!$B$9,Paramètres!$A$1:$I$89,3,0)*VLOOKUP('Données projet'!$B$9,Paramètres!$A$1:$I$89,5,0)</f>
        <v>285.15239999999972</v>
      </c>
      <c r="P120" s="13">
        <f t="shared" si="87"/>
        <v>68.054700905071442</v>
      </c>
      <c r="Q120" s="20">
        <f t="shared" si="107"/>
        <v>615.1690340763322</v>
      </c>
      <c r="R120" s="59">
        <f t="shared" si="55"/>
        <v>908.50236740966557</v>
      </c>
      <c r="S120" s="59">
        <f ca="1">AVERAGE(OFFSET($R$3,0,0,'Données projet'!$E$9+1,1))-AVERAGE(OFFSET($H$3,0,0,'Données projet'!$E$9+1,1))</f>
        <v>328.34986205643321</v>
      </c>
      <c r="T120" s="59">
        <f t="shared" si="88"/>
        <v>251.60894449147008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67.543513304389009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67.543513304389009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5.6843418860808015E-14</v>
      </c>
      <c r="AJ120" s="13">
        <f>AI120*VLOOKUP('Données projet'!$B$10,Paramètres!$A$1:$I$89,3,0)*VLOOKUP('Données projet'!$B$10,Paramètres!$A$1:$I$89,5,0)</f>
        <v>2.8908289095852525E-14</v>
      </c>
      <c r="AK120" s="13">
        <f t="shared" si="89"/>
        <v>5.0177780569126974E-13</v>
      </c>
      <c r="AL120" s="20">
        <f t="shared" si="58"/>
        <v>9.2427828175423786E-13</v>
      </c>
      <c r="AM120" s="59">
        <f t="shared" si="59"/>
        <v>293.33333333333422</v>
      </c>
      <c r="AN120" s="59">
        <f ca="1">AVERAGE(OFFSET($AM$3,0,0,'Données projet'!$E$10+1,1))-AVERAGE(OFFSET($H$3,0,0,'Données projet'!$E$10+1,1))</f>
        <v>141.98581704643658</v>
      </c>
      <c r="AO120" s="59">
        <f t="shared" si="90"/>
        <v>396.03373990407204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16.420482668953607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2.5659660699715351E-13</v>
      </c>
      <c r="AX120" s="21">
        <f t="shared" si="60"/>
        <v>16.420482668953863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-5.6843418860808015E-14</v>
      </c>
      <c r="BE120" s="13">
        <f>BD120*VLOOKUP('Données projet'!$B$11,Paramètres!$A$1:$I$89,3,0)*VLOOKUP('Données projet'!$B$11,Paramètres!$A$1:$I$89,5,0)</f>
        <v>-3.2810021366458389E-14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122.36861947722917</v>
      </c>
      <c r="BJ120" s="59">
        <f t="shared" si="92"/>
        <v>341.51856651265109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14.223951408806835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2.2227225247726672E-13</v>
      </c>
      <c r="BS120" s="22">
        <f t="shared" si="63"/>
        <v>14.223951408807057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6">
        <f t="shared" si="56"/>
        <v>488.40891455031931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4.5</v>
      </c>
      <c r="N121" s="13">
        <f>IF('Données projet'!$A$36&gt;35,N120+M121-V120,IF(A121&lt;'Données projet'!$A$36,$K$205^A121,IF(A121='Données projet'!$A$36,'Données projet'!$B$36,N120+M121-V120)))</f>
        <v>342.99999999999966</v>
      </c>
      <c r="O121" s="13">
        <f>N121*VLOOKUP('Données projet'!$B$9,Paramètres!$A$1:$I$89,3,0)*VLOOKUP('Données projet'!$B$9,Paramètres!$A$1:$I$89,5,0)</f>
        <v>288.94319999999976</v>
      </c>
      <c r="P121" s="13">
        <f t="shared" si="87"/>
        <v>68.853491941116658</v>
      </c>
      <c r="Q121" s="20">
        <f t="shared" si="107"/>
        <v>623.16257179744446</v>
      </c>
      <c r="R121" s="59">
        <f t="shared" si="55"/>
        <v>916.49590513077783</v>
      </c>
      <c r="S121" s="59">
        <f ca="1">AVERAGE(OFFSET($R$3,0,0,'Données projet'!$E$9+1,1))-AVERAGE(OFFSET($H$3,0,0,'Données projet'!$E$9+1,1))</f>
        <v>328.34986205643321</v>
      </c>
      <c r="T121" s="59">
        <f t="shared" si="88"/>
        <v>251.60894449147008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66.21902620596515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66.21902620596515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5.6843418860808015E-14</v>
      </c>
      <c r="AJ121" s="13">
        <f>AI121*VLOOKUP('Données projet'!$B$10,Paramètres!$A$1:$I$89,3,0)*VLOOKUP('Données projet'!$B$10,Paramètres!$A$1:$I$89,5,0)</f>
        <v>2.8908289095852525E-14</v>
      </c>
      <c r="AK121" s="13">
        <f t="shared" si="89"/>
        <v>5.0177780569126974E-13</v>
      </c>
      <c r="AL121" s="20">
        <f t="shared" si="58"/>
        <v>9.2427828175423786E-13</v>
      </c>
      <c r="AM121" s="59">
        <f t="shared" si="59"/>
        <v>293.33333333333422</v>
      </c>
      <c r="AN121" s="59">
        <f ca="1">AVERAGE(OFFSET($AM$3,0,0,'Données projet'!$E$10+1,1))-AVERAGE(OFFSET($H$3,0,0,'Données projet'!$E$10+1,1))</f>
        <v>141.98581704643658</v>
      </c>
      <c r="AO121" s="59">
        <f t="shared" si="90"/>
        <v>396.03373990407204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16.098487019320906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1.8144120083714676E-13</v>
      </c>
      <c r="AX121" s="21">
        <f t="shared" si="60"/>
        <v>16.098487019321087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-5.6843418860808015E-14</v>
      </c>
      <c r="BE121" s="13">
        <f>BD121*VLOOKUP('Données projet'!$B$11,Paramètres!$A$1:$I$89,3,0)*VLOOKUP('Données projet'!$B$11,Paramètres!$A$1:$I$89,5,0)</f>
        <v>-3.2810021366458389E-14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122.36861947722917</v>
      </c>
      <c r="BJ121" s="59">
        <f t="shared" si="92"/>
        <v>341.51856651265109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13.945028397433832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1.571702169962837E-13</v>
      </c>
      <c r="BS121" s="22">
        <f t="shared" si="63"/>
        <v>13.945028397433989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6">
        <f t="shared" si="56"/>
        <v>490.32431904927057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4.5</v>
      </c>
      <c r="N122" s="13">
        <f>IF('Données projet'!$A$36&gt;35,N121+M122-V121,IF(A122&lt;'Données projet'!$A$36,$K$205^A122,IF(A122='Données projet'!$A$36,'Données projet'!$B$36,N121+M122-V121)))</f>
        <v>347.49999999999966</v>
      </c>
      <c r="O122" s="13">
        <f>N122*VLOOKUP('Données projet'!$B$9,Paramètres!$A$1:$I$89,3,0)*VLOOKUP('Données projet'!$B$9,Paramètres!$A$1:$I$89,5,0)</f>
        <v>292.73399999999975</v>
      </c>
      <c r="P122" s="13">
        <f t="shared" si="87"/>
        <v>69.651064026395574</v>
      </c>
      <c r="Q122" s="20">
        <f t="shared" si="107"/>
        <v>631.15398651263843</v>
      </c>
      <c r="R122" s="59">
        <f t="shared" si="55"/>
        <v>924.4873198459718</v>
      </c>
      <c r="S122" s="59">
        <f ca="1">AVERAGE(OFFSET($R$3,0,0,'Données projet'!$E$9+1,1))-AVERAGE(OFFSET($H$3,0,0,'Données projet'!$E$9+1,1))</f>
        <v>328.34986205643321</v>
      </c>
      <c r="T122" s="59">
        <f t="shared" si="88"/>
        <v>251.60894449147008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64.92051149168401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64.92051149168401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5.6843418860808015E-14</v>
      </c>
      <c r="AJ122" s="13">
        <f>AI122*VLOOKUP('Données projet'!$B$10,Paramètres!$A$1:$I$89,3,0)*VLOOKUP('Données projet'!$B$10,Paramètres!$A$1:$I$89,5,0)</f>
        <v>2.8908289095852525E-14</v>
      </c>
      <c r="AK122" s="13">
        <f t="shared" si="89"/>
        <v>5.0177780569126974E-13</v>
      </c>
      <c r="AL122" s="20">
        <f t="shared" si="58"/>
        <v>9.2427828175423786E-13</v>
      </c>
      <c r="AM122" s="59">
        <f t="shared" si="59"/>
        <v>293.33333333333422</v>
      </c>
      <c r="AN122" s="59">
        <f ca="1">AVERAGE(OFFSET($AM$3,0,0,'Données projet'!$E$10+1,1))-AVERAGE(OFFSET($H$3,0,0,'Données projet'!$E$10+1,1))</f>
        <v>141.98581704643658</v>
      </c>
      <c r="AO122" s="59">
        <f t="shared" si="90"/>
        <v>396.03373990407204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15.782805507979548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1.2829830349857676E-13</v>
      </c>
      <c r="AX122" s="21">
        <f t="shared" si="60"/>
        <v>15.782805507979676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-5.6843418860808015E-14</v>
      </c>
      <c r="BE122" s="13">
        <f>BD122*VLOOKUP('Données projet'!$B$11,Paramètres!$A$1:$I$89,3,0)*VLOOKUP('Données projet'!$B$11,Paramètres!$A$1:$I$89,5,0)</f>
        <v>-3.2810021366458389E-14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122.36861947722917</v>
      </c>
      <c r="BJ122" s="59">
        <f t="shared" si="92"/>
        <v>341.51856651265109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13.671574896187616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1.1113612623863337E-13</v>
      </c>
      <c r="BS122" s="22">
        <f t="shared" si="63"/>
        <v>13.671574896187728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6">
        <f t="shared" si="56"/>
        <v>492.23936501688451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352</v>
      </c>
      <c r="L123" s="12">
        <f>VLOOKUP(A123,'Données projet'!$A$35:$I$55,9,0)</f>
        <v>4.5</v>
      </c>
      <c r="M123" s="12">
        <f t="array" ref="M123">INDEX(L:L,MIN(IF(ISNUMBER(L123:L319),ROW(L123:L319),"")))</f>
        <v>4.5</v>
      </c>
      <c r="N123" s="13">
        <f>IF('Données projet'!$A$36&gt;35,N122+M123-V122,IF(A123&lt;'Données projet'!$A$36,$K$205^A123,IF(A123='Données projet'!$A$36,'Données projet'!$B$36,N122+M123-V122)))</f>
        <v>351.99999999999966</v>
      </c>
      <c r="O123" s="13">
        <f>N123*VLOOKUP('Données projet'!$B$9,Paramètres!$A$1:$I$89,3,0)*VLOOKUP('Données projet'!$B$9,Paramètres!$A$1:$I$89,5,0)</f>
        <v>296.52479999999974</v>
      </c>
      <c r="P123" s="13">
        <f t="shared" si="87"/>
        <v>70.447434770968471</v>
      </c>
      <c r="Q123" s="20">
        <f t="shared" si="107"/>
        <v>639.1433088927696</v>
      </c>
      <c r="R123" s="59">
        <f t="shared" si="55"/>
        <v>932.47664222610297</v>
      </c>
      <c r="S123" s="59">
        <f ca="1">AVERAGE(OFFSET($R$3,0,0,'Données projet'!$E$9+1,1))-AVERAGE(OFFSET($H$3,0,0,'Données projet'!$E$9+1,1))</f>
        <v>328.34986205643321</v>
      </c>
      <c r="T123" s="59">
        <f t="shared" si="88"/>
        <v>251.60894449147008</v>
      </c>
      <c r="U123" s="15">
        <f>IF(ISNA(VLOOKUP(A123,'Données projet'!$A$35:$I$55,3,0)),0,VLOOKUP(A123,'Données projet'!$A$35:$I$55,3,0))</f>
        <v>11</v>
      </c>
      <c r="V123" s="15">
        <f>IF(ISNA(VLOOKUP(A123,'Données projet'!$A$35:$I$55,4,0)),0,VLOOKUP(A123,'Données projet'!$A$35:$I$55,4,0))</f>
        <v>47</v>
      </c>
      <c r="W123" s="16">
        <f>IF(ISNA(VLOOKUP(A123,'Données projet'!$A$35:$I$55,5,0)),0%,VLOOKUP(A123,'Données projet'!$A$35:$I$55,5,0)*VLOOKUP('Données projet'!$B$9,Paramètres!$A$1:$I$89,7,0))</f>
        <v>0.36549999999999999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79.644907882367391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79.644907882367391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5.6843418860808015E-14</v>
      </c>
      <c r="AJ123" s="13">
        <f>AI123*VLOOKUP('Données projet'!$B$10,Paramètres!$A$1:$I$89,3,0)*VLOOKUP('Données projet'!$B$10,Paramètres!$A$1:$I$89,5,0)</f>
        <v>2.8908289095852525E-14</v>
      </c>
      <c r="AK123" s="13">
        <f t="shared" si="89"/>
        <v>5.0177780569126974E-13</v>
      </c>
      <c r="AL123" s="20">
        <f t="shared" si="58"/>
        <v>9.2427828175423786E-13</v>
      </c>
      <c r="AM123" s="59">
        <f t="shared" si="59"/>
        <v>293.33333333333422</v>
      </c>
      <c r="AN123" s="59">
        <f ca="1">AVERAGE(OFFSET($AM$3,0,0,'Données projet'!$E$10+1,1))-AVERAGE(OFFSET($H$3,0,0,'Données projet'!$E$10+1,1))</f>
        <v>141.98581704643658</v>
      </c>
      <c r="AO123" s="59">
        <f t="shared" si="90"/>
        <v>396.03373990407204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15.473314318528885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9.0720600418573379E-14</v>
      </c>
      <c r="AX123" s="21">
        <f t="shared" si="60"/>
        <v>15.473314318528976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-5.6843418860808015E-14</v>
      </c>
      <c r="BE123" s="13">
        <f>BD123*VLOOKUP('Données projet'!$B$11,Paramètres!$A$1:$I$89,3,0)*VLOOKUP('Données projet'!$B$11,Paramètres!$A$1:$I$89,5,0)</f>
        <v>-3.2810021366458389E-14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122.36861947722917</v>
      </c>
      <c r="BJ123" s="59">
        <f t="shared" si="92"/>
        <v>341.51856651265109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13.403483651310673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7.8585108498141863E-14</v>
      </c>
      <c r="BS123" s="22">
        <f t="shared" si="63"/>
        <v>13.403483651310751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6">
        <f t="shared" si="56"/>
        <v>494.15405578715797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4.0999999999999996</v>
      </c>
      <c r="N124" s="13">
        <f>IF('Données projet'!$A$36&gt;35,N123+M124-V123,IF(A124&lt;'Données projet'!$A$36,$K$205^A124,IF(A124='Données projet'!$A$36,'Données projet'!$B$36,N123+M124-V123)))</f>
        <v>309.09999999999968</v>
      </c>
      <c r="O124" s="13">
        <f>N124*VLOOKUP('Données projet'!$B$9,Paramètres!$A$1:$I$89,3,0)*VLOOKUP('Données projet'!$B$9,Paramètres!$A$1:$I$89,5,0)</f>
        <v>260.38583999999975</v>
      </c>
      <c r="P124" s="13">
        <f t="shared" si="87"/>
        <v>62.804616352490115</v>
      </c>
      <c r="Q124" s="20">
        <f t="shared" si="107"/>
        <v>562.89004481391976</v>
      </c>
      <c r="R124" s="59">
        <f t="shared" si="55"/>
        <v>856.22337814725302</v>
      </c>
      <c r="S124" s="59">
        <f ca="1">AVERAGE(OFFSET($R$3,0,0,'Données projet'!$E$9+1,1))-AVERAGE(OFFSET($H$3,0,0,'Données projet'!$E$9+1,1))</f>
        <v>328.34986205643321</v>
      </c>
      <c r="T124" s="59">
        <f t="shared" si="88"/>
        <v>251.60894449147008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78.083119817391236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78.083119817391236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5.6843418860808015E-14</v>
      </c>
      <c r="AJ124" s="13">
        <f>AI124*VLOOKUP('Données projet'!$B$10,Paramètres!$A$1:$I$89,3,0)*VLOOKUP('Données projet'!$B$10,Paramètres!$A$1:$I$89,5,0)</f>
        <v>2.8908289095852525E-14</v>
      </c>
      <c r="AK124" s="13">
        <f t="shared" si="89"/>
        <v>5.0177780569126974E-13</v>
      </c>
      <c r="AL124" s="20">
        <f t="shared" si="58"/>
        <v>9.2427828175423786E-13</v>
      </c>
      <c r="AM124" s="59">
        <f t="shared" si="59"/>
        <v>293.33333333333422</v>
      </c>
      <c r="AN124" s="59">
        <f ca="1">AVERAGE(OFFSET($AM$3,0,0,'Données projet'!$E$10+1,1))-AVERAGE(OFFSET($H$3,0,0,'Données projet'!$E$10+1,1))</f>
        <v>141.98581704643658</v>
      </c>
      <c r="AO124" s="59">
        <f t="shared" si="90"/>
        <v>396.03373990407204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15.169892062532364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6.4149151749288378E-14</v>
      </c>
      <c r="AX124" s="21">
        <f t="shared" si="60"/>
        <v>15.169892062532428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-5.6843418860808015E-14</v>
      </c>
      <c r="BE124" s="13">
        <f>BD124*VLOOKUP('Données projet'!$B$11,Paramètres!$A$1:$I$89,3,0)*VLOOKUP('Données projet'!$B$11,Paramètres!$A$1:$I$89,5,0)</f>
        <v>-3.2810021366458389E-14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122.36861947722917</v>
      </c>
      <c r="BJ124" s="59">
        <f t="shared" si="92"/>
        <v>341.51856651265109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13.140649512226252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5.55680631193167E-14</v>
      </c>
      <c r="BS124" s="22">
        <f t="shared" si="63"/>
        <v>13.140649512226307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6">
        <f t="shared" si="56"/>
        <v>496.06839463579934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4.0999999999999996</v>
      </c>
      <c r="N125" s="13">
        <f>IF('Données projet'!$A$36&gt;35,N124+M125-V124,IF(A125&lt;'Données projet'!$A$36,$K$205^A125,IF(A125='Données projet'!$A$36,'Données projet'!$B$36,N124+M125-V124)))</f>
        <v>313.1999999999997</v>
      </c>
      <c r="O125" s="13">
        <f>N125*VLOOKUP('Données projet'!$B$9,Paramètres!$A$1:$I$89,3,0)*VLOOKUP('Données projet'!$B$9,Paramètres!$A$1:$I$89,5,0)</f>
        <v>263.83967999999976</v>
      </c>
      <c r="P125" s="13">
        <f t="shared" si="87"/>
        <v>63.540142934904779</v>
      </c>
      <c r="Q125" s="20">
        <f t="shared" si="107"/>
        <v>570.18652494495871</v>
      </c>
      <c r="R125" s="59">
        <f t="shared" si="55"/>
        <v>863.51985827829208</v>
      </c>
      <c r="S125" s="59">
        <f ca="1">AVERAGE(OFFSET($R$3,0,0,'Données projet'!$E$9+1,1))-AVERAGE(OFFSET($H$3,0,0,'Données projet'!$E$9+1,1))</f>
        <v>328.34986205643321</v>
      </c>
      <c r="T125" s="59">
        <f t="shared" si="88"/>
        <v>251.60894449147008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76.551957463772609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76.551957463772609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5.6843418860808015E-14</v>
      </c>
      <c r="AJ125" s="13">
        <f>AI125*VLOOKUP('Données projet'!$B$10,Paramètres!$A$1:$I$89,3,0)*VLOOKUP('Données projet'!$B$10,Paramètres!$A$1:$I$89,5,0)</f>
        <v>2.8908289095852525E-14</v>
      </c>
      <c r="AK125" s="13">
        <f t="shared" si="89"/>
        <v>5.0177780569126974E-13</v>
      </c>
      <c r="AL125" s="20">
        <f t="shared" si="58"/>
        <v>9.2427828175423786E-13</v>
      </c>
      <c r="AM125" s="59">
        <f t="shared" si="59"/>
        <v>293.33333333333422</v>
      </c>
      <c r="AN125" s="59">
        <f ca="1">AVERAGE(OFFSET($AM$3,0,0,'Données projet'!$E$10+1,1))-AVERAGE(OFFSET($H$3,0,0,'Données projet'!$E$10+1,1))</f>
        <v>141.98581704643658</v>
      </c>
      <c r="AO125" s="59">
        <f t="shared" si="90"/>
        <v>396.03373990407204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14.872419731906632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4.536030020928669E-14</v>
      </c>
      <c r="AX125" s="21">
        <f t="shared" si="60"/>
        <v>14.872419731906678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-5.6843418860808015E-14</v>
      </c>
      <c r="BE125" s="13">
        <f>BD125*VLOOKUP('Données projet'!$B$11,Paramètres!$A$1:$I$89,3,0)*VLOOKUP('Données projet'!$B$11,Paramètres!$A$1:$I$89,5,0)</f>
        <v>-3.2810021366458389E-14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122.36861947722917</v>
      </c>
      <c r="BJ125" s="59">
        <f t="shared" si="92"/>
        <v>341.51856651265109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12.882969390296282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3.9292554249070938E-14</v>
      </c>
      <c r="BS125" s="22">
        <f t="shared" si="63"/>
        <v>12.882969390296321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6">
        <f t="shared" si="56"/>
        <v>497.98238478171629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4.0999999999999996</v>
      </c>
      <c r="N126" s="13">
        <f>IF('Données projet'!$A$36&gt;35,N125+M126-V125,IF(A126&lt;'Données projet'!$A$36,$K$205^A126,IF(A126='Données projet'!$A$36,'Données projet'!$B$36,N125+M126-V125)))</f>
        <v>317.29999999999973</v>
      </c>
      <c r="O126" s="13">
        <f>N126*VLOOKUP('Données projet'!$B$9,Paramètres!$A$1:$I$89,3,0)*VLOOKUP('Données projet'!$B$9,Paramètres!$A$1:$I$89,5,0)</f>
        <v>267.29351999999983</v>
      </c>
      <c r="P126" s="13">
        <f t="shared" si="87"/>
        <v>64.274549574792829</v>
      </c>
      <c r="Q126" s="20">
        <f t="shared" si="107"/>
        <v>577.48105450943058</v>
      </c>
      <c r="R126" s="59">
        <f t="shared" si="55"/>
        <v>870.81438784276384</v>
      </c>
      <c r="S126" s="59">
        <f ca="1">AVERAGE(OFFSET($R$3,0,0,'Données projet'!$E$9+1,1))-AVERAGE(OFFSET($H$3,0,0,'Données projet'!$E$9+1,1))</f>
        <v>328.34986205643321</v>
      </c>
      <c r="T126" s="59">
        <f t="shared" si="88"/>
        <v>251.60894449147008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75.050820269991618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75.050820269991618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5.6843418860808015E-14</v>
      </c>
      <c r="AJ126" s="13">
        <f>AI126*VLOOKUP('Données projet'!$B$10,Paramètres!$A$1:$I$89,3,0)*VLOOKUP('Données projet'!$B$10,Paramètres!$A$1:$I$89,5,0)</f>
        <v>2.8908289095852525E-14</v>
      </c>
      <c r="AK126" s="13">
        <f t="shared" si="89"/>
        <v>5.0177780569126974E-13</v>
      </c>
      <c r="AL126" s="20">
        <f t="shared" si="58"/>
        <v>9.2427828175423786E-13</v>
      </c>
      <c r="AM126" s="59">
        <f t="shared" si="59"/>
        <v>293.33333333333422</v>
      </c>
      <c r="AN126" s="59">
        <f ca="1">AVERAGE(OFFSET($AM$3,0,0,'Données projet'!$E$10+1,1))-AVERAGE(OFFSET($H$3,0,0,'Données projet'!$E$10+1,1))</f>
        <v>141.98581704643658</v>
      </c>
      <c r="AO126" s="59">
        <f t="shared" si="90"/>
        <v>396.03373990407204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14.580780652244265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3.2074575874644189E-14</v>
      </c>
      <c r="AX126" s="21">
        <f t="shared" si="60"/>
        <v>14.580780652244297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-5.6843418860808015E-14</v>
      </c>
      <c r="BE126" s="13">
        <f>BD126*VLOOKUP('Données projet'!$B$11,Paramètres!$A$1:$I$89,3,0)*VLOOKUP('Données projet'!$B$11,Paramètres!$A$1:$I$89,5,0)</f>
        <v>-3.2810021366458389E-14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122.36861947722917</v>
      </c>
      <c r="BJ126" s="59">
        <f t="shared" si="92"/>
        <v>341.51856651265109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12.630342218388003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2.7784031559658353E-14</v>
      </c>
      <c r="BS126" s="22">
        <f t="shared" si="63"/>
        <v>12.630342218388032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6">
        <f t="shared" si="56"/>
        <v>499.89602938845536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4.0999999999999996</v>
      </c>
      <c r="N127" s="13">
        <f>IF('Données projet'!$A$36&gt;35,N126+M127-V126,IF(A127&lt;'Données projet'!$A$36,$K$205^A127,IF(A127='Données projet'!$A$36,'Données projet'!$B$36,N126+M127-V126)))</f>
        <v>321.39999999999975</v>
      </c>
      <c r="O127" s="13">
        <f>N127*VLOOKUP('Données projet'!$B$9,Paramètres!$A$1:$I$89,3,0)*VLOOKUP('Données projet'!$B$9,Paramètres!$A$1:$I$89,5,0)</f>
        <v>270.74735999999979</v>
      </c>
      <c r="P127" s="13">
        <f t="shared" si="87"/>
        <v>65.007852416747056</v>
      </c>
      <c r="Q127" s="20">
        <f t="shared" si="107"/>
        <v>584.77366162583417</v>
      </c>
      <c r="R127" s="59">
        <f t="shared" si="55"/>
        <v>878.10699495916742</v>
      </c>
      <c r="S127" s="59">
        <f ca="1">AVERAGE(OFFSET($R$3,0,0,'Données projet'!$E$9+1,1))-AVERAGE(OFFSET($H$3,0,0,'Données projet'!$E$9+1,1))</f>
        <v>328.34986205643321</v>
      </c>
      <c r="T127" s="59">
        <f t="shared" si="88"/>
        <v>251.60894449147008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73.579119460977395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73.579119460977395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5.6843418860808015E-14</v>
      </c>
      <c r="AJ127" s="13">
        <f>AI127*VLOOKUP('Données projet'!$B$10,Paramètres!$A$1:$I$89,3,0)*VLOOKUP('Données projet'!$B$10,Paramètres!$A$1:$I$89,5,0)</f>
        <v>2.8908289095852525E-14</v>
      </c>
      <c r="AK127" s="13">
        <f t="shared" si="89"/>
        <v>5.0177780569126974E-13</v>
      </c>
      <c r="AL127" s="20">
        <f t="shared" si="58"/>
        <v>9.2427828175423786E-13</v>
      </c>
      <c r="AM127" s="59">
        <f t="shared" si="59"/>
        <v>293.33333333333422</v>
      </c>
      <c r="AN127" s="59">
        <f ca="1">AVERAGE(OFFSET($AM$3,0,0,'Données projet'!$E$10+1,1))-AVERAGE(OFFSET($H$3,0,0,'Données projet'!$E$10+1,1))</f>
        <v>141.98581704643658</v>
      </c>
      <c r="AO127" s="59">
        <f t="shared" si="90"/>
        <v>396.03373990407204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14.294860437051803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2.2680150104643345E-14</v>
      </c>
      <c r="AX127" s="21">
        <f t="shared" si="60"/>
        <v>14.294860437051826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-5.6843418860808015E-14</v>
      </c>
      <c r="BE127" s="13">
        <f>BD127*VLOOKUP('Données projet'!$B$11,Paramètres!$A$1:$I$89,3,0)*VLOOKUP('Données projet'!$B$11,Paramètres!$A$1:$I$89,5,0)</f>
        <v>-3.2810021366458389E-14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122.36861947722917</v>
      </c>
      <c r="BJ127" s="59">
        <f t="shared" si="92"/>
        <v>341.51856651265109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12.382668911233486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1.9646277124535472E-14</v>
      </c>
      <c r="BS127" s="22">
        <f t="shared" si="63"/>
        <v>12.382668911233505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6">
        <f t="shared" si="56"/>
        <v>501.80933156559138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4.0999999999999996</v>
      </c>
      <c r="N128" s="13">
        <f>IF('Données projet'!$A$36&gt;35,N127+M128-V127,IF(A128&lt;'Données projet'!$A$36,$K$205^A128,IF(A128='Données projet'!$A$36,'Données projet'!$B$36,N127+M128-V127)))</f>
        <v>325.49999999999977</v>
      </c>
      <c r="O128" s="13">
        <f>N128*VLOOKUP('Données projet'!$B$9,Paramètres!$A$1:$I$89,3,0)*VLOOKUP('Données projet'!$B$9,Paramètres!$A$1:$I$89,5,0)</f>
        <v>274.20119999999986</v>
      </c>
      <c r="P128" s="13">
        <f t="shared" si="87"/>
        <v>65.740067169772757</v>
      </c>
      <c r="Q128" s="20">
        <f t="shared" si="107"/>
        <v>592.06437365402064</v>
      </c>
      <c r="R128" s="59">
        <f t="shared" si="55"/>
        <v>885.39770698735401</v>
      </c>
      <c r="S128" s="59">
        <f ca="1">AVERAGE(OFFSET($R$3,0,0,'Données projet'!$E$9+1,1))-AVERAGE(OFFSET($H$3,0,0,'Données projet'!$E$9+1,1))</f>
        <v>328.34986205643321</v>
      </c>
      <c r="T128" s="59">
        <f t="shared" si="88"/>
        <v>251.60894449147008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72.136277807179084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72.136277807179084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5.6843418860808015E-14</v>
      </c>
      <c r="AJ128" s="13">
        <f>AI128*VLOOKUP('Données projet'!$B$10,Paramètres!$A$1:$I$89,3,0)*VLOOKUP('Données projet'!$B$10,Paramètres!$A$1:$I$89,5,0)</f>
        <v>2.8908289095852525E-14</v>
      </c>
      <c r="AK128" s="13">
        <f t="shared" si="89"/>
        <v>5.0177780569126974E-13</v>
      </c>
      <c r="AL128" s="20">
        <f t="shared" si="58"/>
        <v>9.2427828175423786E-13</v>
      </c>
      <c r="AM128" s="59">
        <f t="shared" si="59"/>
        <v>293.33333333333422</v>
      </c>
      <c r="AN128" s="59">
        <f ca="1">AVERAGE(OFFSET($AM$3,0,0,'Données projet'!$E$10+1,1))-AVERAGE(OFFSET($H$3,0,0,'Données projet'!$E$10+1,1))</f>
        <v>141.98581704643658</v>
      </c>
      <c r="AO128" s="59">
        <f t="shared" si="90"/>
        <v>396.03373990407204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14.014546942885154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1.6037287937322094E-14</v>
      </c>
      <c r="AX128" s="21">
        <f t="shared" si="60"/>
        <v>14.01454694288517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-5.6843418860808015E-14</v>
      </c>
      <c r="BE128" s="13">
        <f>BD128*VLOOKUP('Données projet'!$B$11,Paramètres!$A$1:$I$89,3,0)*VLOOKUP('Données projet'!$B$11,Paramètres!$A$1:$I$89,5,0)</f>
        <v>-3.2810021366458389E-14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122.36861947722917</v>
      </c>
      <c r="BJ128" s="59">
        <f t="shared" si="92"/>
        <v>341.51856651265109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12.139852326566468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1.389201577982918E-14</v>
      </c>
      <c r="BS128" s="22">
        <f t="shared" si="63"/>
        <v>12.139852326566482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6">
        <f t="shared" si="56"/>
        <v>503.72229437007394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4.0999999999999996</v>
      </c>
      <c r="N129" s="13">
        <f>IF('Données projet'!$A$36&gt;35,N128+M129-V128,IF(A129&lt;'Données projet'!$A$36,$K$205^A129,IF(A129='Données projet'!$A$36,'Données projet'!$B$36,N128+M129-V128)))</f>
        <v>329.5999999999998</v>
      </c>
      <c r="O129" s="13">
        <f>N129*VLOOKUP('Données projet'!$B$9,Paramètres!$A$1:$I$89,3,0)*VLOOKUP('Données projet'!$B$9,Paramètres!$A$1:$I$89,5,0)</f>
        <v>277.65503999999987</v>
      </c>
      <c r="P129" s="13">
        <f t="shared" si="87"/>
        <v>66.47120912437552</v>
      </c>
      <c r="Q129" s="20">
        <f t="shared" si="107"/>
        <v>599.35321722495371</v>
      </c>
      <c r="R129" s="59">
        <f t="shared" si="55"/>
        <v>892.68655055828708</v>
      </c>
      <c r="S129" s="59">
        <f ca="1">AVERAGE(OFFSET($R$3,0,0,'Données projet'!$E$9+1,1))-AVERAGE(OFFSET($H$3,0,0,'Données projet'!$E$9+1,1))</f>
        <v>328.34986205643321</v>
      </c>
      <c r="T129" s="59">
        <f t="shared" si="88"/>
        <v>251.60894449147008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70.721729398165252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70.721729398165252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5.6843418860808015E-14</v>
      </c>
      <c r="AJ129" s="13">
        <f>AI129*VLOOKUP('Données projet'!$B$10,Paramètres!$A$1:$I$89,3,0)*VLOOKUP('Données projet'!$B$10,Paramètres!$A$1:$I$89,5,0)</f>
        <v>2.8908289095852525E-14</v>
      </c>
      <c r="AK129" s="13">
        <f t="shared" si="89"/>
        <v>5.0177780569126974E-13</v>
      </c>
      <c r="AL129" s="20">
        <f t="shared" si="58"/>
        <v>9.2427828175423786E-13</v>
      </c>
      <c r="AM129" s="59">
        <f t="shared" si="59"/>
        <v>293.33333333333422</v>
      </c>
      <c r="AN129" s="59">
        <f ca="1">AVERAGE(OFFSET($AM$3,0,0,'Données projet'!$E$10+1,1))-AVERAGE(OFFSET($H$3,0,0,'Données projet'!$E$10+1,1))</f>
        <v>141.98581704643658</v>
      </c>
      <c r="AO129" s="59">
        <f t="shared" si="90"/>
        <v>396.03373990407204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13.739730225364763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1.1340075052321672E-14</v>
      </c>
      <c r="AX129" s="21">
        <f t="shared" si="60"/>
        <v>13.739730225364774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-5.6843418860808015E-14</v>
      </c>
      <c r="BE129" s="13">
        <f>BD129*VLOOKUP('Données projet'!$B$11,Paramètres!$A$1:$I$89,3,0)*VLOOKUP('Données projet'!$B$11,Paramètres!$A$1:$I$89,5,0)</f>
        <v>-3.2810021366458389E-14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122.36861947722917</v>
      </c>
      <c r="BJ129" s="59">
        <f t="shared" si="92"/>
        <v>341.51856651265109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11.901797227021277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9.8231385622677376E-15</v>
      </c>
      <c r="BS129" s="22">
        <f t="shared" si="63"/>
        <v>11.901797227021287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6">
        <f t="shared" si="56"/>
        <v>505.63492080752712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4.0999999999999996</v>
      </c>
      <c r="N130" s="13">
        <f>IF('Données projet'!$A$36&gt;35,N129+M130-V129,IF(A130&lt;'Données projet'!$A$36,$K$205^A130,IF(A130='Données projet'!$A$36,'Données projet'!$B$36,N129+M130-V129)))</f>
        <v>333.69999999999982</v>
      </c>
      <c r="O130" s="13">
        <f>N130*VLOOKUP('Données projet'!$B$9,Paramètres!$A$1:$I$89,3,0)*VLOOKUP('Données projet'!$B$9,Paramètres!$A$1:$I$89,5,0)</f>
        <v>281.10887999999989</v>
      </c>
      <c r="P130" s="13">
        <f t="shared" si="87"/>
        <v>67.201293168774626</v>
      </c>
      <c r="Q130" s="20">
        <f t="shared" si="107"/>
        <v>606.64021826894884</v>
      </c>
      <c r="R130" s="59">
        <f t="shared" si="55"/>
        <v>899.97355160228221</v>
      </c>
      <c r="S130" s="59">
        <f ca="1">AVERAGE(OFFSET($R$3,0,0,'Données projet'!$E$9+1,1))-AVERAGE(OFFSET($H$3,0,0,'Données projet'!$E$9+1,1))</f>
        <v>328.34986205643321</v>
      </c>
      <c r="T130" s="59">
        <f t="shared" si="88"/>
        <v>251.60894449147008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69.334919420662843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69.334919420662843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5.6843418860808015E-14</v>
      </c>
      <c r="AJ130" s="13">
        <f>AI130*VLOOKUP('Données projet'!$B$10,Paramètres!$A$1:$I$89,3,0)*VLOOKUP('Données projet'!$B$10,Paramètres!$A$1:$I$89,5,0)</f>
        <v>2.8908289095852525E-14</v>
      </c>
      <c r="AK130" s="13">
        <f t="shared" si="89"/>
        <v>5.0177780569126974E-13</v>
      </c>
      <c r="AL130" s="20">
        <f t="shared" si="58"/>
        <v>9.2427828175423786E-13</v>
      </c>
      <c r="AM130" s="59">
        <f t="shared" si="59"/>
        <v>293.33333333333422</v>
      </c>
      <c r="AN130" s="59">
        <f ca="1">AVERAGE(OFFSET($AM$3,0,0,'Données projet'!$E$10+1,1))-AVERAGE(OFFSET($H$3,0,0,'Données projet'!$E$10+1,1))</f>
        <v>141.98581704643658</v>
      </c>
      <c r="AO130" s="59">
        <f t="shared" si="90"/>
        <v>396.03373990407204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13.470302496053302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8.0186439686610472E-15</v>
      </c>
      <c r="AX130" s="21">
        <f t="shared" si="60"/>
        <v>13.470302496053311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-5.6843418860808015E-14</v>
      </c>
      <c r="BE130" s="13">
        <f>BD130*VLOOKUP('Données projet'!$B$11,Paramètres!$A$1:$I$89,3,0)*VLOOKUP('Données projet'!$B$11,Paramètres!$A$1:$I$89,5,0)</f>
        <v>-3.2810021366458389E-14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122.36861947722917</v>
      </c>
      <c r="BJ130" s="59">
        <f t="shared" si="92"/>
        <v>341.51856651265109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11.668410242778894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6.9460078899145906E-15</v>
      </c>
      <c r="BS130" s="22">
        <f t="shared" si="63"/>
        <v>11.668410242778901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6">
        <f t="shared" si="56"/>
        <v>507.5472138335092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4.0999999999999996</v>
      </c>
      <c r="N131" s="13">
        <f>IF('Données projet'!$A$36&gt;35,N130+M131-V130,IF(A131&lt;'Données projet'!$A$36,$K$205^A131,IF(A131='Données projet'!$A$36,'Données projet'!$B$36,N130+M131-V130)))</f>
        <v>337.79999999999984</v>
      </c>
      <c r="O131" s="13">
        <f>N131*VLOOKUP('Données projet'!$B$9,Paramètres!$A$1:$I$89,3,0)*VLOOKUP('Données projet'!$B$9,Paramètres!$A$1:$I$89,5,0)</f>
        <v>284.5627199999999</v>
      </c>
      <c r="P131" s="13">
        <f t="shared" si="87"/>
        <v>67.93033380429695</v>
      </c>
      <c r="Q131" s="20">
        <f t="shared" ref="Q131:Q153" si="108">(O131+P131)*0.475*44/12</f>
        <v>613.9254020424836</v>
      </c>
      <c r="R131" s="59">
        <f t="shared" ref="R131:R194" si="109">Q131+(I131+J131)*44/12</f>
        <v>907.25873537581697</v>
      </c>
      <c r="S131" s="59">
        <f ca="1">AVERAGE(OFFSET($R$3,0,0,'Données projet'!$E$9+1,1))-AVERAGE(OFFSET($H$3,0,0,'Données projet'!$E$9+1,1))</f>
        <v>328.34986205643321</v>
      </c>
      <c r="T131" s="59">
        <f t="shared" si="88"/>
        <v>251.60894449147008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67.975303940948692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67.975303940948692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5.6843418860808015E-14</v>
      </c>
      <c r="AJ131" s="13">
        <f>AI131*VLOOKUP('Données projet'!$B$10,Paramètres!$A$1:$I$89,3,0)*VLOOKUP('Données projet'!$B$10,Paramètres!$A$1:$I$89,5,0)</f>
        <v>2.8908289095852525E-14</v>
      </c>
      <c r="AK131" s="13">
        <f t="shared" si="89"/>
        <v>5.0177780569126974E-13</v>
      </c>
      <c r="AL131" s="20">
        <f t="shared" si="58"/>
        <v>9.2427828175423786E-13</v>
      </c>
      <c r="AM131" s="59">
        <f t="shared" si="59"/>
        <v>293.33333333333422</v>
      </c>
      <c r="AN131" s="59">
        <f ca="1">AVERAGE(OFFSET($AM$3,0,0,'Données projet'!$E$10+1,1))-AVERAGE(OFFSET($H$3,0,0,'Données projet'!$E$10+1,1))</f>
        <v>141.98581704643658</v>
      </c>
      <c r="AO131" s="59">
        <f t="shared" si="90"/>
        <v>396.03373990407204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13.20615808017895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5.6700375261608362E-15</v>
      </c>
      <c r="AX131" s="21">
        <f t="shared" si="60"/>
        <v>13.206158080178955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-5.6843418860808015E-14</v>
      </c>
      <c r="BE131" s="13">
        <f>BD131*VLOOKUP('Données projet'!$B$11,Paramètres!$A$1:$I$89,3,0)*VLOOKUP('Données projet'!$B$11,Paramètres!$A$1:$I$89,5,0)</f>
        <v>-3.2810021366458389E-14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122.36861947722917</v>
      </c>
      <c r="BJ131" s="59">
        <f t="shared" si="92"/>
        <v>341.51856651265109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11.439599834945499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4.9115692811338696E-15</v>
      </c>
      <c r="BS131" s="22">
        <f t="shared" si="63"/>
        <v>11.439599834945504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6">
        <f t="shared" ref="H132:H195" si="110">(B132+E132+F132)*44/12+(C132+D132)*0.475*44/12</f>
        <v>509.45917635473086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4.0999999999999996</v>
      </c>
      <c r="N132" s="13">
        <f>IF('Données projet'!$A$36&gt;35,N131+M132-V131,IF(A132&lt;'Données projet'!$A$36,$K$205^A132,IF(A132='Données projet'!$A$36,'Données projet'!$B$36,N131+M132-V131)))</f>
        <v>341.89999999999986</v>
      </c>
      <c r="O132" s="13">
        <f>N132*VLOOKUP('Données projet'!$B$9,Paramètres!$A$1:$I$89,3,0)*VLOOKUP('Données projet'!$B$9,Paramètres!$A$1:$I$89,5,0)</f>
        <v>288.01655999999991</v>
      </c>
      <c r="P132" s="13">
        <f t="shared" si="87"/>
        <v>68.658345160002241</v>
      </c>
      <c r="Q132" s="20">
        <f t="shared" si="108"/>
        <v>621.2087931536704</v>
      </c>
      <c r="R132" s="59">
        <f t="shared" si="109"/>
        <v>914.54212648700377</v>
      </c>
      <c r="S132" s="59">
        <f ca="1">AVERAGE(OFFSET($R$3,0,0,'Données projet'!$E$9+1,1))-AVERAGE(OFFSET($H$3,0,0,'Données projet'!$E$9+1,1))</f>
        <v>328.34986205643321</v>
      </c>
      <c r="T132" s="59">
        <f t="shared" si="88"/>
        <v>251.60894449147008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66.642349691508173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66.642349691508173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5.6843418860808015E-14</v>
      </c>
      <c r="AJ132" s="13">
        <f>AI132*VLOOKUP('Données projet'!$B$10,Paramètres!$A$1:$I$89,3,0)*VLOOKUP('Données projet'!$B$10,Paramètres!$A$1:$I$89,5,0)</f>
        <v>2.8908289095852525E-14</v>
      </c>
      <c r="AK132" s="13">
        <f t="shared" si="89"/>
        <v>5.0177780569126974E-13</v>
      </c>
      <c r="AL132" s="20">
        <f t="shared" ref="AL132:AL153" si="112">(AJ132+AK132)*0.475*44/12</f>
        <v>9.2427828175423786E-13</v>
      </c>
      <c r="AM132" s="59">
        <f t="shared" ref="AM132:AM195" si="113">AL132+(AD132+AE132)*44/12</f>
        <v>293.33333333333422</v>
      </c>
      <c r="AN132" s="59">
        <f ca="1">AVERAGE(OFFSET($AM$3,0,0,'Données projet'!$E$10+1,1))-AVERAGE(OFFSET($H$3,0,0,'Données projet'!$E$10+1,1))</f>
        <v>141.98581704643658</v>
      </c>
      <c r="AO132" s="59">
        <f t="shared" si="90"/>
        <v>396.03373990407204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12.947193375187709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4.0093219843305236E-15</v>
      </c>
      <c r="AX132" s="21">
        <f t="shared" ref="AX132:AX153" si="114">SUM(AU132:AW132)</f>
        <v>12.947193375187712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-5.6843418860808015E-14</v>
      </c>
      <c r="BE132" s="13">
        <f>BD132*VLOOKUP('Données projet'!$B$11,Paramètres!$A$1:$I$89,3,0)*VLOOKUP('Données projet'!$B$11,Paramètres!$A$1:$I$89,5,0)</f>
        <v>-3.2810021366458389E-14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122.36861947722917</v>
      </c>
      <c r="BJ132" s="59">
        <f t="shared" si="92"/>
        <v>341.51856651265109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11.21527625964915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3.4730039449572957E-15</v>
      </c>
      <c r="BS132" s="22">
        <f t="shared" ref="BS132:BS153" si="117">SUM(BP132:BR132)</f>
        <v>11.215276259649153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6">
        <f t="shared" si="110"/>
        <v>511.37081123023484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>
        <f>VLOOKUP(A133,'Données projet'!$A$35:$I$55,2,0)</f>
        <v>346</v>
      </c>
      <c r="L133" s="12">
        <f>VLOOKUP(A133,'Données projet'!$A$35:$I$55,9,0)</f>
        <v>4.0999999999999996</v>
      </c>
      <c r="M133" s="12">
        <f t="array" ref="M133">INDEX(L:L,MIN(IF(ISNUMBER(L133:L329),ROW(L133:L329),"")))</f>
        <v>4.0999999999999996</v>
      </c>
      <c r="N133" s="13">
        <f>IF('Données projet'!$A$36&gt;35,N132+M133-V132,IF(A133&lt;'Données projet'!$A$36,$K$205^A133,IF(A133='Données projet'!$A$36,'Données projet'!$B$36,N132+M133-V132)))</f>
        <v>345.99999999999989</v>
      </c>
      <c r="O133" s="13">
        <f>N133*VLOOKUP('Données projet'!$B$9,Paramètres!$A$1:$I$89,3,0)*VLOOKUP('Données projet'!$B$9,Paramètres!$A$1:$I$89,5,0)</f>
        <v>291.47039999999993</v>
      </c>
      <c r="P133" s="13">
        <f t="shared" ref="P133:P196" si="141">EXP(-1.0587+0.8836*LN(O133)+0.284)</f>
        <v>69.38534100658697</v>
      </c>
      <c r="Q133" s="20">
        <f t="shared" si="108"/>
        <v>628.49041558647207</v>
      </c>
      <c r="R133" s="59">
        <f t="shared" si="109"/>
        <v>921.82374891980544</v>
      </c>
      <c r="S133" s="59">
        <f ca="1">AVERAGE(OFFSET($R$3,0,0,'Données projet'!$E$9+1,1))-AVERAGE(OFFSET($H$3,0,0,'Données projet'!$E$9+1,1))</f>
        <v>328.34986205643321</v>
      </c>
      <c r="T133" s="59">
        <f t="shared" ref="T133:T196" si="142">$T$3</f>
        <v>251.60894449147008</v>
      </c>
      <c r="U133" s="15">
        <f>IF(ISNA(VLOOKUP(A133,'Données projet'!$A$35:$I$55,3,0)),0,VLOOKUP(A133,'Données projet'!$A$35:$I$55,3,0))</f>
        <v>12</v>
      </c>
      <c r="V133" s="15">
        <f>IF(ISNA(VLOOKUP(A133,'Données projet'!$A$35:$I$55,4,0)),0,VLOOKUP(A133,'Données projet'!$A$35:$I$55,4,0))</f>
        <v>44</v>
      </c>
      <c r="W133" s="16">
        <f>IF(ISNA(VLOOKUP(A133,'Données projet'!$A$35:$I$55,5,0)),0%,VLOOKUP(A133,'Données projet'!$A$35:$I$55,5,0)*VLOOKUP('Données projet'!$B$9,Paramètres!$A$1:$I$89,7,0))</f>
        <v>0.36549999999999999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80.311868181687203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80.311868181687203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5.6843418860808015E-14</v>
      </c>
      <c r="AJ133" s="13">
        <f>AI133*VLOOKUP('Données projet'!$B$10,Paramètres!$A$1:$I$89,3,0)*VLOOKUP('Données projet'!$B$10,Paramètres!$A$1:$I$89,5,0)</f>
        <v>2.8908289095852525E-14</v>
      </c>
      <c r="AK133" s="13">
        <f t="shared" ref="AK133:AK153" si="143">EXP(-1.0587+0.8836*LN(AJ133)+0.284)</f>
        <v>5.0177780569126974E-13</v>
      </c>
      <c r="AL133" s="20">
        <f t="shared" si="112"/>
        <v>9.2427828175423786E-13</v>
      </c>
      <c r="AM133" s="59">
        <f t="shared" si="113"/>
        <v>293.33333333333422</v>
      </c>
      <c r="AN133" s="59">
        <f ca="1">AVERAGE(OFFSET($AM$3,0,0,'Données projet'!$E$10+1,1))-AVERAGE(OFFSET($H$3,0,0,'Données projet'!$E$10+1,1))</f>
        <v>141.98581704643658</v>
      </c>
      <c r="AO133" s="59">
        <f t="shared" ref="AO133:AO196" si="144">$AO$3</f>
        <v>396.03373990407204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12.693306810108473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2.8350187630804181E-15</v>
      </c>
      <c r="AX133" s="21">
        <f t="shared" si="114"/>
        <v>12.693306810108476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-5.6843418860808015E-14</v>
      </c>
      <c r="BE133" s="13">
        <f>BD133*VLOOKUP('Données projet'!$B$11,Paramètres!$A$1:$I$89,3,0)*VLOOKUP('Données projet'!$B$11,Paramètres!$A$1:$I$89,5,0)</f>
        <v>-3.2810021366458389E-14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122.36861947722917</v>
      </c>
      <c r="BJ133" s="59">
        <f t="shared" ref="BJ133:BJ196" si="146">$BJ$3</f>
        <v>341.51856651265109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10.995351532840491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2.4557846405669352E-15</v>
      </c>
      <c r="BS133" s="22">
        <f t="shared" si="117"/>
        <v>10.995351532840493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6">
        <f t="shared" si="110"/>
        <v>513.28212127253823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3.8</v>
      </c>
      <c r="N134" s="13">
        <f>IF('Données projet'!$A$36&gt;35,N133+M134-V133,IF(A134&lt;'Données projet'!$A$36,$K$205^A134,IF(A134='Données projet'!$A$36,'Données projet'!$B$36,N133+M134-V133)))</f>
        <v>305.7999999999999</v>
      </c>
      <c r="O134" s="13">
        <f>N134*VLOOKUP('Données projet'!$B$9,Paramètres!$A$1:$I$89,3,0)*VLOOKUP('Données projet'!$B$9,Paramètres!$A$1:$I$89,5,0)</f>
        <v>257.60591999999991</v>
      </c>
      <c r="P134" s="13">
        <f t="shared" si="141"/>
        <v>62.21178242147321</v>
      </c>
      <c r="Q134" s="20">
        <f t="shared" si="108"/>
        <v>557.01583171739901</v>
      </c>
      <c r="R134" s="59">
        <f t="shared" si="109"/>
        <v>850.34916505073238</v>
      </c>
      <c r="S134" s="59">
        <f ca="1">AVERAGE(OFFSET($R$3,0,0,'Données projet'!$E$9+1,1))-AVERAGE(OFFSET($H$3,0,0,'Données projet'!$E$9+1,1))</f>
        <v>328.34986205643321</v>
      </c>
      <c r="T134" s="59">
        <f t="shared" si="142"/>
        <v>251.60894449147008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78.737001432046995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78.737001432046995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5.6843418860808015E-14</v>
      </c>
      <c r="AJ134" s="13">
        <f>AI134*VLOOKUP('Données projet'!$B$10,Paramètres!$A$1:$I$89,3,0)*VLOOKUP('Données projet'!$B$10,Paramètres!$A$1:$I$89,5,0)</f>
        <v>2.8908289095852525E-14</v>
      </c>
      <c r="AK134" s="13">
        <f t="shared" si="143"/>
        <v>5.0177780569126974E-13</v>
      </c>
      <c r="AL134" s="20">
        <f t="shared" si="112"/>
        <v>9.2427828175423786E-13</v>
      </c>
      <c r="AM134" s="59">
        <f t="shared" si="113"/>
        <v>293.33333333333422</v>
      </c>
      <c r="AN134" s="59">
        <f ca="1">AVERAGE(OFFSET($AM$3,0,0,'Données projet'!$E$10+1,1))-AVERAGE(OFFSET($H$3,0,0,'Données projet'!$E$10+1,1))</f>
        <v>141.98581704643658</v>
      </c>
      <c r="AO134" s="59">
        <f t="shared" si="144"/>
        <v>396.03373990407204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12.444398805714926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2.0046609921652618E-15</v>
      </c>
      <c r="AX134" s="21">
        <f t="shared" si="114"/>
        <v>12.444398805714927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-5.6843418860808015E-14</v>
      </c>
      <c r="BE134" s="13">
        <f>BD134*VLOOKUP('Données projet'!$B$11,Paramètres!$A$1:$I$89,3,0)*VLOOKUP('Données projet'!$B$11,Paramètres!$A$1:$I$89,5,0)</f>
        <v>-3.2810021366458389E-14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122.36861947722917</v>
      </c>
      <c r="BJ134" s="59">
        <f t="shared" si="146"/>
        <v>341.51856651265109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10.779739395783713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1.7365019724786483E-15</v>
      </c>
      <c r="BS134" s="22">
        <f t="shared" si="117"/>
        <v>10.779739395783714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6">
        <f t="shared" si="110"/>
        <v>515.19310924873832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3.8</v>
      </c>
      <c r="N135" s="13">
        <f>IF('Données projet'!$A$36&gt;35,N134+M135-V134,IF(A135&lt;'Données projet'!$A$36,$K$205^A135,IF(A135='Données projet'!$A$36,'Données projet'!$B$36,N134+M135-V134)))</f>
        <v>309.59999999999991</v>
      </c>
      <c r="O135" s="13">
        <f>N135*VLOOKUP('Données projet'!$B$9,Paramètres!$A$1:$I$89,3,0)*VLOOKUP('Données projet'!$B$9,Paramètres!$A$1:$I$89,5,0)</f>
        <v>260.80703999999997</v>
      </c>
      <c r="P135" s="13">
        <f t="shared" si="141"/>
        <v>62.894375229379683</v>
      </c>
      <c r="Q135" s="20">
        <f t="shared" si="108"/>
        <v>563.77996485783626</v>
      </c>
      <c r="R135" s="59">
        <f t="shared" si="109"/>
        <v>857.11329819116963</v>
      </c>
      <c r="S135" s="59">
        <f ca="1">AVERAGE(OFFSET($R$3,0,0,'Données projet'!$E$9+1,1))-AVERAGE(OFFSET($H$3,0,0,'Données projet'!$E$9+1,1))</f>
        <v>328.34986205643321</v>
      </c>
      <c r="T135" s="59">
        <f t="shared" si="142"/>
        <v>251.60894449147008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77.193016858793371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77.193016858793371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5.6843418860808015E-14</v>
      </c>
      <c r="AJ135" s="13">
        <f>AI135*VLOOKUP('Données projet'!$B$10,Paramètres!$A$1:$I$89,3,0)*VLOOKUP('Données projet'!$B$10,Paramètres!$A$1:$I$89,5,0)</f>
        <v>2.8908289095852525E-14</v>
      </c>
      <c r="AK135" s="13">
        <f t="shared" si="143"/>
        <v>5.0177780569126974E-13</v>
      </c>
      <c r="AL135" s="20">
        <f t="shared" si="112"/>
        <v>9.2427828175423786E-13</v>
      </c>
      <c r="AM135" s="59">
        <f t="shared" si="113"/>
        <v>293.33333333333422</v>
      </c>
      <c r="AN135" s="59">
        <f ca="1">AVERAGE(OFFSET($AM$3,0,0,'Données projet'!$E$10+1,1))-AVERAGE(OFFSET($H$3,0,0,'Données projet'!$E$10+1,1))</f>
        <v>141.98581704643658</v>
      </c>
      <c r="AO135" s="59">
        <f t="shared" si="144"/>
        <v>396.03373990407204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12.200371735468645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1.4175093815402091E-15</v>
      </c>
      <c r="AX135" s="21">
        <f t="shared" si="114"/>
        <v>12.200371735468647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-5.6843418860808015E-14</v>
      </c>
      <c r="BE135" s="13">
        <f>BD135*VLOOKUP('Données projet'!$B$11,Paramètres!$A$1:$I$89,3,0)*VLOOKUP('Données projet'!$B$11,Paramètres!$A$1:$I$89,5,0)</f>
        <v>-3.2810021366458389E-14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122.36861947722917</v>
      </c>
      <c r="BJ135" s="59">
        <f t="shared" si="146"/>
        <v>341.51856651265109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10.568355281224198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1.2278923202834678E-15</v>
      </c>
      <c r="BS135" s="22">
        <f t="shared" si="117"/>
        <v>10.5683552812242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6">
        <f t="shared" si="110"/>
        <v>517.10377788158553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3.8</v>
      </c>
      <c r="N136" s="13">
        <f>IF('Données projet'!$A$36&gt;35,N135+M136-V135,IF(A136&lt;'Données projet'!$A$36,$K$205^A136,IF(A136='Données projet'!$A$36,'Données projet'!$B$36,N135+M136-V135)))</f>
        <v>313.39999999999992</v>
      </c>
      <c r="O136" s="13">
        <f>N136*VLOOKUP('Données projet'!$B$9,Paramètres!$A$1:$I$89,3,0)*VLOOKUP('Données projet'!$B$9,Paramètres!$A$1:$I$89,5,0)</f>
        <v>264.00815999999998</v>
      </c>
      <c r="P136" s="13">
        <f t="shared" si="141"/>
        <v>63.575993499536125</v>
      </c>
      <c r="Q136" s="20">
        <f t="shared" si="108"/>
        <v>570.5424006783586</v>
      </c>
      <c r="R136" s="59">
        <f t="shared" si="109"/>
        <v>863.87573401169197</v>
      </c>
      <c r="S136" s="59">
        <f ca="1">AVERAGE(OFFSET($R$3,0,0,'Données projet'!$E$9+1,1))-AVERAGE(OFFSET($H$3,0,0,'Données projet'!$E$9+1,1))</f>
        <v>328.34986205643321</v>
      </c>
      <c r="T136" s="59">
        <f t="shared" si="142"/>
        <v>251.60894449147008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75.679308881283646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75.679308881283646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5.6843418860808015E-14</v>
      </c>
      <c r="AJ136" s="13">
        <f>AI136*VLOOKUP('Données projet'!$B$10,Paramètres!$A$1:$I$89,3,0)*VLOOKUP('Données projet'!$B$10,Paramètres!$A$1:$I$89,5,0)</f>
        <v>2.8908289095852525E-14</v>
      </c>
      <c r="AK136" s="13">
        <f t="shared" si="143"/>
        <v>5.0177780569126974E-13</v>
      </c>
      <c r="AL136" s="20">
        <f t="shared" si="112"/>
        <v>9.2427828175423786E-13</v>
      </c>
      <c r="AM136" s="59">
        <f t="shared" si="113"/>
        <v>293.33333333333422</v>
      </c>
      <c r="AN136" s="59">
        <f ca="1">AVERAGE(OFFSET($AM$3,0,0,'Données projet'!$E$10+1,1))-AVERAGE(OFFSET($H$3,0,0,'Données projet'!$E$10+1,1))</f>
        <v>141.98581704643658</v>
      </c>
      <c r="AO136" s="59">
        <f t="shared" si="144"/>
        <v>396.03373990407204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11.961129887228077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1.0023304960826309E-15</v>
      </c>
      <c r="AX136" s="21">
        <f t="shared" si="114"/>
        <v>11.961129887228079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-5.6843418860808015E-14</v>
      </c>
      <c r="BE136" s="13">
        <f>BD136*VLOOKUP('Données projet'!$B$11,Paramètres!$A$1:$I$89,3,0)*VLOOKUP('Données projet'!$B$11,Paramètres!$A$1:$I$89,5,0)</f>
        <v>-3.2810021366458389E-14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122.36861947722917</v>
      </c>
      <c r="BJ136" s="59">
        <f t="shared" si="146"/>
        <v>341.51856651265109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10.361116280219617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8.6825098623932422E-16</v>
      </c>
      <c r="BS136" s="22">
        <f t="shared" si="117"/>
        <v>10.361116280219617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6">
        <f t="shared" si="110"/>
        <v>519.01412985052093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3.8</v>
      </c>
      <c r="N137" s="13">
        <f>IF('Données projet'!$A$36&gt;35,N136+M137-V136,IF(A137&lt;'Données projet'!$A$36,$K$205^A137,IF(A137='Données projet'!$A$36,'Données projet'!$B$36,N136+M137-V136)))</f>
        <v>317.19999999999993</v>
      </c>
      <c r="O137" s="13">
        <f>N137*VLOOKUP('Données projet'!$B$9,Paramètres!$A$1:$I$89,3,0)*VLOOKUP('Données projet'!$B$9,Paramètres!$A$1:$I$89,5,0)</f>
        <v>267.20927999999998</v>
      </c>
      <c r="P137" s="13">
        <f t="shared" si="141"/>
        <v>64.256650415058076</v>
      </c>
      <c r="Q137" s="20">
        <f t="shared" si="108"/>
        <v>577.30316213955939</v>
      </c>
      <c r="R137" s="59">
        <f t="shared" si="109"/>
        <v>870.63649547289265</v>
      </c>
      <c r="S137" s="59">
        <f ca="1">AVERAGE(OFFSET($R$3,0,0,'Données projet'!$E$9+1,1))-AVERAGE(OFFSET($H$3,0,0,'Données projet'!$E$9+1,1))</f>
        <v>328.34986205643321</v>
      </c>
      <c r="T137" s="59">
        <f t="shared" si="142"/>
        <v>251.60894449147008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74.195283793942181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74.195283793942181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5.6843418860808015E-14</v>
      </c>
      <c r="AJ137" s="13">
        <f>AI137*VLOOKUP('Données projet'!$B$10,Paramètres!$A$1:$I$89,3,0)*VLOOKUP('Données projet'!$B$10,Paramètres!$A$1:$I$89,5,0)</f>
        <v>2.8908289095852525E-14</v>
      </c>
      <c r="AK137" s="13">
        <f t="shared" si="143"/>
        <v>5.0177780569126974E-13</v>
      </c>
      <c r="AL137" s="20">
        <f t="shared" si="112"/>
        <v>9.2427828175423786E-13</v>
      </c>
      <c r="AM137" s="59">
        <f t="shared" si="113"/>
        <v>293.33333333333422</v>
      </c>
      <c r="AN137" s="59">
        <f ca="1">AVERAGE(OFFSET($AM$3,0,0,'Données projet'!$E$10+1,1))-AVERAGE(OFFSET($H$3,0,0,'Données projet'!$E$10+1,1))</f>
        <v>141.98581704643658</v>
      </c>
      <c r="AO137" s="59">
        <f t="shared" si="144"/>
        <v>396.03373990407204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11.726579425708389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7.0875469077010453E-16</v>
      </c>
      <c r="AX137" s="21">
        <f t="shared" si="114"/>
        <v>11.726579425708389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-5.6843418860808015E-14</v>
      </c>
      <c r="BE137" s="13">
        <f>BD137*VLOOKUP('Données projet'!$B$11,Paramètres!$A$1:$I$89,3,0)*VLOOKUP('Données projet'!$B$11,Paramètres!$A$1:$I$89,5,0)</f>
        <v>-3.2810021366458389E-14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122.36861947722917</v>
      </c>
      <c r="BJ137" s="59">
        <f t="shared" si="146"/>
        <v>341.51856651265109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10.157941109621428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6.13946160141734E-16</v>
      </c>
      <c r="BS137" s="22">
        <f t="shared" si="117"/>
        <v>10.157941109621428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6">
        <f t="shared" si="110"/>
        <v>520.9241677926841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3.8</v>
      </c>
      <c r="N138" s="13">
        <f>IF('Données projet'!$A$36&gt;35,N137+M138-V137,IF(A138&lt;'Données projet'!$A$36,$K$205^A138,IF(A138='Données projet'!$A$36,'Données projet'!$B$36,N137+M138-V137)))</f>
        <v>320.99999999999994</v>
      </c>
      <c r="O138" s="13">
        <f>N138*VLOOKUP('Données projet'!$B$9,Paramètres!$A$1:$I$89,3,0)*VLOOKUP('Données projet'!$B$9,Paramètres!$A$1:$I$89,5,0)</f>
        <v>270.41039999999998</v>
      </c>
      <c r="P138" s="13">
        <f t="shared" si="141"/>
        <v>64.936358825024399</v>
      </c>
      <c r="Q138" s="20">
        <f t="shared" si="108"/>
        <v>584.06227162025073</v>
      </c>
      <c r="R138" s="59">
        <f t="shared" si="109"/>
        <v>877.3956049535841</v>
      </c>
      <c r="S138" s="59">
        <f ca="1">AVERAGE(OFFSET($R$3,0,0,'Données projet'!$E$9+1,1))-AVERAGE(OFFSET($H$3,0,0,'Données projet'!$E$9+1,1))</f>
        <v>328.34986205643321</v>
      </c>
      <c r="T138" s="59">
        <f t="shared" si="142"/>
        <v>251.60894449147008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72.740359533397566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72.740359533397566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5.6843418860808015E-14</v>
      </c>
      <c r="AJ138" s="13">
        <f>AI138*VLOOKUP('Données projet'!$B$10,Paramètres!$A$1:$I$89,3,0)*VLOOKUP('Données projet'!$B$10,Paramètres!$A$1:$I$89,5,0)</f>
        <v>2.8908289095852525E-14</v>
      </c>
      <c r="AK138" s="13">
        <f t="shared" si="143"/>
        <v>5.0177780569126974E-13</v>
      </c>
      <c r="AL138" s="20">
        <f t="shared" si="112"/>
        <v>9.2427828175423786E-13</v>
      </c>
      <c r="AM138" s="59">
        <f t="shared" si="113"/>
        <v>293.33333333333422</v>
      </c>
      <c r="AN138" s="59">
        <f ca="1">AVERAGE(OFFSET($AM$3,0,0,'Données projet'!$E$10+1,1))-AVERAGE(OFFSET($H$3,0,0,'Données projet'!$E$10+1,1))</f>
        <v>141.98581704643658</v>
      </c>
      <c r="AO138" s="59">
        <f t="shared" si="144"/>
        <v>396.03373990407204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11.496628355677446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5.0116524804131545E-16</v>
      </c>
      <c r="AX138" s="21">
        <f t="shared" si="114"/>
        <v>11.496628355677446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-5.6843418860808015E-14</v>
      </c>
      <c r="BE138" s="13">
        <f>BD138*VLOOKUP('Données projet'!$B$11,Paramètres!$A$1:$I$89,3,0)*VLOOKUP('Données projet'!$B$11,Paramètres!$A$1:$I$89,5,0)</f>
        <v>-3.2810021366458389E-14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122.36861947722917</v>
      </c>
      <c r="BJ138" s="59">
        <f t="shared" si="146"/>
        <v>341.51856651265109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9.9587500801940507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4.3412549311966221E-16</v>
      </c>
      <c r="BS138" s="22">
        <f t="shared" si="117"/>
        <v>9.9587500801940507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6">
        <f t="shared" si="110"/>
        <v>522.83389430388831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3.8</v>
      </c>
      <c r="N139" s="13">
        <f>IF('Données projet'!$A$36&gt;35,N138+M139-V138,IF(A139&lt;'Données projet'!$A$36,$K$205^A139,IF(A139='Données projet'!$A$36,'Données projet'!$B$36,N138+M139-V138)))</f>
        <v>324.79999999999995</v>
      </c>
      <c r="O139" s="13">
        <f>N139*VLOOKUP('Données projet'!$B$9,Paramètres!$A$1:$I$89,3,0)*VLOOKUP('Données projet'!$B$9,Paramètres!$A$1:$I$89,5,0)</f>
        <v>273.61151999999998</v>
      </c>
      <c r="P139" s="13">
        <f t="shared" si="141"/>
        <v>65.615131256792893</v>
      </c>
      <c r="Q139" s="20">
        <f t="shared" si="108"/>
        <v>590.81975093891413</v>
      </c>
      <c r="R139" s="59">
        <f t="shared" si="109"/>
        <v>884.1530842722475</v>
      </c>
      <c r="S139" s="59">
        <f ca="1">AVERAGE(OFFSET($R$3,0,0,'Données projet'!$E$9+1,1))-AVERAGE(OFFSET($H$3,0,0,'Données projet'!$E$9+1,1))</f>
        <v>328.34986205643321</v>
      </c>
      <c r="T139" s="59">
        <f t="shared" si="142"/>
        <v>251.60894449147008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71.31396545018606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71.31396545018606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5.6843418860808015E-14</v>
      </c>
      <c r="AJ139" s="13">
        <f>AI139*VLOOKUP('Données projet'!$B$10,Paramètres!$A$1:$I$89,3,0)*VLOOKUP('Données projet'!$B$10,Paramètres!$A$1:$I$89,5,0)</f>
        <v>2.8908289095852525E-14</v>
      </c>
      <c r="AK139" s="13">
        <f t="shared" si="143"/>
        <v>5.0177780569126974E-13</v>
      </c>
      <c r="AL139" s="20">
        <f t="shared" si="112"/>
        <v>9.2427828175423786E-13</v>
      </c>
      <c r="AM139" s="59">
        <f t="shared" si="113"/>
        <v>293.33333333333422</v>
      </c>
      <c r="AN139" s="59">
        <f ca="1">AVERAGE(OFFSET($AM$3,0,0,'Données projet'!$E$10+1,1))-AVERAGE(OFFSET($H$3,0,0,'Données projet'!$E$10+1,1))</f>
        <v>141.98581704643658</v>
      </c>
      <c r="AO139" s="59">
        <f t="shared" si="144"/>
        <v>396.03373990407204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11.271186485873505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3.5437734538505226E-16</v>
      </c>
      <c r="AX139" s="21">
        <f t="shared" si="114"/>
        <v>11.271186485873505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-5.6843418860808015E-14</v>
      </c>
      <c r="BE139" s="13">
        <f>BD139*VLOOKUP('Données projet'!$B$11,Paramètres!$A$1:$I$89,3,0)*VLOOKUP('Données projet'!$B$11,Paramètres!$A$1:$I$89,5,0)</f>
        <v>-3.2810021366458389E-14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122.36861947722917</v>
      </c>
      <c r="BJ139" s="59">
        <f t="shared" si="146"/>
        <v>341.51856651265109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9.7634650653592132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3.0697308007086705E-16</v>
      </c>
      <c r="BS139" s="22">
        <f t="shared" si="117"/>
        <v>9.7634650653592132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6">
        <f t="shared" si="110"/>
        <v>524.74331193956789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3.8</v>
      </c>
      <c r="N140" s="13">
        <f>IF('Données projet'!$A$36&gt;35,N139+M140-V139,IF(A140&lt;'Données projet'!$A$36,$K$205^A140,IF(A140='Données projet'!$A$36,'Données projet'!$B$36,N139+M140-V139)))</f>
        <v>328.59999999999997</v>
      </c>
      <c r="O140" s="13">
        <f>N140*VLOOKUP('Données projet'!$B$9,Paramètres!$A$1:$I$89,3,0)*VLOOKUP('Données projet'!$B$9,Paramètres!$A$1:$I$89,5,0)</f>
        <v>276.81263999999999</v>
      </c>
      <c r="P140" s="13">
        <f t="shared" si="141"/>
        <v>66.292979927723678</v>
      </c>
      <c r="Q140" s="20">
        <f t="shared" si="108"/>
        <v>597.57562137411867</v>
      </c>
      <c r="R140" s="59">
        <f t="shared" si="109"/>
        <v>890.90895470745204</v>
      </c>
      <c r="S140" s="59">
        <f ca="1">AVERAGE(OFFSET($R$3,0,0,'Données projet'!$E$9+1,1))-AVERAGE(OFFSET($H$3,0,0,'Données projet'!$E$9+1,1))</f>
        <v>328.34986205643321</v>
      </c>
      <c r="T140" s="59">
        <f t="shared" si="142"/>
        <v>251.60894449147008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69.915542084931843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69.915542084931843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5.6843418860808015E-14</v>
      </c>
      <c r="AJ140" s="13">
        <f>AI140*VLOOKUP('Données projet'!$B$10,Paramètres!$A$1:$I$89,3,0)*VLOOKUP('Données projet'!$B$10,Paramètres!$A$1:$I$89,5,0)</f>
        <v>2.8908289095852525E-14</v>
      </c>
      <c r="AK140" s="13">
        <f t="shared" si="143"/>
        <v>5.0177780569126974E-13</v>
      </c>
      <c r="AL140" s="20">
        <f t="shared" si="112"/>
        <v>9.2427828175423786E-13</v>
      </c>
      <c r="AM140" s="59">
        <f t="shared" si="113"/>
        <v>293.33333333333422</v>
      </c>
      <c r="AN140" s="59">
        <f ca="1">AVERAGE(OFFSET($AM$3,0,0,'Données projet'!$E$10+1,1))-AVERAGE(OFFSET($H$3,0,0,'Données projet'!$E$10+1,1))</f>
        <v>141.98581704643658</v>
      </c>
      <c r="AO140" s="59">
        <f t="shared" si="144"/>
        <v>396.03373990407204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11.050165393630458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2.5058262402065773E-16</v>
      </c>
      <c r="AX140" s="21">
        <f t="shared" si="114"/>
        <v>11.050165393630458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-5.6843418860808015E-14</v>
      </c>
      <c r="BE140" s="13">
        <f>BD140*VLOOKUP('Données projet'!$B$11,Paramètres!$A$1:$I$89,3,0)*VLOOKUP('Données projet'!$B$11,Paramètres!$A$1:$I$89,5,0)</f>
        <v>-3.2810021366458389E-14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122.36861947722917</v>
      </c>
      <c r="BJ140" s="59">
        <f t="shared" si="146"/>
        <v>341.51856651265109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9.5720094705531888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2.1706274655983113E-16</v>
      </c>
      <c r="BS140" s="22">
        <f t="shared" si="117"/>
        <v>9.5720094705531888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6">
        <f t="shared" si="110"/>
        <v>526.65242321569622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3.8</v>
      </c>
      <c r="N141" s="13">
        <f>IF('Données projet'!$A$36&gt;35,N140+M141-V140,IF(A141&lt;'Données projet'!$A$36,$K$205^A141,IF(A141='Données projet'!$A$36,'Données projet'!$B$36,N140+M141-V140)))</f>
        <v>332.4</v>
      </c>
      <c r="O141" s="13">
        <f>N141*VLOOKUP('Données projet'!$B$9,Paramètres!$A$1:$I$89,3,0)*VLOOKUP('Données projet'!$B$9,Paramètres!$A$1:$I$89,5,0)</f>
        <v>280.01376000000005</v>
      </c>
      <c r="P141" s="13">
        <f t="shared" si="141"/>
        <v>66.969916756344503</v>
      </c>
      <c r="Q141" s="20">
        <f t="shared" si="108"/>
        <v>604.32990368396679</v>
      </c>
      <c r="R141" s="59">
        <f t="shared" si="109"/>
        <v>897.66323701730016</v>
      </c>
      <c r="S141" s="59">
        <f ca="1">AVERAGE(OFFSET($R$3,0,0,'Données projet'!$E$9+1,1))-AVERAGE(OFFSET($H$3,0,0,'Données projet'!$E$9+1,1))</f>
        <v>328.34986205643321</v>
      </c>
      <c r="T141" s="59">
        <f t="shared" si="142"/>
        <v>251.60894449147008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68.544540948916236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68.544540948916236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5.6843418860808015E-14</v>
      </c>
      <c r="AJ141" s="13">
        <f>AI141*VLOOKUP('Données projet'!$B$10,Paramètres!$A$1:$I$89,3,0)*VLOOKUP('Données projet'!$B$10,Paramètres!$A$1:$I$89,5,0)</f>
        <v>2.8908289095852525E-14</v>
      </c>
      <c r="AK141" s="13">
        <f t="shared" si="143"/>
        <v>5.0177780569126974E-13</v>
      </c>
      <c r="AL141" s="20">
        <f t="shared" si="112"/>
        <v>9.2427828175423786E-13</v>
      </c>
      <c r="AM141" s="59">
        <f t="shared" si="113"/>
        <v>293.33333333333422</v>
      </c>
      <c r="AN141" s="59">
        <f ca="1">AVERAGE(OFFSET($AM$3,0,0,'Données projet'!$E$10+1,1))-AVERAGE(OFFSET($H$3,0,0,'Données projet'!$E$10+1,1))</f>
        <v>141.98581704643658</v>
      </c>
      <c r="AO141" s="59">
        <f t="shared" si="144"/>
        <v>396.03373990407204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10.833478390196742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1.7718867269252613E-16</v>
      </c>
      <c r="AX141" s="21">
        <f t="shared" si="114"/>
        <v>10.833478390196742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-5.6843418860808015E-14</v>
      </c>
      <c r="BE141" s="13">
        <f>BD141*VLOOKUP('Données projet'!$B$11,Paramètres!$A$1:$I$89,3,0)*VLOOKUP('Données projet'!$B$11,Paramètres!$A$1:$I$89,5,0)</f>
        <v>-3.2810021366458389E-14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122.36861947722917</v>
      </c>
      <c r="BJ141" s="59">
        <f t="shared" si="146"/>
        <v>341.51856651265109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9.3843082031849292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1.5348654003543355E-16</v>
      </c>
      <c r="BS141" s="22">
        <f t="shared" si="117"/>
        <v>9.3843082031849292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6">
        <f t="shared" si="110"/>
        <v>528.56123060967593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3.8</v>
      </c>
      <c r="N142" s="13">
        <f>IF('Données projet'!$A$36&gt;35,N141+M142-V141,IF(A142&lt;'Données projet'!$A$36,$K$205^A142,IF(A142='Données projet'!$A$36,'Données projet'!$B$36,N141+M142-V141)))</f>
        <v>336.2</v>
      </c>
      <c r="O142" s="13">
        <f>N142*VLOOKUP('Données projet'!$B$9,Paramètres!$A$1:$I$89,3,0)*VLOOKUP('Données projet'!$B$9,Paramètres!$A$1:$I$89,5,0)</f>
        <v>283.21487999999999</v>
      </c>
      <c r="P142" s="13">
        <f t="shared" si="141"/>
        <v>67.645953372990718</v>
      </c>
      <c r="Q142" s="20">
        <f t="shared" si="108"/>
        <v>611.08261812462547</v>
      </c>
      <c r="R142" s="59">
        <f t="shared" si="109"/>
        <v>904.41595145795873</v>
      </c>
      <c r="S142" s="59">
        <f ca="1">AVERAGE(OFFSET($R$3,0,0,'Données projet'!$E$9+1,1))-AVERAGE(OFFSET($H$3,0,0,'Données projet'!$E$9+1,1))</f>
        <v>328.34986205643321</v>
      </c>
      <c r="T142" s="59">
        <f t="shared" si="142"/>
        <v>251.60894449147008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67.200424308949763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67.200424308949763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5.6843418860808015E-14</v>
      </c>
      <c r="AJ142" s="13">
        <f>AI142*VLOOKUP('Données projet'!$B$10,Paramètres!$A$1:$I$89,3,0)*VLOOKUP('Données projet'!$B$10,Paramètres!$A$1:$I$89,5,0)</f>
        <v>2.8908289095852525E-14</v>
      </c>
      <c r="AK142" s="13">
        <f t="shared" si="143"/>
        <v>5.0177780569126974E-13</v>
      </c>
      <c r="AL142" s="20">
        <f t="shared" si="112"/>
        <v>9.2427828175423786E-13</v>
      </c>
      <c r="AM142" s="59">
        <f t="shared" si="113"/>
        <v>293.33333333333422</v>
      </c>
      <c r="AN142" s="59">
        <f ca="1">AVERAGE(OFFSET($AM$3,0,0,'Données projet'!$E$10+1,1))-AVERAGE(OFFSET($H$3,0,0,'Données projet'!$E$10+1,1))</f>
        <v>141.98581704643658</v>
      </c>
      <c r="AO142" s="59">
        <f t="shared" si="144"/>
        <v>396.03373990407204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10.621040486734339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1.2529131201032886E-16</v>
      </c>
      <c r="AX142" s="21">
        <f t="shared" si="114"/>
        <v>10.621040486734339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-5.6843418860808015E-14</v>
      </c>
      <c r="BE142" s="13">
        <f>BD142*VLOOKUP('Données projet'!$B$11,Paramètres!$A$1:$I$89,3,0)*VLOOKUP('Données projet'!$B$11,Paramètres!$A$1:$I$89,5,0)</f>
        <v>-3.2810021366458389E-14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122.36861947722917</v>
      </c>
      <c r="BJ142" s="59">
        <f t="shared" si="146"/>
        <v>341.51856651265109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9.2002876431832927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1.0853137327991559E-16</v>
      </c>
      <c r="BS142" s="22">
        <f t="shared" si="117"/>
        <v>9.2002876431832927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6">
        <f t="shared" si="110"/>
        <v>530.4697365612044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>
        <f>VLOOKUP(A143,'Données projet'!$A$35:$I$55,2,0)</f>
        <v>340</v>
      </c>
      <c r="L143" s="12">
        <f>VLOOKUP(A143,'Données projet'!$A$35:$I$55,9,0)</f>
        <v>3.8</v>
      </c>
      <c r="M143" s="12">
        <f t="array" ref="M143">INDEX(L:L,MIN(IF(ISNUMBER(L143:L339),ROW(L143:L339),"")))</f>
        <v>3.8</v>
      </c>
      <c r="N143" s="13">
        <f>IF('Données projet'!$A$36&gt;35,N142+M143-V142,IF(A143&lt;'Données projet'!$A$36,$K$205^A143,IF(A143='Données projet'!$A$36,'Données projet'!$B$36,N142+M143-V142)))</f>
        <v>340</v>
      </c>
      <c r="O143" s="13">
        <f>N143*VLOOKUP('Données projet'!$B$9,Paramètres!$A$1:$I$89,3,0)*VLOOKUP('Données projet'!$B$9,Paramètres!$A$1:$I$89,5,0)</f>
        <v>286.41600000000005</v>
      </c>
      <c r="P143" s="13">
        <f t="shared" si="141"/>
        <v>68.321101129951245</v>
      </c>
      <c r="Q143" s="20">
        <f t="shared" si="108"/>
        <v>617.8337844679985</v>
      </c>
      <c r="R143" s="59">
        <f t="shared" si="109"/>
        <v>911.16711780133187</v>
      </c>
      <c r="S143" s="59">
        <f ca="1">AVERAGE(OFFSET($R$3,0,0,'Données projet'!$E$9+1,1))-AVERAGE(OFFSET($H$3,0,0,'Données projet'!$E$9+1,1))</f>
        <v>328.34986205643321</v>
      </c>
      <c r="T143" s="59">
        <f t="shared" si="142"/>
        <v>251.60894449147008</v>
      </c>
      <c r="U143" s="15">
        <f>IF(ISNA(VLOOKUP(A143,'Données projet'!$A$35:$I$55,3,0)),0,VLOOKUP(A143,'Données projet'!$A$35:$I$55,3,0))</f>
        <v>13</v>
      </c>
      <c r="V143" s="15">
        <f>IF(ISNA(VLOOKUP(A143,'Données projet'!$A$35:$I$55,4,0)),0,VLOOKUP(A143,'Données projet'!$A$35:$I$55,4,0))</f>
        <v>41</v>
      </c>
      <c r="W143" s="16">
        <f>IF(ISNA(VLOOKUP(A143,'Données projet'!$A$35:$I$55,5,0)),0%,VLOOKUP(A143,'Données projet'!$A$35:$I$55,5,0)*VLOOKUP('Données projet'!$B$9,Paramètres!$A$1:$I$89,7,0))</f>
        <v>0.36549999999999999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79.837885592649272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79.837885592649272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5.6843418860808015E-14</v>
      </c>
      <c r="AJ143" s="13">
        <f>AI143*VLOOKUP('Données projet'!$B$10,Paramètres!$A$1:$I$89,3,0)*VLOOKUP('Données projet'!$B$10,Paramètres!$A$1:$I$89,5,0)</f>
        <v>2.8908289095852525E-14</v>
      </c>
      <c r="AK143" s="13">
        <f t="shared" si="143"/>
        <v>5.0177780569126974E-13</v>
      </c>
      <c r="AL143" s="20">
        <f t="shared" si="112"/>
        <v>9.2427828175423786E-13</v>
      </c>
      <c r="AM143" s="59">
        <f t="shared" si="113"/>
        <v>293.33333333333422</v>
      </c>
      <c r="AN143" s="59">
        <f ca="1">AVERAGE(OFFSET($AM$3,0,0,'Données projet'!$E$10+1,1))-AVERAGE(OFFSET($H$3,0,0,'Données projet'!$E$10+1,1))</f>
        <v>141.98581704643658</v>
      </c>
      <c r="AO143" s="59">
        <f t="shared" si="144"/>
        <v>396.03373990407204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10.412768360984506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8.8594336346263066E-17</v>
      </c>
      <c r="AX143" s="21">
        <f t="shared" si="114"/>
        <v>10.412768360984506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-5.6843418860808015E-14</v>
      </c>
      <c r="BE143" s="13">
        <f>BD143*VLOOKUP('Données projet'!$B$11,Paramètres!$A$1:$I$89,3,0)*VLOOKUP('Données projet'!$B$11,Paramètres!$A$1:$I$89,5,0)</f>
        <v>-3.2810021366458389E-14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122.36861947722917</v>
      </c>
      <c r="BJ143" s="59">
        <f t="shared" si="146"/>
        <v>341.51856651265109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9.0198756141218297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7.6743270017716787E-17</v>
      </c>
      <c r="BS143" s="22">
        <f t="shared" si="117"/>
        <v>9.0198756141218297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6">
        <f t="shared" si="110"/>
        <v>532.3779434731116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3.4</v>
      </c>
      <c r="N144" s="13">
        <f>IF('Données projet'!$A$36&gt;35,N143+M144-V143,IF(A144&lt;'Données projet'!$A$36,$K$205^A144,IF(A144='Données projet'!$A$36,'Données projet'!$B$36,N143+M144-V143)))</f>
        <v>302.39999999999998</v>
      </c>
      <c r="O144" s="13">
        <f>N144*VLOOKUP('Données projet'!$B$9,Paramètres!$A$1:$I$89,3,0)*VLOOKUP('Données projet'!$B$9,Paramètres!$A$1:$I$89,5,0)</f>
        <v>254.74176</v>
      </c>
      <c r="P144" s="13">
        <f t="shared" si="141"/>
        <v>61.600204366992962</v>
      </c>
      <c r="Q144" s="20">
        <f t="shared" si="108"/>
        <v>550.96225460584606</v>
      </c>
      <c r="R144" s="59">
        <f t="shared" si="109"/>
        <v>844.29558793917931</v>
      </c>
      <c r="S144" s="59">
        <f ca="1">AVERAGE(OFFSET($R$3,0,0,'Données projet'!$E$9+1,1))-AVERAGE(OFFSET($H$3,0,0,'Données projet'!$E$9+1,1))</f>
        <v>328.34986205643321</v>
      </c>
      <c r="T144" s="59">
        <f t="shared" si="142"/>
        <v>251.60894449147008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78.272313352479273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78.272313352479273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5.6843418860808015E-14</v>
      </c>
      <c r="AJ144" s="13">
        <f>AI144*VLOOKUP('Données projet'!$B$10,Paramètres!$A$1:$I$89,3,0)*VLOOKUP('Données projet'!$B$10,Paramètres!$A$1:$I$89,5,0)</f>
        <v>2.8908289095852525E-14</v>
      </c>
      <c r="AK144" s="13">
        <f t="shared" si="143"/>
        <v>5.0177780569126974E-13</v>
      </c>
      <c r="AL144" s="20">
        <f t="shared" si="112"/>
        <v>9.2427828175423786E-13</v>
      </c>
      <c r="AM144" s="59">
        <f t="shared" si="113"/>
        <v>293.33333333333422</v>
      </c>
      <c r="AN144" s="59">
        <f ca="1">AVERAGE(OFFSET($AM$3,0,0,'Données projet'!$E$10+1,1))-AVERAGE(OFFSET($H$3,0,0,'Données projet'!$E$10+1,1))</f>
        <v>141.98581704643658</v>
      </c>
      <c r="AO144" s="59">
        <f t="shared" si="144"/>
        <v>396.03373990407204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10.208580324587174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6.2645656005164431E-17</v>
      </c>
      <c r="AX144" s="21">
        <f t="shared" si="114"/>
        <v>10.208580324587174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-5.6843418860808015E-14</v>
      </c>
      <c r="BE144" s="13">
        <f>BD144*VLOOKUP('Données projet'!$B$11,Paramètres!$A$1:$I$89,3,0)*VLOOKUP('Données projet'!$B$11,Paramètres!$A$1:$I$89,5,0)</f>
        <v>-3.2810021366458389E-14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122.36861947722917</v>
      </c>
      <c r="BJ144" s="59">
        <f t="shared" si="146"/>
        <v>341.51856651265109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8.8430013549097897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5.4265686639957801E-17</v>
      </c>
      <c r="BS144" s="22">
        <f t="shared" si="117"/>
        <v>8.8430013549097897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6">
        <f t="shared" si="110"/>
        <v>534.28585371217559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3.4</v>
      </c>
      <c r="N145" s="13">
        <f>IF('Données projet'!$A$36&gt;35,N144+M145-V144,IF(A145&lt;'Données projet'!$A$36,$K$205^A145,IF(A145='Données projet'!$A$36,'Données projet'!$B$36,N144+M145-V144)))</f>
        <v>305.79999999999995</v>
      </c>
      <c r="O145" s="13">
        <f>N145*VLOOKUP('Données projet'!$B$9,Paramètres!$A$1:$I$89,3,0)*VLOOKUP('Données projet'!$B$9,Paramètres!$A$1:$I$89,5,0)</f>
        <v>257.60591999999997</v>
      </c>
      <c r="P145" s="13">
        <f t="shared" si="141"/>
        <v>62.21178242147321</v>
      </c>
      <c r="Q145" s="20">
        <f t="shared" si="108"/>
        <v>557.01583171739912</v>
      </c>
      <c r="R145" s="59">
        <f t="shared" si="109"/>
        <v>850.34916505073238</v>
      </c>
      <c r="S145" s="59">
        <f ca="1">AVERAGE(OFFSET($R$3,0,0,'Données projet'!$E$9+1,1))-AVERAGE(OFFSET($H$3,0,0,'Données projet'!$E$9+1,1))</f>
        <v>328.34986205643321</v>
      </c>
      <c r="T145" s="59">
        <f t="shared" si="142"/>
        <v>251.60894449147008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76.73744102903423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76.73744102903423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5.6843418860808015E-14</v>
      </c>
      <c r="AJ145" s="13">
        <f>AI145*VLOOKUP('Données projet'!$B$10,Paramètres!$A$1:$I$89,3,0)*VLOOKUP('Données projet'!$B$10,Paramètres!$A$1:$I$89,5,0)</f>
        <v>2.8908289095852525E-14</v>
      </c>
      <c r="AK145" s="13">
        <f t="shared" si="143"/>
        <v>5.0177780569126974E-13</v>
      </c>
      <c r="AL145" s="20">
        <f t="shared" si="112"/>
        <v>9.2427828175423786E-13</v>
      </c>
      <c r="AM145" s="59">
        <f t="shared" si="113"/>
        <v>293.33333333333422</v>
      </c>
      <c r="AN145" s="59">
        <f ca="1">AVERAGE(OFFSET($AM$3,0,0,'Données projet'!$E$10+1,1))-AVERAGE(OFFSET($H$3,0,0,'Données projet'!$E$10+1,1))</f>
        <v>141.98581704643658</v>
      </c>
      <c r="AO145" s="59">
        <f t="shared" si="144"/>
        <v>396.03373990407204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10.008396291041191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4.4297168173131533E-17</v>
      </c>
      <c r="AX145" s="21">
        <f t="shared" si="114"/>
        <v>10.008396291041191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-5.6843418860808015E-14</v>
      </c>
      <c r="BE145" s="13">
        <f>BD145*VLOOKUP('Données projet'!$B$11,Paramètres!$A$1:$I$89,3,0)*VLOOKUP('Données projet'!$B$11,Paramètres!$A$1:$I$89,5,0)</f>
        <v>-3.2810021366458389E-14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122.36861947722917</v>
      </c>
      <c r="BJ145" s="59">
        <f t="shared" si="146"/>
        <v>341.51856651265109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8.6695954920382512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3.8371635008858399E-17</v>
      </c>
      <c r="BS145" s="22">
        <f t="shared" si="117"/>
        <v>8.6695954920382512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6">
        <f t="shared" si="110"/>
        <v>536.19346960991265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3.4</v>
      </c>
      <c r="N146" s="13">
        <f>IF('Données projet'!$A$36&gt;35,N145+M146-V145,IF(A146&lt;'Données projet'!$A$36,$K$205^A146,IF(A146='Données projet'!$A$36,'Données projet'!$B$36,N145+M146-V145)))</f>
        <v>309.19999999999993</v>
      </c>
      <c r="O146" s="13">
        <f>N146*VLOOKUP('Données projet'!$B$9,Paramètres!$A$1:$I$89,3,0)*VLOOKUP('Données projet'!$B$9,Paramètres!$A$1:$I$89,5,0)</f>
        <v>260.47007999999994</v>
      </c>
      <c r="P146" s="13">
        <f t="shared" si="141"/>
        <v>62.822569479065102</v>
      </c>
      <c r="Q146" s="20">
        <f t="shared" si="108"/>
        <v>563.06803117603829</v>
      </c>
      <c r="R146" s="59">
        <f t="shared" si="109"/>
        <v>856.40136450937166</v>
      </c>
      <c r="S146" s="59">
        <f ca="1">AVERAGE(OFFSET($R$3,0,0,'Données projet'!$E$9+1,1))-AVERAGE(OFFSET($H$3,0,0,'Données projet'!$E$9+1,1))</f>
        <v>328.34986205643321</v>
      </c>
      <c r="T146" s="59">
        <f t="shared" si="142"/>
        <v>251.60894449147008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75.232666615672258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75.232666615672258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5.6843418860808015E-14</v>
      </c>
      <c r="AJ146" s="13">
        <f>AI146*VLOOKUP('Données projet'!$B$10,Paramètres!$A$1:$I$89,3,0)*VLOOKUP('Données projet'!$B$10,Paramètres!$A$1:$I$89,5,0)</f>
        <v>2.8908289095852525E-14</v>
      </c>
      <c r="AK146" s="13">
        <f t="shared" si="143"/>
        <v>5.0177780569126974E-13</v>
      </c>
      <c r="AL146" s="20">
        <f t="shared" si="112"/>
        <v>9.2427828175423786E-13</v>
      </c>
      <c r="AM146" s="59">
        <f t="shared" si="113"/>
        <v>293.33333333333422</v>
      </c>
      <c r="AN146" s="59">
        <f ca="1">AVERAGE(OFFSET($AM$3,0,0,'Données projet'!$E$10+1,1))-AVERAGE(OFFSET($H$3,0,0,'Données projet'!$E$10+1,1))</f>
        <v>141.98581704643658</v>
      </c>
      <c r="AO146" s="59">
        <f t="shared" si="144"/>
        <v>396.03373990407204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9.8121377442928388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3.1322828002582216E-17</v>
      </c>
      <c r="AX146" s="21">
        <f t="shared" si="114"/>
        <v>9.8121377442928388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-5.6843418860808015E-14</v>
      </c>
      <c r="BE146" s="13">
        <f>BD146*VLOOKUP('Données projet'!$B$11,Paramètres!$A$1:$I$89,3,0)*VLOOKUP('Données projet'!$B$11,Paramètres!$A$1:$I$89,5,0)</f>
        <v>-3.2810021366458389E-14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122.36861947722917</v>
      </c>
      <c r="BJ146" s="59">
        <f t="shared" si="146"/>
        <v>341.51856651265109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8.4995900123704917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2.7132843319978904E-17</v>
      </c>
      <c r="BS146" s="22">
        <f t="shared" si="117"/>
        <v>8.4995900123704917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6">
        <f t="shared" si="110"/>
        <v>538.10079346334646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3.4</v>
      </c>
      <c r="N147" s="13">
        <f>IF('Données projet'!$A$36&gt;35,N146+M147-V146,IF(A147&lt;'Données projet'!$A$36,$K$205^A147,IF(A147='Données projet'!$A$36,'Données projet'!$B$36,N146+M147-V146)))</f>
        <v>312.59999999999991</v>
      </c>
      <c r="O147" s="13">
        <f>N147*VLOOKUP('Données projet'!$B$9,Paramètres!$A$1:$I$89,3,0)*VLOOKUP('Données projet'!$B$9,Paramètres!$A$1:$I$89,5,0)</f>
        <v>263.33423999999997</v>
      </c>
      <c r="P147" s="13">
        <f t="shared" si="141"/>
        <v>63.432575244281175</v>
      </c>
      <c r="Q147" s="20">
        <f t="shared" si="108"/>
        <v>569.11886988378967</v>
      </c>
      <c r="R147" s="59">
        <f t="shared" si="109"/>
        <v>862.45220321712304</v>
      </c>
      <c r="S147" s="59">
        <f ca="1">AVERAGE(OFFSET($R$3,0,0,'Données projet'!$E$9+1,1))-AVERAGE(OFFSET($H$3,0,0,'Données projet'!$E$9+1,1))</f>
        <v>328.34986205643321</v>
      </c>
      <c r="T147" s="59">
        <f t="shared" si="142"/>
        <v>251.60894449147008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73.757399910734563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73.757399910734563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5.6843418860808015E-14</v>
      </c>
      <c r="AJ147" s="13">
        <f>AI147*VLOOKUP('Données projet'!$B$10,Paramètres!$A$1:$I$89,3,0)*VLOOKUP('Données projet'!$B$10,Paramètres!$A$1:$I$89,5,0)</f>
        <v>2.8908289095852525E-14</v>
      </c>
      <c r="AK147" s="13">
        <f t="shared" si="143"/>
        <v>5.0177780569126974E-13</v>
      </c>
      <c r="AL147" s="20">
        <f t="shared" si="112"/>
        <v>9.2427828175423786E-13</v>
      </c>
      <c r="AM147" s="59">
        <f t="shared" si="113"/>
        <v>293.33333333333422</v>
      </c>
      <c r="AN147" s="59">
        <f ca="1">AVERAGE(OFFSET($AM$3,0,0,'Données projet'!$E$10+1,1))-AVERAGE(OFFSET($H$3,0,0,'Données projet'!$E$10+1,1))</f>
        <v>141.98581704643658</v>
      </c>
      <c r="AO147" s="59">
        <f t="shared" si="144"/>
        <v>396.03373990407204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9.6197277079403296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2.2148584086565766E-17</v>
      </c>
      <c r="AX147" s="21">
        <f t="shared" si="114"/>
        <v>9.6197277079403296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-5.6843418860808015E-14</v>
      </c>
      <c r="BE147" s="13">
        <f>BD147*VLOOKUP('Données projet'!$B$11,Paramètres!$A$1:$I$89,3,0)*VLOOKUP('Données projet'!$B$11,Paramètres!$A$1:$I$89,5,0)</f>
        <v>-3.2810021366458389E-14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122.36861947722917</v>
      </c>
      <c r="BJ147" s="59">
        <f t="shared" si="146"/>
        <v>341.51856651265109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8.3329182364659129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1.9185817504429203E-17</v>
      </c>
      <c r="BS147" s="22">
        <f t="shared" si="117"/>
        <v>8.3329182364659129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6">
        <f t="shared" si="110"/>
        <v>540.00782753575277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3.4</v>
      </c>
      <c r="N148" s="13">
        <f>IF('Données projet'!$A$36&gt;35,N147+M148-V147,IF(A148&lt;'Données projet'!$A$36,$K$205^A148,IF(A148='Données projet'!$A$36,'Données projet'!$B$36,N147+M148-V147)))</f>
        <v>315.99999999999989</v>
      </c>
      <c r="O148" s="13">
        <f>N148*VLOOKUP('Données projet'!$B$9,Paramètres!$A$1:$I$89,3,0)*VLOOKUP('Données projet'!$B$9,Paramètres!$A$1:$I$89,5,0)</f>
        <v>266.19839999999994</v>
      </c>
      <c r="P148" s="13">
        <f t="shared" si="141"/>
        <v>64.041809198373215</v>
      </c>
      <c r="Q148" s="20">
        <f t="shared" si="108"/>
        <v>575.16836435383323</v>
      </c>
      <c r="R148" s="59">
        <f t="shared" si="109"/>
        <v>868.5016976871666</v>
      </c>
      <c r="S148" s="59">
        <f ca="1">AVERAGE(OFFSET($R$3,0,0,'Données projet'!$E$9+1,1))-AVERAGE(OFFSET($H$3,0,0,'Données projet'!$E$9+1,1))</f>
        <v>328.34986205643321</v>
      </c>
      <c r="T148" s="59">
        <f t="shared" si="142"/>
        <v>251.60894449147008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72.311062286056853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72.311062286056853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5.6843418860808015E-14</v>
      </c>
      <c r="AJ148" s="13">
        <f>AI148*VLOOKUP('Données projet'!$B$10,Paramètres!$A$1:$I$89,3,0)*VLOOKUP('Données projet'!$B$10,Paramètres!$A$1:$I$89,5,0)</f>
        <v>2.8908289095852525E-14</v>
      </c>
      <c r="AK148" s="13">
        <f t="shared" si="143"/>
        <v>5.0177780569126974E-13</v>
      </c>
      <c r="AL148" s="20">
        <f t="shared" si="112"/>
        <v>9.2427828175423786E-13</v>
      </c>
      <c r="AM148" s="59">
        <f t="shared" si="113"/>
        <v>293.33333333333422</v>
      </c>
      <c r="AN148" s="59">
        <f ca="1">AVERAGE(OFFSET($AM$3,0,0,'Données projet'!$E$10+1,1))-AVERAGE(OFFSET($H$3,0,0,'Données projet'!$E$10+1,1))</f>
        <v>141.98581704643658</v>
      </c>
      <c r="AO148" s="59">
        <f t="shared" si="144"/>
        <v>396.03373990407204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9.4310907150421581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1.5661414001291108E-17</v>
      </c>
      <c r="AX148" s="21">
        <f t="shared" si="114"/>
        <v>9.4310907150421581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-5.6843418860808015E-14</v>
      </c>
      <c r="BE148" s="13">
        <f>BD148*VLOOKUP('Données projet'!$B$11,Paramètres!$A$1:$I$89,3,0)*VLOOKUP('Données projet'!$B$11,Paramètres!$A$1:$I$89,5,0)</f>
        <v>-3.2810021366458389E-14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122.36861947722917</v>
      </c>
      <c r="BJ148" s="59">
        <f t="shared" si="146"/>
        <v>341.51856651265109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8.1695147924270781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1.3566421659989455E-17</v>
      </c>
      <c r="BS148" s="22">
        <f t="shared" si="117"/>
        <v>8.1695147924270781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6">
        <f t="shared" si="110"/>
        <v>541.91457405738606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3.4</v>
      </c>
      <c r="N149" s="13">
        <f>IF('Données projet'!$A$36&gt;35,N148+M149-V148,IF(A149&lt;'Données projet'!$A$36,$K$205^A149,IF(A149='Données projet'!$A$36,'Données projet'!$B$36,N148+M149-V148)))</f>
        <v>319.39999999999986</v>
      </c>
      <c r="O149" s="13">
        <f>N149*VLOOKUP('Données projet'!$B$9,Paramètres!$A$1:$I$89,3,0)*VLOOKUP('Données projet'!$B$9,Paramètres!$A$1:$I$89,5,0)</f>
        <v>269.06255999999991</v>
      </c>
      <c r="P149" s="13">
        <f t="shared" si="141"/>
        <v>64.650280606814434</v>
      </c>
      <c r="Q149" s="20">
        <f t="shared" si="108"/>
        <v>581.2165307235349</v>
      </c>
      <c r="R149" s="59">
        <f t="shared" si="109"/>
        <v>874.54986405686827</v>
      </c>
      <c r="S149" s="59">
        <f ca="1">AVERAGE(OFFSET($R$3,0,0,'Données projet'!$E$9+1,1))-AVERAGE(OFFSET($H$3,0,0,'Données projet'!$E$9+1,1))</f>
        <v>328.34986205643321</v>
      </c>
      <c r="T149" s="59">
        <f t="shared" si="142"/>
        <v>251.60894449147008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70.893086460020228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70.893086460020228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5.6843418860808015E-14</v>
      </c>
      <c r="AJ149" s="13">
        <f>AI149*VLOOKUP('Données projet'!$B$10,Paramètres!$A$1:$I$89,3,0)*VLOOKUP('Données projet'!$B$10,Paramètres!$A$1:$I$89,5,0)</f>
        <v>2.8908289095852525E-14</v>
      </c>
      <c r="AK149" s="13">
        <f t="shared" si="143"/>
        <v>5.0177780569126974E-13</v>
      </c>
      <c r="AL149" s="20">
        <f t="shared" si="112"/>
        <v>9.2427828175423786E-13</v>
      </c>
      <c r="AM149" s="59">
        <f t="shared" si="113"/>
        <v>293.33333333333422</v>
      </c>
      <c r="AN149" s="59">
        <f ca="1">AVERAGE(OFFSET($AM$3,0,0,'Données projet'!$E$10+1,1))-AVERAGE(OFFSET($H$3,0,0,'Données projet'!$E$10+1,1))</f>
        <v>141.98581704643658</v>
      </c>
      <c r="AO149" s="59">
        <f t="shared" si="144"/>
        <v>396.03373990407204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9.2461527785175157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1.1074292043282883E-17</v>
      </c>
      <c r="AX149" s="21">
        <f t="shared" si="114"/>
        <v>9.2461527785175157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-5.6843418860808015E-14</v>
      </c>
      <c r="BE149" s="13">
        <f>BD149*VLOOKUP('Données projet'!$B$11,Paramètres!$A$1:$I$89,3,0)*VLOOKUP('Données projet'!$B$11,Paramètres!$A$1:$I$89,5,0)</f>
        <v>-3.2810021366458389E-14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122.36861947722917</v>
      </c>
      <c r="BJ149" s="59">
        <f t="shared" si="146"/>
        <v>341.51856651265109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8.0093155902595843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9.5929087522146029E-18</v>
      </c>
      <c r="BS149" s="22">
        <f t="shared" si="117"/>
        <v>8.0093155902595843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6">
        <f t="shared" si="110"/>
        <v>543.82103522618308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3.4</v>
      </c>
      <c r="N150" s="13">
        <f>IF('Données projet'!$A$36&gt;35,N149+M150-V149,IF(A150&lt;'Données projet'!$A$36,$K$205^A150,IF(A150='Données projet'!$A$36,'Données projet'!$B$36,N149+M150-V149)))</f>
        <v>322.79999999999984</v>
      </c>
      <c r="O150" s="13">
        <f>N150*VLOOKUP('Données projet'!$B$9,Paramètres!$A$1:$I$89,3,0)*VLOOKUP('Données projet'!$B$9,Paramètres!$A$1:$I$89,5,0)</f>
        <v>271.92671999999988</v>
      </c>
      <c r="P150" s="13">
        <f t="shared" si="141"/>
        <v>65.257998526454017</v>
      </c>
      <c r="Q150" s="20">
        <f t="shared" si="108"/>
        <v>587.26338476690717</v>
      </c>
      <c r="R150" s="59">
        <f t="shared" si="109"/>
        <v>880.59671810024042</v>
      </c>
      <c r="S150" s="59">
        <f ca="1">AVERAGE(OFFSET($R$3,0,0,'Données projet'!$E$9+1,1))-AVERAGE(OFFSET($H$3,0,0,'Données projet'!$E$9+1,1))</f>
        <v>328.34986205643321</v>
      </c>
      <c r="T150" s="59">
        <f t="shared" si="142"/>
        <v>251.60894449147008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69.502916275052328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69.502916275052328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5.6843418860808015E-14</v>
      </c>
      <c r="AJ150" s="13">
        <f>AI150*VLOOKUP('Données projet'!$B$10,Paramètres!$A$1:$I$89,3,0)*VLOOKUP('Données projet'!$B$10,Paramètres!$A$1:$I$89,5,0)</f>
        <v>2.8908289095852525E-14</v>
      </c>
      <c r="AK150" s="13">
        <f t="shared" si="143"/>
        <v>5.0177780569126974E-13</v>
      </c>
      <c r="AL150" s="20">
        <f t="shared" si="112"/>
        <v>9.2427828175423786E-13</v>
      </c>
      <c r="AM150" s="59">
        <f t="shared" si="113"/>
        <v>293.33333333333422</v>
      </c>
      <c r="AN150" s="59">
        <f ca="1">AVERAGE(OFFSET($AM$3,0,0,'Données projet'!$E$10+1,1))-AVERAGE(OFFSET($H$3,0,0,'Données projet'!$E$10+1,1))</f>
        <v>141.98581704643658</v>
      </c>
      <c r="AO150" s="59">
        <f t="shared" si="144"/>
        <v>396.03373990407204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9.0648413621271189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7.8307070006455539E-18</v>
      </c>
      <c r="AX150" s="21">
        <f t="shared" si="114"/>
        <v>9.0648413621271189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-5.6843418860808015E-14</v>
      </c>
      <c r="BE150" s="13">
        <f>BD150*VLOOKUP('Données projet'!$B$11,Paramètres!$A$1:$I$89,3,0)*VLOOKUP('Données projet'!$B$11,Paramètres!$A$1:$I$89,5,0)</f>
        <v>-3.2810021366458389E-14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122.36861947722917</v>
      </c>
      <c r="BJ150" s="59">
        <f t="shared" si="146"/>
        <v>341.51856651265109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7.8522577967347305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6.7832108299947282E-18</v>
      </c>
      <c r="BS150" s="22">
        <f t="shared" si="117"/>
        <v>7.8522577967347305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6">
        <f t="shared" si="110"/>
        <v>545.72721320844835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3.4</v>
      </c>
      <c r="N151" s="13">
        <f>IF('Données projet'!$A$36&gt;35,N150+M151-V150,IF(A151&lt;'Données projet'!$A$36,$K$205^A151,IF(A151='Données projet'!$A$36,'Données projet'!$B$36,N150+M151-V150)))</f>
        <v>326.19999999999982</v>
      </c>
      <c r="O151" s="13">
        <f>N151*VLOOKUP('Données projet'!$B$9,Paramètres!$A$1:$I$89,3,0)*VLOOKUP('Données projet'!$B$9,Paramètres!$A$1:$I$89,5,0)</f>
        <v>274.79087999999985</v>
      </c>
      <c r="P151" s="13">
        <f t="shared" si="141"/>
        <v>65.86497181236102</v>
      </c>
      <c r="Q151" s="20">
        <f t="shared" si="108"/>
        <v>593.3089419065285</v>
      </c>
      <c r="R151" s="59">
        <f t="shared" si="109"/>
        <v>886.64227523986187</v>
      </c>
      <c r="S151" s="59">
        <f ca="1">AVERAGE(OFFSET($R$3,0,0,'Données projet'!$E$9+1,1))-AVERAGE(OFFSET($H$3,0,0,'Données projet'!$E$9+1,1))</f>
        <v>328.34986205643321</v>
      </c>
      <c r="T151" s="59">
        <f t="shared" si="142"/>
        <v>251.60894449147008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68.140006479491561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68.140006479491561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5.6843418860808015E-14</v>
      </c>
      <c r="AJ151" s="13">
        <f>AI151*VLOOKUP('Données projet'!$B$10,Paramètres!$A$1:$I$89,3,0)*VLOOKUP('Données projet'!$B$10,Paramètres!$A$1:$I$89,5,0)</f>
        <v>2.8908289095852525E-14</v>
      </c>
      <c r="AK151" s="13">
        <f t="shared" si="143"/>
        <v>5.0177780569126974E-13</v>
      </c>
      <c r="AL151" s="20">
        <f t="shared" si="112"/>
        <v>9.2427828175423786E-13</v>
      </c>
      <c r="AM151" s="59">
        <f t="shared" si="113"/>
        <v>293.33333333333422</v>
      </c>
      <c r="AN151" s="59">
        <f ca="1">AVERAGE(OFFSET($AM$3,0,0,'Données projet'!$E$10+1,1))-AVERAGE(OFFSET($H$3,0,0,'Données projet'!$E$10+1,1))</f>
        <v>141.98581704643658</v>
      </c>
      <c r="AO151" s="59">
        <f t="shared" si="144"/>
        <v>396.03373990407204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8.8870853520230924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5.5371460216414416E-18</v>
      </c>
      <c r="AX151" s="21">
        <f t="shared" si="114"/>
        <v>8.8870853520230924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-5.6843418860808015E-14</v>
      </c>
      <c r="BE151" s="13">
        <f>BD151*VLOOKUP('Données projet'!$B$11,Paramètres!$A$1:$I$89,3,0)*VLOOKUP('Données projet'!$B$11,Paramètres!$A$1:$I$89,5,0)</f>
        <v>-3.2810021366458389E-14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122.36861947722917</v>
      </c>
      <c r="BJ151" s="59">
        <f t="shared" si="146"/>
        <v>341.51856651265109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7.6982798107451043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4.7964543761073022E-18</v>
      </c>
      <c r="BS151" s="22">
        <f t="shared" si="117"/>
        <v>7.6982798107451043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6">
        <f t="shared" si="110"/>
        <v>547.63311013951943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3.4</v>
      </c>
      <c r="N152" s="13">
        <f>IF('Données projet'!$A$36&gt;35,N151+M152-V151,IF(A152&lt;'Données projet'!$A$36,$K$205^A152,IF(A152='Données projet'!$A$36,'Données projet'!$B$36,N151+M152-V151)))</f>
        <v>329.5999999999998</v>
      </c>
      <c r="O152" s="13">
        <f>N152*VLOOKUP('Données projet'!$B$9,Paramètres!$A$1:$I$89,3,0)*VLOOKUP('Données projet'!$B$9,Paramètres!$A$1:$I$89,5,0)</f>
        <v>277.65503999999987</v>
      </c>
      <c r="P152" s="13">
        <f t="shared" si="141"/>
        <v>66.47120912437552</v>
      </c>
      <c r="Q152" s="20">
        <f t="shared" si="108"/>
        <v>599.35321722495371</v>
      </c>
      <c r="R152" s="59">
        <f t="shared" si="109"/>
        <v>892.68655055828708</v>
      </c>
      <c r="S152" s="59">
        <f ca="1">AVERAGE(OFFSET($R$3,0,0,'Données projet'!$E$9+1,1))-AVERAGE(OFFSET($H$3,0,0,'Données projet'!$E$9+1,1))</f>
        <v>328.34986205643321</v>
      </c>
      <c r="T152" s="59">
        <f t="shared" si="142"/>
        <v>251.60894449147008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66.803822513728846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66.803822513728846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5.6843418860808015E-14</v>
      </c>
      <c r="AJ152" s="13">
        <f>AI152*VLOOKUP('Données projet'!$B$10,Paramètres!$A$1:$I$89,3,0)*VLOOKUP('Données projet'!$B$10,Paramètres!$A$1:$I$89,5,0)</f>
        <v>2.8908289095852525E-14</v>
      </c>
      <c r="AK152" s="13">
        <f t="shared" si="143"/>
        <v>5.0177780569126974E-13</v>
      </c>
      <c r="AL152" s="20">
        <f t="shared" si="112"/>
        <v>9.2427828175423786E-13</v>
      </c>
      <c r="AM152" s="59">
        <f t="shared" si="113"/>
        <v>293.33333333333422</v>
      </c>
      <c r="AN152" s="59">
        <f ca="1">AVERAGE(OFFSET($AM$3,0,0,'Données projet'!$E$10+1,1))-AVERAGE(OFFSET($H$3,0,0,'Données projet'!$E$10+1,1))</f>
        <v>141.98581704643658</v>
      </c>
      <c r="AO152" s="59">
        <f t="shared" si="144"/>
        <v>396.03373990407204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8.7128150288567454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3.915353500322777E-18</v>
      </c>
      <c r="AX152" s="21">
        <f t="shared" si="114"/>
        <v>8.7128150288567454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-5.6843418860808015E-14</v>
      </c>
      <c r="BE152" s="13">
        <f>BD152*VLOOKUP('Données projet'!$B$11,Paramètres!$A$1:$I$89,3,0)*VLOOKUP('Données projet'!$B$11,Paramètres!$A$1:$I$89,5,0)</f>
        <v>-3.2810021366458389E-14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122.36861947722917</v>
      </c>
      <c r="BJ152" s="59">
        <f t="shared" si="146"/>
        <v>341.51856651265109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7.5473212391434368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3.3916054149973649E-18</v>
      </c>
      <c r="BS152" s="22">
        <f t="shared" si="117"/>
        <v>7.5473212391434368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6">
        <f t="shared" si="110"/>
        <v>549.53872812441477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>
        <f>VLOOKUP(A153,'Données projet'!$A$35:$I$55,2,0)</f>
        <v>333</v>
      </c>
      <c r="L153" s="12">
        <f>VLOOKUP(A153,'Données projet'!$A$35:$I$55,9,0)</f>
        <v>3.4</v>
      </c>
      <c r="M153" s="12">
        <f t="array" ref="M153">INDEX(L:L,MIN(IF(ISNUMBER(L153:L349),ROW(L153:L349),"")))</f>
        <v>3.4</v>
      </c>
      <c r="N153" s="13">
        <f>IF('Données projet'!$A$36&gt;35,N152+M153-V152,IF(A153&lt;'Données projet'!$A$36,$K$205^A153,IF(A153='Données projet'!$A$36,'Données projet'!$B$36,N152+M153-V152)))</f>
        <v>332.99999999999977</v>
      </c>
      <c r="O153" s="13">
        <f>N153*VLOOKUP('Données projet'!$B$9,Paramètres!$A$1:$I$89,3,0)*VLOOKUP('Données projet'!$B$9,Paramètres!$A$1:$I$89,5,0)</f>
        <v>280.51919999999984</v>
      </c>
      <c r="P153" s="13">
        <f t="shared" si="141"/>
        <v>67.076718933381159</v>
      </c>
      <c r="Q153" s="20">
        <f t="shared" si="108"/>
        <v>605.39622547563852</v>
      </c>
      <c r="R153" s="59">
        <f t="shared" si="109"/>
        <v>898.72955880897189</v>
      </c>
      <c r="S153" s="59">
        <f ca="1">AVERAGE(OFFSET($R$3,0,0,'Données projet'!$E$9+1,1))-AVERAGE(OFFSET($H$3,0,0,'Données projet'!$E$9+1,1))</f>
        <v>328.34986205643321</v>
      </c>
      <c r="T153" s="59">
        <f t="shared" si="142"/>
        <v>251.60894449147008</v>
      </c>
      <c r="U153" s="15">
        <f>IF(ISNA(VLOOKUP(A153,'Données projet'!$A$35:$I$55,3,0)),0,VLOOKUP(A153,'Données projet'!$A$35:$I$55,3,0))</f>
        <v>14</v>
      </c>
      <c r="V153" s="15">
        <f>IF(ISNA(VLOOKUP(A153,'Données projet'!$A$35:$I$55,4,0)),0,VLOOKUP(A153,'Données projet'!$A$35:$I$55,4,0))</f>
        <v>333</v>
      </c>
      <c r="W153" s="16">
        <f>IF(ISNA(VLOOKUP(A153,'Données projet'!$A$35:$I$55,5,0)),0%,VLOOKUP(A153,'Données projet'!$A$35:$I$55,5,0)*VLOOKUP('Données projet'!$B$9,Paramètres!$A$1:$I$89,7,0))</f>
        <v>0.36549999999999999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178.83746140274019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178.83746140274019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5.6843418860808015E-14</v>
      </c>
      <c r="AJ153" s="13">
        <f>AI153*VLOOKUP('Données projet'!$B$10,Paramètres!$A$1:$I$89,3,0)*VLOOKUP('Données projet'!$B$10,Paramètres!$A$1:$I$89,5,0)</f>
        <v>2.8908289095852525E-14</v>
      </c>
      <c r="AK153" s="13">
        <f t="shared" si="143"/>
        <v>5.0177780569126974E-13</v>
      </c>
      <c r="AL153" s="20">
        <f t="shared" si="112"/>
        <v>9.2427828175423786E-13</v>
      </c>
      <c r="AM153" s="59">
        <f t="shared" si="113"/>
        <v>293.33333333333422</v>
      </c>
      <c r="AN153" s="59">
        <f ca="1">AVERAGE(OFFSET($AM$3,0,0,'Données projet'!$E$10+1,1))-AVERAGE(OFFSET($H$3,0,0,'Données projet'!$E$10+1,1))</f>
        <v>141.98581704643658</v>
      </c>
      <c r="AO153" s="59">
        <f t="shared" si="144"/>
        <v>396.03373990407204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8.5419620404332903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2.7685730108207208E-18</v>
      </c>
      <c r="AX153" s="21">
        <f t="shared" si="114"/>
        <v>8.5419620404332903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-5.6843418860808015E-14</v>
      </c>
      <c r="BE153" s="13">
        <f>BD153*VLOOKUP('Données projet'!$B$11,Paramètres!$A$1:$I$89,3,0)*VLOOKUP('Données projet'!$B$11,Paramètres!$A$1:$I$89,5,0)</f>
        <v>-3.2810021366458389E-14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122.36861947722917</v>
      </c>
      <c r="BJ153" s="59">
        <f t="shared" si="146"/>
        <v>341.51856651265109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7.3993228730552412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2.3982271880536515E-18</v>
      </c>
      <c r="BS153" s="22">
        <f t="shared" si="117"/>
        <v>7.3993228730552412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6">
        <f t="shared" si="110"/>
        <v>551.4440692384635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-2.2737367544323206E-13</v>
      </c>
      <c r="O154" s="13">
        <f>N154*VLOOKUP('Données projet'!$B$9,Paramètres!$A$1:$I$89,3,0)*VLOOKUP('Données projet'!$B$9,Paramètres!$A$1:$I$89,5,0)</f>
        <v>-1.915395841933787E-13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328.34986205643321</v>
      </c>
      <c r="T154" s="59">
        <f t="shared" si="142"/>
        <v>251.60894449147008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175.33056786471315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175.33056786471315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5.6843418860808015E-14</v>
      </c>
      <c r="AJ154" s="13">
        <f>AI154*VLOOKUP('Données projet'!$B$10,Paramètres!$A$1:$I$89,3,0)*VLOOKUP('Données projet'!$B$10,Paramètres!$A$1:$I$89,5,0)</f>
        <v>2.8908289095852525E-14</v>
      </c>
      <c r="AK154" s="13">
        <f t="shared" ref="AK154:AK203" si="164">EXP(-1.0587+0.8836*LN(AJ154)+0.284)</f>
        <v>5.0177780569126974E-13</v>
      </c>
      <c r="AL154" s="20">
        <f t="shared" ref="AL154:AL203" si="165">(AJ154+AK154)*0.475*44/12</f>
        <v>9.2427828175423786E-13</v>
      </c>
      <c r="AM154" s="59">
        <f t="shared" si="113"/>
        <v>293.33333333333422</v>
      </c>
      <c r="AN154" s="59">
        <f ca="1">AVERAGE(OFFSET($AM$3,0,0,'Données projet'!$E$10+1,1))-AVERAGE(OFFSET($H$3,0,0,'Données projet'!$E$10+1,1))</f>
        <v>141.98581704643658</v>
      </c>
      <c r="AO154" s="59">
        <f t="shared" si="144"/>
        <v>396.03373990407204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8.374459374902786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1.9576767501613885E-18</v>
      </c>
      <c r="AX154" s="21">
        <f t="shared" ref="AX154:AX203" si="166">SUM(AU154:AW154)</f>
        <v>8.374459374902786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-5.6843418860808015E-14</v>
      </c>
      <c r="BE154" s="13">
        <f>BD154*VLOOKUP('Données projet'!$B$11,Paramètres!$A$1:$I$89,3,0)*VLOOKUP('Données projet'!$B$11,Paramètres!$A$1:$I$89,5,0)</f>
        <v>-3.2810021366458389E-14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122.36861947722917</v>
      </c>
      <c r="BJ154" s="59">
        <f t="shared" si="146"/>
        <v>341.51856651265109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7.2542266646559446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1.6958027074986826E-18</v>
      </c>
      <c r="BS154" s="22">
        <f t="shared" ref="BS154:BS203" si="169">SUM(BP154:BR154)</f>
        <v>7.2542266646559446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6">
        <f t="shared" si="110"/>
        <v>553.34913552791727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-2.2737367544323206E-13</v>
      </c>
      <c r="O155" s="13">
        <f>N155*VLOOKUP('Données projet'!$B$9,Paramètres!$A$1:$I$89,3,0)*VLOOKUP('Données projet'!$B$9,Paramètres!$A$1:$I$89,5,0)</f>
        <v>-1.915395841933787E-13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328.34986205643321</v>
      </c>
      <c r="T155" s="59">
        <f t="shared" si="142"/>
        <v>251.60894449147008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171.89244236997297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171.89244236997297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5.6843418860808015E-14</v>
      </c>
      <c r="AJ155" s="13">
        <f>AI155*VLOOKUP('Données projet'!$B$10,Paramètres!$A$1:$I$89,3,0)*VLOOKUP('Données projet'!$B$10,Paramètres!$A$1:$I$89,5,0)</f>
        <v>2.8908289095852525E-14</v>
      </c>
      <c r="AK155" s="13">
        <f t="shared" si="164"/>
        <v>5.0177780569126974E-13</v>
      </c>
      <c r="AL155" s="20">
        <f t="shared" si="165"/>
        <v>9.2427828175423786E-13</v>
      </c>
      <c r="AM155" s="59">
        <f t="shared" si="113"/>
        <v>293.33333333333422</v>
      </c>
      <c r="AN155" s="59">
        <f ca="1">AVERAGE(OFFSET($AM$3,0,0,'Données projet'!$E$10+1,1))-AVERAGE(OFFSET($H$3,0,0,'Données projet'!$E$10+1,1))</f>
        <v>141.98581704643658</v>
      </c>
      <c r="AO155" s="59">
        <f t="shared" si="144"/>
        <v>396.03373990407204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8.2102413344767964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1.3842865054103604E-18</v>
      </c>
      <c r="AX155" s="21">
        <f t="shared" si="166"/>
        <v>8.2102413344767964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-5.6843418860808015E-14</v>
      </c>
      <c r="BE155" s="13">
        <f>BD155*VLOOKUP('Données projet'!$B$11,Paramètres!$A$1:$I$89,3,0)*VLOOKUP('Données projet'!$B$11,Paramètres!$A$1:$I$89,5,0)</f>
        <v>-3.2810021366458389E-14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122.36861947722917</v>
      </c>
      <c r="BJ155" s="59">
        <f t="shared" si="146"/>
        <v>341.51856651265109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7.1119757044034095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1.1991135940268259E-18</v>
      </c>
      <c r="BS155" s="22">
        <f t="shared" si="169"/>
        <v>7.1119757044034095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6">
        <f t="shared" si="110"/>
        <v>555.25392901054693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-2.2737367544323206E-13</v>
      </c>
      <c r="O156" s="13">
        <f>N156*VLOOKUP('Données projet'!$B$9,Paramètres!$A$1:$I$89,3,0)*VLOOKUP('Données projet'!$B$9,Paramètres!$A$1:$I$89,5,0)</f>
        <v>-1.915395841933787E-13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328.34986205643321</v>
      </c>
      <c r="T156" s="59">
        <f t="shared" si="142"/>
        <v>251.60894449147008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168.52173641913515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168.52173641913515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5.6843418860808015E-14</v>
      </c>
      <c r="AJ156" s="13">
        <f>AI156*VLOOKUP('Données projet'!$B$10,Paramètres!$A$1:$I$89,3,0)*VLOOKUP('Données projet'!$B$10,Paramètres!$A$1:$I$89,5,0)</f>
        <v>2.8908289095852525E-14</v>
      </c>
      <c r="AK156" s="13">
        <f t="shared" si="164"/>
        <v>5.0177780569126974E-13</v>
      </c>
      <c r="AL156" s="20">
        <f t="shared" si="165"/>
        <v>9.2427828175423786E-13</v>
      </c>
      <c r="AM156" s="59">
        <f t="shared" si="113"/>
        <v>293.33333333333422</v>
      </c>
      <c r="AN156" s="59">
        <f ca="1">AVERAGE(OFFSET($AM$3,0,0,'Données projet'!$E$10+1,1))-AVERAGE(OFFSET($H$3,0,0,'Données projet'!$E$10+1,1))</f>
        <v>141.98581704643658</v>
      </c>
      <c r="AO156" s="59">
        <f t="shared" si="144"/>
        <v>396.03373990407204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8.049243509660446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9.7883837508069424E-19</v>
      </c>
      <c r="AX156" s="21">
        <f t="shared" si="166"/>
        <v>8.049243509660446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-5.6843418860808015E-14</v>
      </c>
      <c r="BE156" s="13">
        <f>BD156*VLOOKUP('Données projet'!$B$11,Paramètres!$A$1:$I$89,3,0)*VLOOKUP('Données projet'!$B$11,Paramètres!$A$1:$I$89,5,0)</f>
        <v>-3.2810021366458389E-14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122.36861947722917</v>
      </c>
      <c r="BJ156" s="59">
        <f t="shared" si="146"/>
        <v>341.51856651265109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6.972514198716909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8.4790135374934141E-19</v>
      </c>
      <c r="BS156" s="22">
        <f t="shared" si="169"/>
        <v>6.972514198716909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6">
        <f t="shared" si="110"/>
        <v>557.1584516762224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-2.2737367544323206E-13</v>
      </c>
      <c r="O157" s="13">
        <f>N157*VLOOKUP('Données projet'!$B$9,Paramètres!$A$1:$I$89,3,0)*VLOOKUP('Données projet'!$B$9,Paramètres!$A$1:$I$89,5,0)</f>
        <v>-1.915395841933787E-13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328.34986205643321</v>
      </c>
      <c r="T157" s="59">
        <f t="shared" si="142"/>
        <v>251.60894449147008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165.21712795606564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165.21712795606564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5.6843418860808015E-14</v>
      </c>
      <c r="AJ157" s="13">
        <f>AI157*VLOOKUP('Données projet'!$B$10,Paramètres!$A$1:$I$89,3,0)*VLOOKUP('Données projet'!$B$10,Paramètres!$A$1:$I$89,5,0)</f>
        <v>2.8908289095852525E-14</v>
      </c>
      <c r="AK157" s="13">
        <f t="shared" si="164"/>
        <v>5.0177780569126974E-13</v>
      </c>
      <c r="AL157" s="20">
        <f t="shared" si="165"/>
        <v>9.2427828175423786E-13</v>
      </c>
      <c r="AM157" s="59">
        <f t="shared" si="113"/>
        <v>293.33333333333422</v>
      </c>
      <c r="AN157" s="59">
        <f ca="1">AVERAGE(OFFSET($AM$3,0,0,'Données projet'!$E$10+1,1))-AVERAGE(OFFSET($H$3,0,0,'Données projet'!$E$10+1,1))</f>
        <v>141.98581704643658</v>
      </c>
      <c r="AO157" s="59">
        <f t="shared" si="144"/>
        <v>396.03373990407204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7.8914027539897678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6.921432527051802E-19</v>
      </c>
      <c r="AX157" s="21">
        <f t="shared" si="166"/>
        <v>7.8914027539897678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-5.6843418860808015E-14</v>
      </c>
      <c r="BE157" s="13">
        <f>BD157*VLOOKUP('Données projet'!$B$11,Paramètres!$A$1:$I$89,3,0)*VLOOKUP('Données projet'!$B$11,Paramètres!$A$1:$I$89,5,0)</f>
        <v>-3.2810021366458389E-14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122.36861947722917</v>
      </c>
      <c r="BJ157" s="59">
        <f t="shared" si="146"/>
        <v>341.51856651265109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6.835787448093801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5.9955679701341307E-19</v>
      </c>
      <c r="BS157" s="22">
        <f t="shared" si="169"/>
        <v>6.835787448093801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6">
        <f t="shared" si="110"/>
        <v>559.06270548747648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-2.2737367544323206E-13</v>
      </c>
      <c r="O158" s="13">
        <f>N158*VLOOKUP('Données projet'!$B$9,Paramètres!$A$1:$I$89,3,0)*VLOOKUP('Données projet'!$B$9,Paramètres!$A$1:$I$89,5,0)</f>
        <v>-1.915395841933787E-13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328.34986205643321</v>
      </c>
      <c r="T158" s="59">
        <f t="shared" si="142"/>
        <v>251.60894449147008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161.97732084934478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161.97732084934478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5.6843418860808015E-14</v>
      </c>
      <c r="AJ158" s="13">
        <f>AI158*VLOOKUP('Données projet'!$B$10,Paramètres!$A$1:$I$89,3,0)*VLOOKUP('Données projet'!$B$10,Paramètres!$A$1:$I$89,5,0)</f>
        <v>2.8908289095852525E-14</v>
      </c>
      <c r="AK158" s="13">
        <f t="shared" si="164"/>
        <v>5.0177780569126974E-13</v>
      </c>
      <c r="AL158" s="20">
        <f t="shared" si="165"/>
        <v>9.2427828175423786E-13</v>
      </c>
      <c r="AM158" s="59">
        <f t="shared" si="113"/>
        <v>293.33333333333422</v>
      </c>
      <c r="AN158" s="59">
        <f ca="1">AVERAGE(OFFSET($AM$3,0,0,'Données projet'!$E$10+1,1))-AVERAGE(OFFSET($H$3,0,0,'Données projet'!$E$10+1,1))</f>
        <v>141.98581704643658</v>
      </c>
      <c r="AO158" s="59">
        <f t="shared" si="144"/>
        <v>396.03373990407204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7.7366571592644364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4.8941918754034712E-19</v>
      </c>
      <c r="AX158" s="21">
        <f t="shared" si="166"/>
        <v>7.7366571592644364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-5.6843418860808015E-14</v>
      </c>
      <c r="BE158" s="13">
        <f>BD158*VLOOKUP('Données projet'!$B$11,Paramètres!$A$1:$I$89,3,0)*VLOOKUP('Données projet'!$B$11,Paramètres!$A$1:$I$89,5,0)</f>
        <v>-3.2810021366458389E-14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122.36861947722917</v>
      </c>
      <c r="BJ158" s="59">
        <f t="shared" si="146"/>
        <v>341.51856651265109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6.7017418256553292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4.239506768746708E-19</v>
      </c>
      <c r="BS158" s="22">
        <f t="shared" si="169"/>
        <v>6.7017418256553292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6">
        <f t="shared" si="110"/>
        <v>560.96669238005484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-2.2737367544323206E-13</v>
      </c>
      <c r="O159" s="13">
        <f>N159*VLOOKUP('Données projet'!$B$9,Paramètres!$A$1:$I$89,3,0)*VLOOKUP('Données projet'!$B$9,Paramètres!$A$1:$I$89,5,0)</f>
        <v>-1.915395841933787E-13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328.34986205643321</v>
      </c>
      <c r="T159" s="59">
        <f t="shared" si="142"/>
        <v>251.60894449147008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158.80104438389952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158.80104438389952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5.6843418860808015E-14</v>
      </c>
      <c r="AJ159" s="13">
        <f>AI159*VLOOKUP('Données projet'!$B$10,Paramètres!$A$1:$I$89,3,0)*VLOOKUP('Données projet'!$B$10,Paramètres!$A$1:$I$89,5,0)</f>
        <v>2.8908289095852525E-14</v>
      </c>
      <c r="AK159" s="13">
        <f t="shared" si="164"/>
        <v>5.0177780569126974E-13</v>
      </c>
      <c r="AL159" s="20">
        <f t="shared" si="165"/>
        <v>9.2427828175423786E-13</v>
      </c>
      <c r="AM159" s="59">
        <f t="shared" si="113"/>
        <v>293.33333333333422</v>
      </c>
      <c r="AN159" s="59">
        <f ca="1">AVERAGE(OFFSET($AM$3,0,0,'Données projet'!$E$10+1,1))-AVERAGE(OFFSET($H$3,0,0,'Données projet'!$E$10+1,1))</f>
        <v>141.98581704643658</v>
      </c>
      <c r="AO159" s="59">
        <f t="shared" si="144"/>
        <v>396.03373990407204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7.5849460312661758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3.460716263525901E-19</v>
      </c>
      <c r="AX159" s="21">
        <f t="shared" si="166"/>
        <v>7.5849460312661758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-5.6843418860808015E-14</v>
      </c>
      <c r="BE159" s="13">
        <f>BD159*VLOOKUP('Données projet'!$B$11,Paramètres!$A$1:$I$89,3,0)*VLOOKUP('Données projet'!$B$11,Paramètres!$A$1:$I$89,5,0)</f>
        <v>-3.2810021366458389E-14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122.36861947722917</v>
      </c>
      <c r="BJ159" s="59">
        <f t="shared" si="146"/>
        <v>341.51856651265109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6.5703247561131191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2.9977839850670658E-19</v>
      </c>
      <c r="BS159" s="22">
        <f t="shared" si="169"/>
        <v>6.5703247561131191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6">
        <f t="shared" si="110"/>
        <v>562.8704142634507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-2.2737367544323206E-13</v>
      </c>
      <c r="O160" s="13">
        <f>N160*VLOOKUP('Données projet'!$B$9,Paramètres!$A$1:$I$89,3,0)*VLOOKUP('Données projet'!$B$9,Paramètres!$A$1:$I$89,5,0)</f>
        <v>-1.915395841933787E-13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328.34986205643321</v>
      </c>
      <c r="T160" s="59">
        <f t="shared" si="142"/>
        <v>251.60894449147008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155.68705276260428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155.68705276260428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5.6843418860808015E-14</v>
      </c>
      <c r="AJ160" s="13">
        <f>AI160*VLOOKUP('Données projet'!$B$10,Paramètres!$A$1:$I$89,3,0)*VLOOKUP('Données projet'!$B$10,Paramètres!$A$1:$I$89,5,0)</f>
        <v>2.8908289095852525E-14</v>
      </c>
      <c r="AK160" s="13">
        <f t="shared" si="164"/>
        <v>5.0177780569126974E-13</v>
      </c>
      <c r="AL160" s="20">
        <f t="shared" si="165"/>
        <v>9.2427828175423786E-13</v>
      </c>
      <c r="AM160" s="59">
        <f t="shared" si="113"/>
        <v>293.33333333333422</v>
      </c>
      <c r="AN160" s="59">
        <f ca="1">AVERAGE(OFFSET($AM$3,0,0,'Données projet'!$E$10+1,1))-AVERAGE(OFFSET($H$3,0,0,'Données projet'!$E$10+1,1))</f>
        <v>141.98581704643658</v>
      </c>
      <c r="AO160" s="59">
        <f t="shared" si="144"/>
        <v>396.03373990407204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7.4362098659533098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2.4470959377017356E-19</v>
      </c>
      <c r="AX160" s="21">
        <f t="shared" si="166"/>
        <v>7.4362098659533098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-5.6843418860808015E-14</v>
      </c>
      <c r="BE160" s="13">
        <f>BD160*VLOOKUP('Données projet'!$B$11,Paramètres!$A$1:$I$89,3,0)*VLOOKUP('Données projet'!$B$11,Paramètres!$A$1:$I$89,5,0)</f>
        <v>-3.2810021366458389E-14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122.36861947722917</v>
      </c>
      <c r="BJ160" s="59">
        <f t="shared" si="146"/>
        <v>341.51856651265109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6.4414846951481337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2.1197533843733543E-19</v>
      </c>
      <c r="BS160" s="22">
        <f t="shared" si="169"/>
        <v>6.4414846951481337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6">
        <f t="shared" si="110"/>
        <v>564.77387302142597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-2.2737367544323206E-13</v>
      </c>
      <c r="O161" s="13">
        <f>N161*VLOOKUP('Données projet'!$B$9,Paramètres!$A$1:$I$89,3,0)*VLOOKUP('Données projet'!$B$9,Paramètres!$A$1:$I$89,5,0)</f>
        <v>-1.915395841933787E-13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328.34986205643321</v>
      </c>
      <c r="T161" s="59">
        <f t="shared" si="142"/>
        <v>251.60894449147008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152.63412461765529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152.63412461765529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5.6843418860808015E-14</v>
      </c>
      <c r="AJ161" s="13">
        <f>AI161*VLOOKUP('Données projet'!$B$10,Paramètres!$A$1:$I$89,3,0)*VLOOKUP('Données projet'!$B$10,Paramètres!$A$1:$I$89,5,0)</f>
        <v>2.8908289095852525E-14</v>
      </c>
      <c r="AK161" s="13">
        <f t="shared" si="164"/>
        <v>5.0177780569126974E-13</v>
      </c>
      <c r="AL161" s="20">
        <f t="shared" si="165"/>
        <v>9.2427828175423786E-13</v>
      </c>
      <c r="AM161" s="59">
        <f t="shared" si="113"/>
        <v>293.33333333333422</v>
      </c>
      <c r="AN161" s="59">
        <f ca="1">AVERAGE(OFFSET($AM$3,0,0,'Données projet'!$E$10+1,1))-AVERAGE(OFFSET($H$3,0,0,'Données projet'!$E$10+1,1))</f>
        <v>141.98581704643658</v>
      </c>
      <c r="AO161" s="59">
        <f t="shared" si="144"/>
        <v>396.03373990407204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7.2903903261221261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1.7303581317629505E-19</v>
      </c>
      <c r="AX161" s="21">
        <f t="shared" si="166"/>
        <v>7.2903903261221261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-5.6843418860808015E-14</v>
      </c>
      <c r="BE161" s="13">
        <f>BD161*VLOOKUP('Données projet'!$B$11,Paramètres!$A$1:$I$89,3,0)*VLOOKUP('Données projet'!$B$11,Paramètres!$A$1:$I$89,5,0)</f>
        <v>-3.2810021366458389E-14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122.36861947722917</v>
      </c>
      <c r="BJ161" s="59">
        <f t="shared" si="146"/>
        <v>341.51856651265109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6.3151711091939946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1.4988919925335332E-19</v>
      </c>
      <c r="BS161" s="22">
        <f t="shared" si="169"/>
        <v>6.3151711091939946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6">
        <f t="shared" si="110"/>
        <v>566.67707051251875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-2.2737367544323206E-13</v>
      </c>
      <c r="O162" s="13">
        <f>N162*VLOOKUP('Données projet'!$B$9,Paramètres!$A$1:$I$89,3,0)*VLOOKUP('Données projet'!$B$9,Paramètres!$A$1:$I$89,5,0)</f>
        <v>-1.915395841933787E-13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328.34986205643321</v>
      </c>
      <c r="T162" s="59">
        <f t="shared" si="142"/>
        <v>251.60894449147008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149.64106253152647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149.64106253152647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5.6843418860808015E-14</v>
      </c>
      <c r="AJ162" s="13">
        <f>AI162*VLOOKUP('Données projet'!$B$10,Paramètres!$A$1:$I$89,3,0)*VLOOKUP('Données projet'!$B$10,Paramètres!$A$1:$I$89,5,0)</f>
        <v>2.8908289095852525E-14</v>
      </c>
      <c r="AK162" s="13">
        <f t="shared" si="164"/>
        <v>5.0177780569126974E-13</v>
      </c>
      <c r="AL162" s="20">
        <f t="shared" si="165"/>
        <v>9.2427828175423786E-13</v>
      </c>
      <c r="AM162" s="59">
        <f t="shared" si="113"/>
        <v>293.33333333333422</v>
      </c>
      <c r="AN162" s="59">
        <f ca="1">AVERAGE(OFFSET($AM$3,0,0,'Données projet'!$E$10+1,1))-AVERAGE(OFFSET($H$3,0,0,'Données projet'!$E$10+1,1))</f>
        <v>141.98581704643658</v>
      </c>
      <c r="AO162" s="59">
        <f t="shared" si="144"/>
        <v>396.03373990407204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7.1474302185258951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1.2235479688508678E-19</v>
      </c>
      <c r="AX162" s="21">
        <f t="shared" si="166"/>
        <v>7.1474302185258951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-5.6843418860808015E-14</v>
      </c>
      <c r="BE162" s="13">
        <f>BD162*VLOOKUP('Données projet'!$B$11,Paramètres!$A$1:$I$89,3,0)*VLOOKUP('Données projet'!$B$11,Paramètres!$A$1:$I$89,5,0)</f>
        <v>-3.2810021366458389E-14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122.36861947722917</v>
      </c>
      <c r="BJ162" s="59">
        <f t="shared" si="146"/>
        <v>341.51856651265109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6.1913344556167358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1.0598766921866774E-19</v>
      </c>
      <c r="BS162" s="22">
        <f t="shared" si="169"/>
        <v>6.1913344556167358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6">
        <f t="shared" si="110"/>
        <v>568.58000857053662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-2.2737367544323206E-13</v>
      </c>
      <c r="O163" s="13">
        <f>N163*VLOOKUP('Données projet'!$B$9,Paramètres!$A$1:$I$89,3,0)*VLOOKUP('Données projet'!$B$9,Paramètres!$A$1:$I$89,5,0)</f>
        <v>-1.915395841933787E-13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328.34986205643321</v>
      </c>
      <c r="T163" s="59">
        <f t="shared" si="142"/>
        <v>251.60894449147008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146.70669256731901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146.70669256731901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5.6843418860808015E-14</v>
      </c>
      <c r="AJ163" s="13">
        <f>AI163*VLOOKUP('Données projet'!$B$10,Paramètres!$A$1:$I$89,3,0)*VLOOKUP('Données projet'!$B$10,Paramètres!$A$1:$I$89,5,0)</f>
        <v>2.8908289095852525E-14</v>
      </c>
      <c r="AK163" s="13">
        <f t="shared" si="164"/>
        <v>5.0177780569126974E-13</v>
      </c>
      <c r="AL163" s="20">
        <f t="shared" si="165"/>
        <v>9.2427828175423786E-13</v>
      </c>
      <c r="AM163" s="59">
        <f t="shared" si="113"/>
        <v>293.33333333333422</v>
      </c>
      <c r="AN163" s="59">
        <f ca="1">AVERAGE(OFFSET($AM$3,0,0,'Données projet'!$E$10+1,1))-AVERAGE(OFFSET($H$3,0,0,'Données projet'!$E$10+1,1))</f>
        <v>141.98581704643658</v>
      </c>
      <c r="AO163" s="59">
        <f t="shared" si="144"/>
        <v>396.03373990407204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7.0072734714425708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8.6517906588147525E-20</v>
      </c>
      <c r="AX163" s="21">
        <f t="shared" si="166"/>
        <v>7.0072734714425708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-5.6843418860808015E-14</v>
      </c>
      <c r="BE163" s="13">
        <f>BD163*VLOOKUP('Données projet'!$B$11,Paramètres!$A$1:$I$89,3,0)*VLOOKUP('Données projet'!$B$11,Paramètres!$A$1:$I$89,5,0)</f>
        <v>-3.2810021366458389E-14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122.36861947722917</v>
      </c>
      <c r="BJ163" s="59">
        <f t="shared" si="146"/>
        <v>341.51856651265109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6.0699261632832266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7.494459962667667E-20</v>
      </c>
      <c r="BS163" s="22">
        <f t="shared" si="169"/>
        <v>6.0699261632832266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6">
        <f t="shared" si="110"/>
        <v>570.48268900503945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-2.2737367544323206E-13</v>
      </c>
      <c r="O164" s="13">
        <f>N164*VLOOKUP('Données projet'!$B$9,Paramètres!$A$1:$I$89,3,0)*VLOOKUP('Données projet'!$B$9,Paramètres!$A$1:$I$89,5,0)</f>
        <v>-1.915395841933787E-13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328.34986205643321</v>
      </c>
      <c r="T164" s="59">
        <f t="shared" si="142"/>
        <v>251.60894449147008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143.82986380832071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143.82986380832071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5.6843418860808015E-14</v>
      </c>
      <c r="AJ164" s="13">
        <f>AI164*VLOOKUP('Données projet'!$B$10,Paramètres!$A$1:$I$89,3,0)*VLOOKUP('Données projet'!$B$10,Paramètres!$A$1:$I$89,5,0)</f>
        <v>2.8908289095852525E-14</v>
      </c>
      <c r="AK164" s="13">
        <f t="shared" si="164"/>
        <v>5.0177780569126974E-13</v>
      </c>
      <c r="AL164" s="20">
        <f t="shared" si="165"/>
        <v>9.2427828175423786E-13</v>
      </c>
      <c r="AM164" s="59">
        <f t="shared" si="113"/>
        <v>293.33333333333422</v>
      </c>
      <c r="AN164" s="59">
        <f ca="1">AVERAGE(OFFSET($AM$3,0,0,'Données projet'!$E$10+1,1))-AVERAGE(OFFSET($H$3,0,0,'Données projet'!$E$10+1,1))</f>
        <v>141.98581704643658</v>
      </c>
      <c r="AO164" s="59">
        <f t="shared" si="144"/>
        <v>396.03373990407204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6.8698651126823753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6.117739844254339E-20</v>
      </c>
      <c r="AX164" s="21">
        <f t="shared" si="166"/>
        <v>6.8698651126823753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-5.6843418860808015E-14</v>
      </c>
      <c r="BE164" s="13">
        <f>BD164*VLOOKUP('Données projet'!$B$11,Paramètres!$A$1:$I$89,3,0)*VLOOKUP('Données projet'!$B$11,Paramètres!$A$1:$I$89,5,0)</f>
        <v>-3.2810021366458389E-14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122.36861947722917</v>
      </c>
      <c r="BJ164" s="59">
        <f t="shared" si="146"/>
        <v>341.51856651265109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5.9508986135106312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5.2993834609333874E-20</v>
      </c>
      <c r="BS164" s="22">
        <f t="shared" si="169"/>
        <v>5.9508986135106312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6">
        <f t="shared" si="110"/>
        <v>572.38511360180746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-2.2737367544323206E-13</v>
      </c>
      <c r="O165" s="13">
        <f>N165*VLOOKUP('Données projet'!$B$9,Paramètres!$A$1:$I$89,3,0)*VLOOKUP('Données projet'!$B$9,Paramètres!$A$1:$I$89,5,0)</f>
        <v>-1.915395841933787E-13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328.34986205643321</v>
      </c>
      <c r="T165" s="59">
        <f t="shared" si="142"/>
        <v>251.60894449147008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141.00944790659409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141.00944790659409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5.6843418860808015E-14</v>
      </c>
      <c r="AJ165" s="13">
        <f>AI165*VLOOKUP('Données projet'!$B$10,Paramètres!$A$1:$I$89,3,0)*VLOOKUP('Données projet'!$B$10,Paramètres!$A$1:$I$89,5,0)</f>
        <v>2.8908289095852525E-14</v>
      </c>
      <c r="AK165" s="13">
        <f t="shared" si="164"/>
        <v>5.0177780569126974E-13</v>
      </c>
      <c r="AL165" s="20">
        <f t="shared" si="165"/>
        <v>9.2427828175423786E-13</v>
      </c>
      <c r="AM165" s="59">
        <f t="shared" si="113"/>
        <v>293.33333333333422</v>
      </c>
      <c r="AN165" s="59">
        <f ca="1">AVERAGE(OFFSET($AM$3,0,0,'Données projet'!$E$10+1,1))-AVERAGE(OFFSET($H$3,0,0,'Données projet'!$E$10+1,1))</f>
        <v>141.98581704643658</v>
      </c>
      <c r="AO165" s="59">
        <f t="shared" si="144"/>
        <v>396.03373990407204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6.7351512480266447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4.3258953294073763E-20</v>
      </c>
      <c r="AX165" s="21">
        <f t="shared" si="166"/>
        <v>6.7351512480266447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-5.6843418860808015E-14</v>
      </c>
      <c r="BE165" s="13">
        <f>BD165*VLOOKUP('Données projet'!$B$11,Paramètres!$A$1:$I$89,3,0)*VLOOKUP('Données projet'!$B$11,Paramètres!$A$1:$I$89,5,0)</f>
        <v>-3.2810021366458389E-14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122.36861947722917</v>
      </c>
      <c r="BJ165" s="59">
        <f t="shared" si="146"/>
        <v>341.51856651265109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5.8342051213894397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3.7472299813338341E-20</v>
      </c>
      <c r="BS165" s="22">
        <f t="shared" si="169"/>
        <v>5.8342051213894397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6">
        <f t="shared" si="110"/>
        <v>574.28728412329951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-2.2737367544323206E-13</v>
      </c>
      <c r="O166" s="13">
        <f>N166*VLOOKUP('Données projet'!$B$9,Paramètres!$A$1:$I$89,3,0)*VLOOKUP('Données projet'!$B$9,Paramètres!$A$1:$I$89,5,0)</f>
        <v>-1.915395841933787E-13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328.34986205643321</v>
      </c>
      <c r="T166" s="59">
        <f t="shared" si="142"/>
        <v>251.60894449147008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138.24433864041649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138.24433864041649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5.6843418860808015E-14</v>
      </c>
      <c r="AJ166" s="13">
        <f>AI166*VLOOKUP('Données projet'!$B$10,Paramètres!$A$1:$I$89,3,0)*VLOOKUP('Données projet'!$B$10,Paramètres!$A$1:$I$89,5,0)</f>
        <v>2.8908289095852525E-14</v>
      </c>
      <c r="AK166" s="13">
        <f t="shared" si="164"/>
        <v>5.0177780569126974E-13</v>
      </c>
      <c r="AL166" s="20">
        <f t="shared" si="165"/>
        <v>9.2427828175423786E-13</v>
      </c>
      <c r="AM166" s="59">
        <f t="shared" si="113"/>
        <v>293.33333333333422</v>
      </c>
      <c r="AN166" s="59">
        <f ca="1">AVERAGE(OFFSET($AM$3,0,0,'Données projet'!$E$10+1,1))-AVERAGE(OFFSET($H$3,0,0,'Données projet'!$E$10+1,1))</f>
        <v>141.98581704643658</v>
      </c>
      <c r="AO166" s="59">
        <f t="shared" si="144"/>
        <v>396.03373990407204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6.6030790400894688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3.0588699221271695E-20</v>
      </c>
      <c r="AX166" s="21">
        <f t="shared" si="166"/>
        <v>6.6030790400894688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-5.6843418860808015E-14</v>
      </c>
      <c r="BE166" s="13">
        <f>BD166*VLOOKUP('Données projet'!$B$11,Paramètres!$A$1:$I$89,3,0)*VLOOKUP('Données projet'!$B$11,Paramètres!$A$1:$I$89,5,0)</f>
        <v>-3.2810021366458389E-14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122.36861947722917</v>
      </c>
      <c r="BJ166" s="59">
        <f t="shared" si="146"/>
        <v>341.51856651265109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5.7197999174727432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2.649691730466694E-20</v>
      </c>
      <c r="BS166" s="22">
        <f t="shared" si="169"/>
        <v>5.7197999174727432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6">
        <f t="shared" si="110"/>
        <v>576.18920230909794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-2.2737367544323206E-13</v>
      </c>
      <c r="O167" s="13">
        <f>N167*VLOOKUP('Données projet'!$B$9,Paramètres!$A$1:$I$89,3,0)*VLOOKUP('Données projet'!$B$9,Paramètres!$A$1:$I$89,5,0)</f>
        <v>-1.915395841933787E-13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328.34986205643321</v>
      </c>
      <c r="T167" s="59">
        <f t="shared" si="142"/>
        <v>251.60894449147008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135.5334514803985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135.5334514803985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5.6843418860808015E-14</v>
      </c>
      <c r="AJ167" s="13">
        <f>AI167*VLOOKUP('Données projet'!$B$10,Paramètres!$A$1:$I$89,3,0)*VLOOKUP('Données projet'!$B$10,Paramètres!$A$1:$I$89,5,0)</f>
        <v>2.8908289095852525E-14</v>
      </c>
      <c r="AK167" s="13">
        <f t="shared" si="164"/>
        <v>5.0177780569126974E-13</v>
      </c>
      <c r="AL167" s="20">
        <f t="shared" si="165"/>
        <v>9.2427828175423786E-13</v>
      </c>
      <c r="AM167" s="59">
        <f t="shared" si="113"/>
        <v>293.33333333333422</v>
      </c>
      <c r="AN167" s="59">
        <f ca="1">AVERAGE(OFFSET($AM$3,0,0,'Données projet'!$E$10+1,1))-AVERAGE(OFFSET($H$3,0,0,'Données projet'!$E$10+1,1))</f>
        <v>141.98581704643658</v>
      </c>
      <c r="AO167" s="59">
        <f t="shared" si="144"/>
        <v>396.03373990407204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6.4735966875938482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2.1629476647036881E-20</v>
      </c>
      <c r="AX167" s="21">
        <f t="shared" si="166"/>
        <v>6.4735966875938482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-5.6843418860808015E-14</v>
      </c>
      <c r="BE167" s="13">
        <f>BD167*VLOOKUP('Données projet'!$B$11,Paramètres!$A$1:$I$89,3,0)*VLOOKUP('Données projet'!$B$11,Paramètres!$A$1:$I$89,5,0)</f>
        <v>-3.2810021366458389E-14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122.36861947722917</v>
      </c>
      <c r="BJ167" s="59">
        <f t="shared" si="146"/>
        <v>341.51856651265109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5.6076381298245686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1.8736149906669173E-20</v>
      </c>
      <c r="BS167" s="22">
        <f t="shared" si="169"/>
        <v>5.6076381298245686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6">
        <f t="shared" si="110"/>
        <v>578.09086987634385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-2.2737367544323206E-13</v>
      </c>
      <c r="O168" s="13">
        <f>N168*VLOOKUP('Données projet'!$B$9,Paramètres!$A$1:$I$89,3,0)*VLOOKUP('Données projet'!$B$9,Paramètres!$A$1:$I$89,5,0)</f>
        <v>-1.915395841933787E-13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328.34986205643321</v>
      </c>
      <c r="T168" s="59">
        <f t="shared" si="142"/>
        <v>251.60894449147008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132.87572316411058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132.87572316411058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5.6843418860808015E-14</v>
      </c>
      <c r="AJ168" s="13">
        <f>AI168*VLOOKUP('Données projet'!$B$10,Paramètres!$A$1:$I$89,3,0)*VLOOKUP('Données projet'!$B$10,Paramètres!$A$1:$I$89,5,0)</f>
        <v>2.8908289095852525E-14</v>
      </c>
      <c r="AK168" s="13">
        <f t="shared" si="164"/>
        <v>5.0177780569126974E-13</v>
      </c>
      <c r="AL168" s="20">
        <f t="shared" si="165"/>
        <v>9.2427828175423786E-13</v>
      </c>
      <c r="AM168" s="59">
        <f t="shared" si="113"/>
        <v>293.33333333333422</v>
      </c>
      <c r="AN168" s="59">
        <f ca="1">AVERAGE(OFFSET($AM$3,0,0,'Données projet'!$E$10+1,1))-AVERAGE(OFFSET($H$3,0,0,'Données projet'!$E$10+1,1))</f>
        <v>141.98581704643658</v>
      </c>
      <c r="AO168" s="59">
        <f t="shared" si="144"/>
        <v>396.03373990407204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6.34665340505423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1.5294349610635847E-20</v>
      </c>
      <c r="AX168" s="21">
        <f t="shared" si="166"/>
        <v>6.34665340505423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-5.6843418860808015E-14</v>
      </c>
      <c r="BE168" s="13">
        <f>BD168*VLOOKUP('Données projet'!$B$11,Paramètres!$A$1:$I$89,3,0)*VLOOKUP('Données projet'!$B$11,Paramètres!$A$1:$I$89,5,0)</f>
        <v>-3.2810021366458389E-14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122.36861947722917</v>
      </c>
      <c r="BJ168" s="59">
        <f t="shared" si="146"/>
        <v>341.51856651265109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5.4976757664202394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1.3248458652333473E-20</v>
      </c>
      <c r="BS168" s="22">
        <f t="shared" si="169"/>
        <v>5.4976757664202394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6">
        <f t="shared" si="110"/>
        <v>579.99228852016029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-2.2737367544323206E-13</v>
      </c>
      <c r="O169" s="13">
        <f>N169*VLOOKUP('Données projet'!$B$9,Paramètres!$A$1:$I$89,3,0)*VLOOKUP('Données projet'!$B$9,Paramètres!$A$1:$I$89,5,0)</f>
        <v>-1.915395841933787E-13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328.34986205643321</v>
      </c>
      <c r="T169" s="59">
        <f t="shared" si="142"/>
        <v>251.60894449147008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130.27011127905087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130.27011127905087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5.6843418860808015E-14</v>
      </c>
      <c r="AJ169" s="13">
        <f>AI169*VLOOKUP('Données projet'!$B$10,Paramètres!$A$1:$I$89,3,0)*VLOOKUP('Données projet'!$B$10,Paramètres!$A$1:$I$89,5,0)</f>
        <v>2.8908289095852525E-14</v>
      </c>
      <c r="AK169" s="13">
        <f t="shared" si="164"/>
        <v>5.0177780569126974E-13</v>
      </c>
      <c r="AL169" s="20">
        <f t="shared" si="165"/>
        <v>9.2427828175423786E-13</v>
      </c>
      <c r="AM169" s="59">
        <f t="shared" si="113"/>
        <v>293.33333333333422</v>
      </c>
      <c r="AN169" s="59">
        <f ca="1">AVERAGE(OFFSET($AM$3,0,0,'Données projet'!$E$10+1,1))-AVERAGE(OFFSET($H$3,0,0,'Données projet'!$E$10+1,1))</f>
        <v>141.98581704643658</v>
      </c>
      <c r="AO169" s="59">
        <f t="shared" si="144"/>
        <v>396.03373990407204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6.2221994028574565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1.0814738323518441E-20</v>
      </c>
      <c r="AX169" s="21">
        <f t="shared" si="166"/>
        <v>6.2221994028574565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-5.6843418860808015E-14</v>
      </c>
      <c r="BE169" s="13">
        <f>BD169*VLOOKUP('Données projet'!$B$11,Paramètres!$A$1:$I$89,3,0)*VLOOKUP('Données projet'!$B$11,Paramètres!$A$1:$I$89,5,0)</f>
        <v>-3.2810021366458389E-14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122.36861947722917</v>
      </c>
      <c r="BJ169" s="59">
        <f t="shared" si="146"/>
        <v>341.51856651265109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5.3898696978918501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9.3680749533345882E-21</v>
      </c>
      <c r="BS169" s="22">
        <f t="shared" si="169"/>
        <v>5.3898696978918501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6">
        <f t="shared" si="110"/>
        <v>581.89345991406594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-2.2737367544323206E-13</v>
      </c>
      <c r="O170" s="13">
        <f>N170*VLOOKUP('Données projet'!$B$9,Paramètres!$A$1:$I$89,3,0)*VLOOKUP('Données projet'!$B$9,Paramètres!$A$1:$I$89,5,0)</f>
        <v>-1.915395841933787E-13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328.34986205643321</v>
      </c>
      <c r="T170" s="59">
        <f t="shared" si="142"/>
        <v>251.60894449147008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127.71559385379084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127.71559385379084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5.6843418860808015E-14</v>
      </c>
      <c r="AJ170" s="13">
        <f>AI170*VLOOKUP('Données projet'!$B$10,Paramètres!$A$1:$I$89,3,0)*VLOOKUP('Données projet'!$B$10,Paramètres!$A$1:$I$89,5,0)</f>
        <v>2.8908289095852525E-14</v>
      </c>
      <c r="AK170" s="13">
        <f t="shared" si="164"/>
        <v>5.0177780569126974E-13</v>
      </c>
      <c r="AL170" s="20">
        <f t="shared" si="165"/>
        <v>9.2427828175423786E-13</v>
      </c>
      <c r="AM170" s="59">
        <f t="shared" si="113"/>
        <v>293.33333333333422</v>
      </c>
      <c r="AN170" s="59">
        <f ca="1">AVERAGE(OFFSET($AM$3,0,0,'Données projet'!$E$10+1,1))-AVERAGE(OFFSET($H$3,0,0,'Données projet'!$E$10+1,1))</f>
        <v>141.98581704643658</v>
      </c>
      <c r="AO170" s="59">
        <f t="shared" si="144"/>
        <v>396.03373990407204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6.1001858677343161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7.6471748053179237E-21</v>
      </c>
      <c r="AX170" s="21">
        <f t="shared" si="166"/>
        <v>6.1001858677343161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-5.6843418860808015E-14</v>
      </c>
      <c r="BE170" s="13">
        <f>BD170*VLOOKUP('Données projet'!$B$11,Paramètres!$A$1:$I$89,3,0)*VLOOKUP('Données projet'!$B$11,Paramètres!$A$1:$I$89,5,0)</f>
        <v>-3.2810021366458389E-14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122.36861947722917</v>
      </c>
      <c r="BJ170" s="59">
        <f t="shared" si="146"/>
        <v>341.51856651265109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5.2841776406120937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6.6242293261667373E-21</v>
      </c>
      <c r="BS170" s="22">
        <f t="shared" si="169"/>
        <v>5.2841776406120937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6">
        <f t="shared" si="110"/>
        <v>583.79438571037758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-2.2737367544323206E-13</v>
      </c>
      <c r="O171" s="13">
        <f>N171*VLOOKUP('Données projet'!$B$9,Paramètres!$A$1:$I$89,3,0)*VLOOKUP('Données projet'!$B$9,Paramètres!$A$1:$I$89,5,0)</f>
        <v>-1.915395841933787E-13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328.34986205643321</v>
      </c>
      <c r="T171" s="59">
        <f t="shared" si="142"/>
        <v>251.60894449147008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125.21116895713838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125.21116895713838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5.6843418860808015E-14</v>
      </c>
      <c r="AJ171" s="13">
        <f>AI171*VLOOKUP('Données projet'!$B$10,Paramètres!$A$1:$I$89,3,0)*VLOOKUP('Données projet'!$B$10,Paramètres!$A$1:$I$89,5,0)</f>
        <v>2.8908289095852525E-14</v>
      </c>
      <c r="AK171" s="13">
        <f t="shared" si="164"/>
        <v>5.0177780569126974E-13</v>
      </c>
      <c r="AL171" s="20">
        <f t="shared" si="165"/>
        <v>9.2427828175423786E-13</v>
      </c>
      <c r="AM171" s="59">
        <f t="shared" si="113"/>
        <v>293.33333333333422</v>
      </c>
      <c r="AN171" s="59">
        <f ca="1">AVERAGE(OFFSET($AM$3,0,0,'Données projet'!$E$10+1,1))-AVERAGE(OFFSET($H$3,0,0,'Données projet'!$E$10+1,1))</f>
        <v>141.98581704643658</v>
      </c>
      <c r="AO171" s="59">
        <f t="shared" si="144"/>
        <v>396.03373990407204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5.9805649436140325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5.4073691617592203E-21</v>
      </c>
      <c r="AX171" s="21">
        <f t="shared" si="166"/>
        <v>5.9805649436140325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-5.6843418860808015E-14</v>
      </c>
      <c r="BE171" s="13">
        <f>BD171*VLOOKUP('Données projet'!$B$11,Paramètres!$A$1:$I$89,3,0)*VLOOKUP('Données projet'!$B$11,Paramètres!$A$1:$I$89,5,0)</f>
        <v>-3.2810021366458389E-14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122.36861947722917</v>
      </c>
      <c r="BJ171" s="59">
        <f t="shared" si="146"/>
        <v>341.51856651265109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5.1805581401098033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4.6840374766672949E-21</v>
      </c>
      <c r="BS171" s="22">
        <f t="shared" si="169"/>
        <v>5.1805581401098033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6">
        <f t="shared" si="110"/>
        <v>585.69506754060376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-2.2737367544323206E-13</v>
      </c>
      <c r="O172" s="13">
        <f>N172*VLOOKUP('Données projet'!$B$9,Paramètres!$A$1:$I$89,3,0)*VLOOKUP('Données projet'!$B$9,Paramètres!$A$1:$I$89,5,0)</f>
        <v>-1.915395841933787E-13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328.34986205643321</v>
      </c>
      <c r="T172" s="59">
        <f t="shared" si="142"/>
        <v>251.60894449147008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122.75585430516092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122.75585430516092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5.6843418860808015E-14</v>
      </c>
      <c r="AJ172" s="13">
        <f>AI172*VLOOKUP('Données projet'!$B$10,Paramètres!$A$1:$I$89,3,0)*VLOOKUP('Données projet'!$B$10,Paramètres!$A$1:$I$89,5,0)</f>
        <v>2.8908289095852525E-14</v>
      </c>
      <c r="AK172" s="13">
        <f t="shared" si="164"/>
        <v>5.0177780569126974E-13</v>
      </c>
      <c r="AL172" s="20">
        <f t="shared" si="165"/>
        <v>9.2427828175423786E-13</v>
      </c>
      <c r="AM172" s="59">
        <f t="shared" si="113"/>
        <v>293.33333333333422</v>
      </c>
      <c r="AN172" s="59">
        <f ca="1">AVERAGE(OFFSET($AM$3,0,0,'Données projet'!$E$10+1,1))-AVERAGE(OFFSET($H$3,0,0,'Données projet'!$E$10+1,1))</f>
        <v>141.98581704643658</v>
      </c>
      <c r="AO172" s="59">
        <f t="shared" si="144"/>
        <v>396.03373990407204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5.8632897128541881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3.8235874026589619E-21</v>
      </c>
      <c r="AX172" s="21">
        <f t="shared" si="166"/>
        <v>5.8632897128541881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-5.6843418860808015E-14</v>
      </c>
      <c r="BE172" s="13">
        <f>BD172*VLOOKUP('Données projet'!$B$11,Paramètres!$A$1:$I$89,3,0)*VLOOKUP('Données projet'!$B$11,Paramètres!$A$1:$I$89,5,0)</f>
        <v>-3.2810021366458389E-14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122.36861947722917</v>
      </c>
      <c r="BJ172" s="59">
        <f t="shared" si="146"/>
        <v>341.51856651265109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5.0789705548107085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3.3121146630833694E-21</v>
      </c>
      <c r="BS172" s="22">
        <f t="shared" si="169"/>
        <v>5.0789705548107085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6">
        <f t="shared" si="110"/>
        <v>587.5955070158285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-2.2737367544323206E-13</v>
      </c>
      <c r="O173" s="13">
        <f>N173*VLOOKUP('Données projet'!$B$9,Paramètres!$A$1:$I$89,3,0)*VLOOKUP('Données projet'!$B$9,Paramètres!$A$1:$I$89,5,0)</f>
        <v>-1.915395841933787E-13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328.34986205643321</v>
      </c>
      <c r="T173" s="59">
        <f t="shared" si="142"/>
        <v>251.60894449147008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120.34868687591468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120.34868687591468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5.6843418860808015E-14</v>
      </c>
      <c r="AJ173" s="13">
        <f>AI173*VLOOKUP('Données projet'!$B$10,Paramètres!$A$1:$I$89,3,0)*VLOOKUP('Données projet'!$B$10,Paramètres!$A$1:$I$89,5,0)</f>
        <v>2.8908289095852525E-14</v>
      </c>
      <c r="AK173" s="13">
        <f t="shared" si="164"/>
        <v>5.0177780569126974E-13</v>
      </c>
      <c r="AL173" s="20">
        <f t="shared" si="165"/>
        <v>9.2427828175423786E-13</v>
      </c>
      <c r="AM173" s="59">
        <f t="shared" si="113"/>
        <v>293.33333333333422</v>
      </c>
      <c r="AN173" s="59">
        <f ca="1">AVERAGE(OFFSET($AM$3,0,0,'Données projet'!$E$10+1,1))-AVERAGE(OFFSET($H$3,0,0,'Données projet'!$E$10+1,1))</f>
        <v>141.98581704643658</v>
      </c>
      <c r="AO173" s="59">
        <f t="shared" si="144"/>
        <v>396.03373990407204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5.7483141778387168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2.7036845808796102E-21</v>
      </c>
      <c r="AX173" s="21">
        <f t="shared" si="166"/>
        <v>5.7483141778387168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-5.6843418860808015E-14</v>
      </c>
      <c r="BE173" s="13">
        <f>BD173*VLOOKUP('Données projet'!$B$11,Paramètres!$A$1:$I$89,3,0)*VLOOKUP('Données projet'!$B$11,Paramètres!$A$1:$I$89,5,0)</f>
        <v>-3.2810021366458389E-14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122.36861947722917</v>
      </c>
      <c r="BJ173" s="59">
        <f t="shared" si="146"/>
        <v>341.51856651265109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4.97937504009702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2.3420187383336478E-21</v>
      </c>
      <c r="BS173" s="22">
        <f t="shared" si="169"/>
        <v>4.97937504009702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6">
        <f t="shared" si="110"/>
        <v>589.49570572708467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-2.2737367544323206E-13</v>
      </c>
      <c r="O174" s="13">
        <f>N174*VLOOKUP('Données projet'!$B$9,Paramètres!$A$1:$I$89,3,0)*VLOOKUP('Données projet'!$B$9,Paramètres!$A$1:$I$89,5,0)</f>
        <v>-1.915395841933787E-13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328.34986205643321</v>
      </c>
      <c r="T174" s="59">
        <f t="shared" si="142"/>
        <v>251.60894449147008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117.9887225317288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117.9887225317288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5.6843418860808015E-14</v>
      </c>
      <c r="AJ174" s="13">
        <f>AI174*VLOOKUP('Données projet'!$B$10,Paramètres!$A$1:$I$89,3,0)*VLOOKUP('Données projet'!$B$10,Paramètres!$A$1:$I$89,5,0)</f>
        <v>2.8908289095852525E-14</v>
      </c>
      <c r="AK174" s="13">
        <f t="shared" si="164"/>
        <v>5.0177780569126974E-13</v>
      </c>
      <c r="AL174" s="20">
        <f t="shared" si="165"/>
        <v>9.2427828175423786E-13</v>
      </c>
      <c r="AM174" s="59">
        <f t="shared" si="113"/>
        <v>293.33333333333422</v>
      </c>
      <c r="AN174" s="59">
        <f ca="1">AVERAGE(OFFSET($AM$3,0,0,'Données projet'!$E$10+1,1))-AVERAGE(OFFSET($H$3,0,0,'Données projet'!$E$10+1,1))</f>
        <v>141.98581704643658</v>
      </c>
      <c r="AO174" s="59">
        <f t="shared" si="144"/>
        <v>396.03373990407204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5.6355932429367472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1.9117937013294809E-21</v>
      </c>
      <c r="AX174" s="21">
        <f t="shared" si="166"/>
        <v>5.6355932429367472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-5.6843418860808015E-14</v>
      </c>
      <c r="BE174" s="13">
        <f>BD174*VLOOKUP('Données projet'!$B$11,Paramètres!$A$1:$I$89,3,0)*VLOOKUP('Données projet'!$B$11,Paramètres!$A$1:$I$89,5,0)</f>
        <v>-3.2810021366458389E-14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122.36861947722917</v>
      </c>
      <c r="BJ174" s="59">
        <f t="shared" si="146"/>
        <v>341.51856651265109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4.8817325326796013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1.6560573315416849E-21</v>
      </c>
      <c r="BS174" s="22">
        <f t="shared" si="169"/>
        <v>4.8817325326796013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6">
        <f t="shared" si="110"/>
        <v>591.39566524572035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-2.2737367544323206E-13</v>
      </c>
      <c r="O175" s="13">
        <f>N175*VLOOKUP('Données projet'!$B$9,Paramètres!$A$1:$I$89,3,0)*VLOOKUP('Données projet'!$B$9,Paramètres!$A$1:$I$89,5,0)</f>
        <v>-1.915395841933787E-13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328.34986205643321</v>
      </c>
      <c r="T175" s="59">
        <f t="shared" si="142"/>
        <v>251.60894449147008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115.67503564889628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115.67503564889628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5.6843418860808015E-14</v>
      </c>
      <c r="AJ175" s="13">
        <f>AI175*VLOOKUP('Données projet'!$B$10,Paramètres!$A$1:$I$89,3,0)*VLOOKUP('Données projet'!$B$10,Paramètres!$A$1:$I$89,5,0)</f>
        <v>2.8908289095852525E-14</v>
      </c>
      <c r="AK175" s="13">
        <f t="shared" si="164"/>
        <v>5.0177780569126974E-13</v>
      </c>
      <c r="AL175" s="20">
        <f t="shared" si="165"/>
        <v>9.2427828175423786E-13</v>
      </c>
      <c r="AM175" s="59">
        <f t="shared" si="113"/>
        <v>293.33333333333422</v>
      </c>
      <c r="AN175" s="59">
        <f ca="1">AVERAGE(OFFSET($AM$3,0,0,'Données projet'!$E$10+1,1))-AVERAGE(OFFSET($H$3,0,0,'Données projet'!$E$10+1,1))</f>
        <v>141.98581704643658</v>
      </c>
      <c r="AO175" s="59">
        <f t="shared" si="144"/>
        <v>396.03373990407204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5.5250826968152236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1.3518422904398051E-21</v>
      </c>
      <c r="AX175" s="21">
        <f t="shared" si="166"/>
        <v>5.5250826968152236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-5.6843418860808015E-14</v>
      </c>
      <c r="BE175" s="13">
        <f>BD175*VLOOKUP('Données projet'!$B$11,Paramètres!$A$1:$I$89,3,0)*VLOOKUP('Données projet'!$B$11,Paramètres!$A$1:$I$89,5,0)</f>
        <v>-3.2810021366458389E-14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122.36861947722917</v>
      </c>
      <c r="BJ175" s="59">
        <f t="shared" si="146"/>
        <v>341.51856651265109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4.7860047352765891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1.1710093691668241E-21</v>
      </c>
      <c r="BS175" s="22">
        <f t="shared" si="169"/>
        <v>4.7860047352765891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6">
        <f t="shared" si="110"/>
        <v>593.29538712375495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-2.2737367544323206E-13</v>
      </c>
      <c r="O176" s="13">
        <f>N176*VLOOKUP('Données projet'!$B$9,Paramètres!$A$1:$I$89,3,0)*VLOOKUP('Données projet'!$B$9,Paramètres!$A$1:$I$89,5,0)</f>
        <v>-1.915395841933787E-13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328.34986205643321</v>
      </c>
      <c r="T176" s="59">
        <f t="shared" si="142"/>
        <v>251.60894449147008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113.40671875462647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113.40671875462647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5.6843418860808015E-14</v>
      </c>
      <c r="AJ176" s="13">
        <f>AI176*VLOOKUP('Données projet'!$B$10,Paramètres!$A$1:$I$89,3,0)*VLOOKUP('Données projet'!$B$10,Paramètres!$A$1:$I$89,5,0)</f>
        <v>2.8908289095852525E-14</v>
      </c>
      <c r="AK176" s="13">
        <f t="shared" si="164"/>
        <v>5.0177780569126974E-13</v>
      </c>
      <c r="AL176" s="20">
        <f t="shared" si="165"/>
        <v>9.2427828175423786E-13</v>
      </c>
      <c r="AM176" s="59">
        <f t="shared" si="113"/>
        <v>293.33333333333422</v>
      </c>
      <c r="AN176" s="59">
        <f ca="1">AVERAGE(OFFSET($AM$3,0,0,'Données projet'!$E$10+1,1))-AVERAGE(OFFSET($H$3,0,0,'Données projet'!$E$10+1,1))</f>
        <v>141.98581704643658</v>
      </c>
      <c r="AO176" s="59">
        <f t="shared" si="144"/>
        <v>396.03373990407204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5.4167391950983657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9.5589685066474047E-22</v>
      </c>
      <c r="AX176" s="21">
        <f t="shared" si="166"/>
        <v>5.4167391950983657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-5.6843418860808015E-14</v>
      </c>
      <c r="BE176" s="13">
        <f>BD176*VLOOKUP('Données projet'!$B$11,Paramètres!$A$1:$I$89,3,0)*VLOOKUP('Données projet'!$B$11,Paramètres!$A$1:$I$89,5,0)</f>
        <v>-3.2810021366458389E-14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122.36861947722917</v>
      </c>
      <c r="BJ176" s="59">
        <f t="shared" si="146"/>
        <v>341.51856651265109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4.6921541015924593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8.2802866577084263E-22</v>
      </c>
      <c r="BS176" s="22">
        <f t="shared" si="169"/>
        <v>4.6921541015924593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6">
        <f t="shared" si="110"/>
        <v>595.19487289422705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-2.2737367544323206E-13</v>
      </c>
      <c r="O177" s="13">
        <f>N177*VLOOKUP('Données projet'!$B$9,Paramètres!$A$1:$I$89,3,0)*VLOOKUP('Données projet'!$B$9,Paramètres!$A$1:$I$89,5,0)</f>
        <v>-1.915395841933787E-13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328.34986205643321</v>
      </c>
      <c r="T177" s="59">
        <f t="shared" si="142"/>
        <v>251.60894449147008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111.18288217111659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111.18288217111659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5.6843418860808015E-14</v>
      </c>
      <c r="AJ177" s="13">
        <f>AI177*VLOOKUP('Données projet'!$B$10,Paramètres!$A$1:$I$89,3,0)*VLOOKUP('Données projet'!$B$10,Paramètres!$A$1:$I$89,5,0)</f>
        <v>2.8908289095852525E-14</v>
      </c>
      <c r="AK177" s="13">
        <f t="shared" si="164"/>
        <v>5.0177780569126974E-13</v>
      </c>
      <c r="AL177" s="20">
        <f t="shared" si="165"/>
        <v>9.2427828175423786E-13</v>
      </c>
      <c r="AM177" s="59">
        <f t="shared" si="113"/>
        <v>293.33333333333422</v>
      </c>
      <c r="AN177" s="59">
        <f ca="1">AVERAGE(OFFSET($AM$3,0,0,'Données projet'!$E$10+1,1))-AVERAGE(OFFSET($H$3,0,0,'Données projet'!$E$10+1,1))</f>
        <v>141.98581704643658</v>
      </c>
      <c r="AO177" s="59">
        <f t="shared" si="144"/>
        <v>396.03373990407204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5.3105202433671641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6.7592114521990254E-22</v>
      </c>
      <c r="AX177" s="21">
        <f t="shared" si="166"/>
        <v>5.3105202433671641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-5.6843418860808015E-14</v>
      </c>
      <c r="BE177" s="13">
        <f>BD177*VLOOKUP('Données projet'!$B$11,Paramètres!$A$1:$I$89,3,0)*VLOOKUP('Données projet'!$B$11,Paramètres!$A$1:$I$89,5,0)</f>
        <v>-3.2810021366458389E-14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122.36861947722917</v>
      </c>
      <c r="BJ177" s="59">
        <f t="shared" si="146"/>
        <v>341.51856651265109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4.600143821591641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5.8550468458341214E-22</v>
      </c>
      <c r="BS177" s="22">
        <f t="shared" si="169"/>
        <v>4.600143821591641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6">
        <f t="shared" si="110"/>
        <v>597.09412407153457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-2.2737367544323206E-13</v>
      </c>
      <c r="O178" s="13">
        <f>N178*VLOOKUP('Données projet'!$B$9,Paramètres!$A$1:$I$89,3,0)*VLOOKUP('Données projet'!$B$9,Paramètres!$A$1:$I$89,5,0)</f>
        <v>-1.915395841933787E-13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328.34986205643321</v>
      </c>
      <c r="T178" s="59">
        <f t="shared" si="142"/>
        <v>251.60894449147008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109.00265366660295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109.00265366660295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5.6843418860808015E-14</v>
      </c>
      <c r="AJ178" s="13">
        <f>AI178*VLOOKUP('Données projet'!$B$10,Paramètres!$A$1:$I$89,3,0)*VLOOKUP('Données projet'!$B$10,Paramètres!$A$1:$I$89,5,0)</f>
        <v>2.8908289095852525E-14</v>
      </c>
      <c r="AK178" s="13">
        <f t="shared" si="164"/>
        <v>5.0177780569126974E-13</v>
      </c>
      <c r="AL178" s="20">
        <f t="shared" si="165"/>
        <v>9.2427828175423786E-13</v>
      </c>
      <c r="AM178" s="59">
        <f t="shared" si="113"/>
        <v>293.33333333333422</v>
      </c>
      <c r="AN178" s="59">
        <f ca="1">AVERAGE(OFFSET($AM$3,0,0,'Données projet'!$E$10+1,1))-AVERAGE(OFFSET($H$3,0,0,'Données projet'!$E$10+1,1))</f>
        <v>141.98581704643658</v>
      </c>
      <c r="AO178" s="59">
        <f t="shared" si="144"/>
        <v>396.03373990407204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5.2063841804922477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4.7794842533237023E-22</v>
      </c>
      <c r="AX178" s="21">
        <f t="shared" si="166"/>
        <v>5.2063841804922477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-5.6843418860808015E-14</v>
      </c>
      <c r="BE178" s="13">
        <f>BD178*VLOOKUP('Données projet'!$B$11,Paramètres!$A$1:$I$89,3,0)*VLOOKUP('Données projet'!$B$11,Paramètres!$A$1:$I$89,5,0)</f>
        <v>-3.2810021366458389E-14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122.36861947722917</v>
      </c>
      <c r="BJ178" s="59">
        <f t="shared" si="146"/>
        <v>341.51856651265109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4.5099378070609095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4.1401433288542136E-22</v>
      </c>
      <c r="BS178" s="22">
        <f t="shared" si="169"/>
        <v>4.5099378070609095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6">
        <f t="shared" si="110"/>
        <v>598.99314215176662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-2.2737367544323206E-13</v>
      </c>
      <c r="O179" s="13">
        <f>N179*VLOOKUP('Données projet'!$B$9,Paramètres!$A$1:$I$89,3,0)*VLOOKUP('Données projet'!$B$9,Paramètres!$A$1:$I$89,5,0)</f>
        <v>-1.915395841933787E-13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328.34986205643321</v>
      </c>
      <c r="T179" s="59">
        <f t="shared" si="142"/>
        <v>251.60894449147008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106.86517811325476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106.86517811325476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5.6843418860808015E-14</v>
      </c>
      <c r="AJ179" s="13">
        <f>AI179*VLOOKUP('Données projet'!$B$10,Paramètres!$A$1:$I$89,3,0)*VLOOKUP('Données projet'!$B$10,Paramètres!$A$1:$I$89,5,0)</f>
        <v>2.8908289095852525E-14</v>
      </c>
      <c r="AK179" s="13">
        <f t="shared" si="164"/>
        <v>5.0177780569126974E-13</v>
      </c>
      <c r="AL179" s="20">
        <f t="shared" si="165"/>
        <v>9.2427828175423786E-13</v>
      </c>
      <c r="AM179" s="59">
        <f t="shared" si="113"/>
        <v>293.33333333333422</v>
      </c>
      <c r="AN179" s="59">
        <f ca="1">AVERAGE(OFFSET($AM$3,0,0,'Données projet'!$E$10+1,1))-AVERAGE(OFFSET($H$3,0,0,'Données projet'!$E$10+1,1))</f>
        <v>141.98581704643658</v>
      </c>
      <c r="AO179" s="59">
        <f t="shared" si="144"/>
        <v>396.03373990407204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5.1042901622935819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3.3796057260995127E-22</v>
      </c>
      <c r="AX179" s="21">
        <f t="shared" si="166"/>
        <v>5.1042901622935819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-5.6843418860808015E-14</v>
      </c>
      <c r="BE179" s="13">
        <f>BD179*VLOOKUP('Données projet'!$B$11,Paramètres!$A$1:$I$89,3,0)*VLOOKUP('Données projet'!$B$11,Paramètres!$A$1:$I$89,5,0)</f>
        <v>-3.2810021366458389E-14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122.36861947722917</v>
      </c>
      <c r="BJ179" s="59">
        <f t="shared" si="146"/>
        <v>341.51856651265109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4.4215006774548895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2.9275234229170612E-22</v>
      </c>
      <c r="BS179" s="22">
        <f t="shared" si="169"/>
        <v>4.4215006774548895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6">
        <f t="shared" si="110"/>
        <v>600.89192861302752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-2.2737367544323206E-13</v>
      </c>
      <c r="O180" s="13">
        <f>N180*VLOOKUP('Données projet'!$B$9,Paramètres!$A$1:$I$89,3,0)*VLOOKUP('Données projet'!$B$9,Paramètres!$A$1:$I$89,5,0)</f>
        <v>-1.915395841933787E-13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328.34986205643321</v>
      </c>
      <c r="T180" s="59">
        <f t="shared" si="142"/>
        <v>251.60894449147008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104.76961715177636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104.76961715177636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5.6843418860808015E-14</v>
      </c>
      <c r="AJ180" s="13">
        <f>AI180*VLOOKUP('Données projet'!$B$10,Paramètres!$A$1:$I$89,3,0)*VLOOKUP('Données projet'!$B$10,Paramètres!$A$1:$I$89,5,0)</f>
        <v>2.8908289095852525E-14</v>
      </c>
      <c r="AK180" s="13">
        <f t="shared" si="164"/>
        <v>5.0177780569126974E-13</v>
      </c>
      <c r="AL180" s="20">
        <f t="shared" si="165"/>
        <v>9.2427828175423786E-13</v>
      </c>
      <c r="AM180" s="59">
        <f t="shared" si="113"/>
        <v>293.33333333333422</v>
      </c>
      <c r="AN180" s="59">
        <f ca="1">AVERAGE(OFFSET($AM$3,0,0,'Données projet'!$E$10+1,1))-AVERAGE(OFFSET($H$3,0,0,'Données projet'!$E$10+1,1))</f>
        <v>141.98581704643658</v>
      </c>
      <c r="AO180" s="59">
        <f t="shared" si="144"/>
        <v>396.03373990407204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5.0041981455205899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2.3897421266618512E-22</v>
      </c>
      <c r="AX180" s="21">
        <f t="shared" si="166"/>
        <v>5.0041981455205899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-5.6843418860808015E-14</v>
      </c>
      <c r="BE180" s="13">
        <f>BD180*VLOOKUP('Données projet'!$B$11,Paramètres!$A$1:$I$89,3,0)*VLOOKUP('Données projet'!$B$11,Paramètres!$A$1:$I$89,5,0)</f>
        <v>-3.2810021366458389E-14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122.36861947722917</v>
      </c>
      <c r="BJ180" s="59">
        <f t="shared" si="146"/>
        <v>341.51856651265109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4.3347977460191203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2.0700716644271071E-22</v>
      </c>
      <c r="BS180" s="22">
        <f t="shared" si="169"/>
        <v>4.3347977460191203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6">
        <f t="shared" si="110"/>
        <v>602.79048491575327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-2.2737367544323206E-13</v>
      </c>
      <c r="O181" s="13">
        <f>N181*VLOOKUP('Données projet'!$B$9,Paramètres!$A$1:$I$89,3,0)*VLOOKUP('Données projet'!$B$9,Paramètres!$A$1:$I$89,5,0)</f>
        <v>-1.915395841933787E-13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328.34986205643321</v>
      </c>
      <c r="T181" s="59">
        <f t="shared" si="142"/>
        <v>251.60894449147008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102.71514886258657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102.71514886258657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5.6843418860808015E-14</v>
      </c>
      <c r="AJ181" s="13">
        <f>AI181*VLOOKUP('Données projet'!$B$10,Paramètres!$A$1:$I$89,3,0)*VLOOKUP('Données projet'!$B$10,Paramètres!$A$1:$I$89,5,0)</f>
        <v>2.8908289095852525E-14</v>
      </c>
      <c r="AK181" s="13">
        <f t="shared" si="164"/>
        <v>5.0177780569126974E-13</v>
      </c>
      <c r="AL181" s="20">
        <f t="shared" si="165"/>
        <v>9.2427828175423786E-13</v>
      </c>
      <c r="AM181" s="59">
        <f t="shared" si="113"/>
        <v>293.33333333333422</v>
      </c>
      <c r="AN181" s="59">
        <f ca="1">AVERAGE(OFFSET($AM$3,0,0,'Données projet'!$E$10+1,1))-AVERAGE(OFFSET($H$3,0,0,'Données projet'!$E$10+1,1))</f>
        <v>141.98581704643658</v>
      </c>
      <c r="AO181" s="59">
        <f t="shared" si="144"/>
        <v>396.03373990407204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4.9060688721464141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1.6898028630497564E-22</v>
      </c>
      <c r="AX181" s="21">
        <f t="shared" si="166"/>
        <v>4.9060688721464141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-5.6843418860808015E-14</v>
      </c>
      <c r="BE181" s="13">
        <f>BD181*VLOOKUP('Données projet'!$B$11,Paramètres!$A$1:$I$89,3,0)*VLOOKUP('Données projet'!$B$11,Paramètres!$A$1:$I$89,5,0)</f>
        <v>-3.2810021366458389E-14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122.36861947722917</v>
      </c>
      <c r="BJ181" s="59">
        <f t="shared" si="146"/>
        <v>341.51856651265109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4.2497950061852405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1.4637617114585308E-22</v>
      </c>
      <c r="BS181" s="22">
        <f t="shared" si="169"/>
        <v>4.2497950061852405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6">
        <f t="shared" si="110"/>
        <v>604.6888125030207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-2.2737367544323206E-13</v>
      </c>
      <c r="O182" s="13">
        <f>N182*VLOOKUP('Données projet'!$B$9,Paramètres!$A$1:$I$89,3,0)*VLOOKUP('Données projet'!$B$9,Paramètres!$A$1:$I$89,5,0)</f>
        <v>-1.915395841933787E-13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328.34986205643321</v>
      </c>
      <c r="T182" s="59">
        <f t="shared" si="142"/>
        <v>251.60894449147008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100.70096744344588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100.70096744344588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5.6843418860808015E-14</v>
      </c>
      <c r="AJ182" s="13">
        <f>AI182*VLOOKUP('Données projet'!$B$10,Paramètres!$A$1:$I$89,3,0)*VLOOKUP('Données projet'!$B$10,Paramètres!$A$1:$I$89,5,0)</f>
        <v>2.8908289095852525E-14</v>
      </c>
      <c r="AK182" s="13">
        <f t="shared" si="164"/>
        <v>5.0177780569126974E-13</v>
      </c>
      <c r="AL182" s="20">
        <f t="shared" si="165"/>
        <v>9.2427828175423786E-13</v>
      </c>
      <c r="AM182" s="59">
        <f t="shared" si="113"/>
        <v>293.33333333333422</v>
      </c>
      <c r="AN182" s="59">
        <f ca="1">AVERAGE(OFFSET($AM$3,0,0,'Données projet'!$E$10+1,1))-AVERAGE(OFFSET($H$3,0,0,'Données projet'!$E$10+1,1))</f>
        <v>141.98581704643658</v>
      </c>
      <c r="AO182" s="59">
        <f t="shared" si="144"/>
        <v>396.03373990407204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4.8098638539701595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1.1948710633309256E-22</v>
      </c>
      <c r="AX182" s="21">
        <f t="shared" si="166"/>
        <v>4.8098638539701595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-5.6843418860808015E-14</v>
      </c>
      <c r="BE182" s="13">
        <f>BD182*VLOOKUP('Données projet'!$B$11,Paramètres!$A$1:$I$89,3,0)*VLOOKUP('Données projet'!$B$11,Paramètres!$A$1:$I$89,5,0)</f>
        <v>-3.2810021366458389E-14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122.36861947722917</v>
      </c>
      <c r="BJ182" s="59">
        <f t="shared" si="146"/>
        <v>341.51856651265109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4.1664591182329511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1.0350358322135538E-22</v>
      </c>
      <c r="BS182" s="22">
        <f t="shared" si="169"/>
        <v>4.1664591182329511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6">
        <f t="shared" si="110"/>
        <v>606.58691280085009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-2.2737367544323206E-13</v>
      </c>
      <c r="O183" s="13">
        <f>N183*VLOOKUP('Données projet'!$B$9,Paramètres!$A$1:$I$89,3,0)*VLOOKUP('Données projet'!$B$9,Paramètres!$A$1:$I$89,5,0)</f>
        <v>-1.915395841933787E-13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328.34986205643321</v>
      </c>
      <c r="T183" s="59">
        <f t="shared" si="142"/>
        <v>251.60894449147008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98.72628289340517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98.72628289340517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5.6843418860808015E-14</v>
      </c>
      <c r="AJ183" s="13">
        <f>AI183*VLOOKUP('Données projet'!$B$10,Paramètres!$A$1:$I$89,3,0)*VLOOKUP('Données projet'!$B$10,Paramètres!$A$1:$I$89,5,0)</f>
        <v>2.8908289095852525E-14</v>
      </c>
      <c r="AK183" s="13">
        <f t="shared" si="164"/>
        <v>5.0177780569126974E-13</v>
      </c>
      <c r="AL183" s="20">
        <f t="shared" si="165"/>
        <v>9.2427828175423786E-13</v>
      </c>
      <c r="AM183" s="59">
        <f t="shared" si="113"/>
        <v>293.33333333333422</v>
      </c>
      <c r="AN183" s="59">
        <f ca="1">AVERAGE(OFFSET($AM$3,0,0,'Données projet'!$E$10+1,1))-AVERAGE(OFFSET($H$3,0,0,'Données projet'!$E$10+1,1))</f>
        <v>141.98581704643658</v>
      </c>
      <c r="AO183" s="59">
        <f t="shared" si="144"/>
        <v>396.03373990407204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4.7155453575210737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8.4490143152487818E-23</v>
      </c>
      <c r="AX183" s="21">
        <f t="shared" si="166"/>
        <v>4.7155453575210737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-5.6843418860808015E-14</v>
      </c>
      <c r="BE183" s="13">
        <f>BD183*VLOOKUP('Données projet'!$B$11,Paramètres!$A$1:$I$89,3,0)*VLOOKUP('Données projet'!$B$11,Paramètres!$A$1:$I$89,5,0)</f>
        <v>-3.2810021366458389E-14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122.36861947722917</v>
      </c>
      <c r="BJ183" s="59">
        <f t="shared" si="146"/>
        <v>341.51856651265109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4.0847573962135337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7.3188085572926553E-23</v>
      </c>
      <c r="BS183" s="22">
        <f t="shared" si="169"/>
        <v>4.0847573962135337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6">
        <f t="shared" si="110"/>
        <v>608.48478721849972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-2.2737367544323206E-13</v>
      </c>
      <c r="O184" s="13">
        <f>N184*VLOOKUP('Données projet'!$B$9,Paramètres!$A$1:$I$89,3,0)*VLOOKUP('Données projet'!$B$9,Paramètres!$A$1:$I$89,5,0)</f>
        <v>-1.915395841933787E-13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328.34986205643321</v>
      </c>
      <c r="T184" s="59">
        <f t="shared" si="142"/>
        <v>251.60894449147008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96.790320702952116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96.790320702952116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5.6843418860808015E-14</v>
      </c>
      <c r="AJ184" s="13">
        <f>AI184*VLOOKUP('Données projet'!$B$10,Paramètres!$A$1:$I$89,3,0)*VLOOKUP('Données projet'!$B$10,Paramètres!$A$1:$I$89,5,0)</f>
        <v>2.8908289095852525E-14</v>
      </c>
      <c r="AK184" s="13">
        <f t="shared" si="164"/>
        <v>5.0177780569126974E-13</v>
      </c>
      <c r="AL184" s="20">
        <f t="shared" si="165"/>
        <v>9.2427828175423786E-13</v>
      </c>
      <c r="AM184" s="59">
        <f t="shared" si="113"/>
        <v>293.33333333333422</v>
      </c>
      <c r="AN184" s="59">
        <f ca="1">AVERAGE(OFFSET($AM$3,0,0,'Données projet'!$E$10+1,1))-AVERAGE(OFFSET($H$3,0,0,'Données projet'!$E$10+1,1))</f>
        <v>141.98581704643658</v>
      </c>
      <c r="AO184" s="59">
        <f t="shared" si="144"/>
        <v>396.03373990407204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4.6230763892587525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5.9743553166546279E-23</v>
      </c>
      <c r="AX184" s="21">
        <f t="shared" si="166"/>
        <v>4.6230763892587525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-5.6843418860808015E-14</v>
      </c>
      <c r="BE184" s="13">
        <f>BD184*VLOOKUP('Données projet'!$B$11,Paramètres!$A$1:$I$89,3,0)*VLOOKUP('Données projet'!$B$11,Paramètres!$A$1:$I$89,5,0)</f>
        <v>-3.2810021366458389E-14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122.36861947722917</v>
      </c>
      <c r="BJ184" s="59">
        <f t="shared" si="146"/>
        <v>341.51856651265109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4.0046577951297868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5.1751791610677694E-23</v>
      </c>
      <c r="BS184" s="22">
        <f t="shared" si="169"/>
        <v>4.0046577951297868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6">
        <f t="shared" si="110"/>
        <v>610.38243714875489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-2.2737367544323206E-13</v>
      </c>
      <c r="O185" s="13">
        <f>N185*VLOOKUP('Données projet'!$B$9,Paramètres!$A$1:$I$89,3,0)*VLOOKUP('Données projet'!$B$9,Paramètres!$A$1:$I$89,5,0)</f>
        <v>-1.915395841933787E-13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328.34986205643321</v>
      </c>
      <c r="T185" s="59">
        <f t="shared" si="142"/>
        <v>251.60894449147008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94.892321550233504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94.892321550233504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5.6843418860808015E-14</v>
      </c>
      <c r="AJ185" s="13">
        <f>AI185*VLOOKUP('Données projet'!$B$10,Paramètres!$A$1:$I$89,3,0)*VLOOKUP('Données projet'!$B$10,Paramètres!$A$1:$I$89,5,0)</f>
        <v>2.8908289095852525E-14</v>
      </c>
      <c r="AK185" s="13">
        <f t="shared" si="164"/>
        <v>5.0177780569126974E-13</v>
      </c>
      <c r="AL185" s="20">
        <f t="shared" si="165"/>
        <v>9.2427828175423786E-13</v>
      </c>
      <c r="AM185" s="59">
        <f t="shared" si="113"/>
        <v>293.33333333333422</v>
      </c>
      <c r="AN185" s="59">
        <f ca="1">AVERAGE(OFFSET($AM$3,0,0,'Données projet'!$E$10+1,1))-AVERAGE(OFFSET($H$3,0,0,'Données projet'!$E$10+1,1))</f>
        <v>141.98581704643658</v>
      </c>
      <c r="AO185" s="59">
        <f t="shared" si="144"/>
        <v>396.03373990407204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4.5324206810635541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4.2245071576243909E-23</v>
      </c>
      <c r="AX185" s="21">
        <f t="shared" si="166"/>
        <v>4.5324206810635541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-5.6843418860808015E-14</v>
      </c>
      <c r="BE185" s="13">
        <f>BD185*VLOOKUP('Données projet'!$B$11,Paramètres!$A$1:$I$89,3,0)*VLOOKUP('Données projet'!$B$11,Paramètres!$A$1:$I$89,5,0)</f>
        <v>-3.2810021366458389E-14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122.36861947722917</v>
      </c>
      <c r="BJ185" s="59">
        <f t="shared" si="146"/>
        <v>341.51856651265109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3.9261288983673599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3.6594042786463282E-23</v>
      </c>
      <c r="BS185" s="22">
        <f t="shared" si="169"/>
        <v>3.9261288983673599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6">
        <f t="shared" si="110"/>
        <v>612.27986396820972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-2.2737367544323206E-13</v>
      </c>
      <c r="O186" s="13">
        <f>N186*VLOOKUP('Données projet'!$B$9,Paramètres!$A$1:$I$89,3,0)*VLOOKUP('Données projet'!$B$9,Paramètres!$A$1:$I$89,5,0)</f>
        <v>-1.915395841933787E-13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328.34986205643321</v>
      </c>
      <c r="T186" s="59">
        <f t="shared" si="142"/>
        <v>251.60894449147008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93.031541003234537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93.031541003234537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5.6843418860808015E-14</v>
      </c>
      <c r="AJ186" s="13">
        <f>AI186*VLOOKUP('Données projet'!$B$10,Paramètres!$A$1:$I$89,3,0)*VLOOKUP('Données projet'!$B$10,Paramètres!$A$1:$I$89,5,0)</f>
        <v>2.8908289095852525E-14</v>
      </c>
      <c r="AK186" s="13">
        <f t="shared" si="164"/>
        <v>5.0177780569126974E-13</v>
      </c>
      <c r="AL186" s="20">
        <f t="shared" si="165"/>
        <v>9.2427828175423786E-13</v>
      </c>
      <c r="AM186" s="59">
        <f t="shared" si="113"/>
        <v>293.33333333333422</v>
      </c>
      <c r="AN186" s="59">
        <f ca="1">AVERAGE(OFFSET($AM$3,0,0,'Données projet'!$E$10+1,1))-AVERAGE(OFFSET($H$3,0,0,'Données projet'!$E$10+1,1))</f>
        <v>141.98581704643658</v>
      </c>
      <c r="AO186" s="59">
        <f t="shared" si="144"/>
        <v>396.03373990407204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4.4435426760115408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2.987177658327314E-23</v>
      </c>
      <c r="AX186" s="21">
        <f t="shared" si="166"/>
        <v>4.4435426760115408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-5.6843418860808015E-14</v>
      </c>
      <c r="BE186" s="13">
        <f>BD186*VLOOKUP('Données projet'!$B$11,Paramètres!$A$1:$I$89,3,0)*VLOOKUP('Données projet'!$B$11,Paramètres!$A$1:$I$89,5,0)</f>
        <v>-3.2810021366458389E-14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122.36861947722917</v>
      </c>
      <c r="BJ186" s="59">
        <f t="shared" si="146"/>
        <v>341.51856651265109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3.8491399053725468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2.5875895805338853E-23</v>
      </c>
      <c r="BS186" s="22">
        <f t="shared" si="169"/>
        <v>3.8491399053725468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6">
        <f t="shared" si="110"/>
        <v>614.17706903754288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-2.2737367544323206E-13</v>
      </c>
      <c r="O187" s="13">
        <f>N187*VLOOKUP('Données projet'!$B$9,Paramètres!$A$1:$I$89,3,0)*VLOOKUP('Données projet'!$B$9,Paramètres!$A$1:$I$89,5,0)</f>
        <v>-1.915395841933787E-13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328.34986205643321</v>
      </c>
      <c r="T187" s="59">
        <f t="shared" si="142"/>
        <v>251.60894449147008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91.207249227798144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91.207249227798144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5.6843418860808015E-14</v>
      </c>
      <c r="AJ187" s="13">
        <f>AI187*VLOOKUP('Données projet'!$B$10,Paramètres!$A$1:$I$89,3,0)*VLOOKUP('Données projet'!$B$10,Paramètres!$A$1:$I$89,5,0)</f>
        <v>2.8908289095852525E-14</v>
      </c>
      <c r="AK187" s="13">
        <f t="shared" si="164"/>
        <v>5.0177780569126974E-13</v>
      </c>
      <c r="AL187" s="20">
        <f t="shared" si="165"/>
        <v>9.2427828175423786E-13</v>
      </c>
      <c r="AM187" s="59">
        <f t="shared" si="113"/>
        <v>293.33333333333422</v>
      </c>
      <c r="AN187" s="59">
        <f ca="1">AVERAGE(OFFSET($AM$3,0,0,'Données projet'!$E$10+1,1))-AVERAGE(OFFSET($H$3,0,0,'Données projet'!$E$10+1,1))</f>
        <v>141.98581704643658</v>
      </c>
      <c r="AO187" s="59">
        <f t="shared" si="144"/>
        <v>396.03373990407204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4.3564075144283674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2.1122535788121954E-23</v>
      </c>
      <c r="AX187" s="21">
        <f t="shared" si="166"/>
        <v>4.3564075144283674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-5.6843418860808015E-14</v>
      </c>
      <c r="BE187" s="13">
        <f>BD187*VLOOKUP('Données projet'!$B$11,Paramètres!$A$1:$I$89,3,0)*VLOOKUP('Données projet'!$B$11,Paramètres!$A$1:$I$89,5,0)</f>
        <v>-3.2810021366458389E-14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122.36861947722917</v>
      </c>
      <c r="BJ187" s="59">
        <f t="shared" si="146"/>
        <v>341.51856651265109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3.7736606195717131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1.8297021393231644E-23</v>
      </c>
      <c r="BS187" s="22">
        <f t="shared" si="169"/>
        <v>3.7736606195717131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6">
        <f t="shared" si="110"/>
        <v>616.07405370178697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-2.2737367544323206E-13</v>
      </c>
      <c r="O188" s="13">
        <f>N188*VLOOKUP('Données projet'!$B$9,Paramètres!$A$1:$I$89,3,0)*VLOOKUP('Données projet'!$B$9,Paramètres!$A$1:$I$89,5,0)</f>
        <v>-1.915395841933787E-13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328.34986205643321</v>
      </c>
      <c r="T188" s="59">
        <f t="shared" si="142"/>
        <v>251.60894449147008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89.418730701369952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89.418730701369952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5.6843418860808015E-14</v>
      </c>
      <c r="AJ188" s="13">
        <f>AI188*VLOOKUP('Données projet'!$B$10,Paramètres!$A$1:$I$89,3,0)*VLOOKUP('Données projet'!$B$10,Paramètres!$A$1:$I$89,5,0)</f>
        <v>2.8908289095852525E-14</v>
      </c>
      <c r="AK188" s="13">
        <f t="shared" si="164"/>
        <v>5.0177780569126974E-13</v>
      </c>
      <c r="AL188" s="20">
        <f t="shared" si="165"/>
        <v>9.2427828175423786E-13</v>
      </c>
      <c r="AM188" s="59">
        <f t="shared" si="113"/>
        <v>293.33333333333422</v>
      </c>
      <c r="AN188" s="59">
        <f ca="1">AVERAGE(OFFSET($AM$3,0,0,'Données projet'!$E$10+1,1))-AVERAGE(OFFSET($H$3,0,0,'Données projet'!$E$10+1,1))</f>
        <v>141.98581704643658</v>
      </c>
      <c r="AO188" s="59">
        <f t="shared" si="144"/>
        <v>396.03373990407204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4.2709810202166398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1.493588829163657E-23</v>
      </c>
      <c r="AX188" s="21">
        <f t="shared" si="166"/>
        <v>4.2709810202166398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-5.6843418860808015E-14</v>
      </c>
      <c r="BE188" s="13">
        <f>BD188*VLOOKUP('Données projet'!$B$11,Paramètres!$A$1:$I$89,3,0)*VLOOKUP('Données projet'!$B$11,Paramètres!$A$1:$I$89,5,0)</f>
        <v>-3.2810021366458389E-14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122.36861947722917</v>
      </c>
      <c r="BJ188" s="59">
        <f t="shared" si="146"/>
        <v>341.51856651265109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3.6996614365276153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1.2937947902669428E-23</v>
      </c>
      <c r="BS188" s="22">
        <f t="shared" si="169"/>
        <v>3.6996614365276153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6">
        <f t="shared" si="110"/>
        <v>617.97081929059186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-2.2737367544323206E-13</v>
      </c>
      <c r="O189" s="13">
        <f>N189*VLOOKUP('Données projet'!$B$9,Paramètres!$A$1:$I$89,3,0)*VLOOKUP('Données projet'!$B$9,Paramètres!$A$1:$I$89,5,0)</f>
        <v>-1.915395841933787E-13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328.34986205643321</v>
      </c>
      <c r="T189" s="59">
        <f t="shared" si="142"/>
        <v>251.60894449147008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87.665283932356431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87.665283932356431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5.6843418860808015E-14</v>
      </c>
      <c r="AJ189" s="13">
        <f>AI189*VLOOKUP('Données projet'!$B$10,Paramètres!$A$1:$I$89,3,0)*VLOOKUP('Données projet'!$B$10,Paramètres!$A$1:$I$89,5,0)</f>
        <v>2.8908289095852525E-14</v>
      </c>
      <c r="AK189" s="13">
        <f t="shared" si="164"/>
        <v>5.0177780569126974E-13</v>
      </c>
      <c r="AL189" s="20">
        <f t="shared" si="165"/>
        <v>9.2427828175423786E-13</v>
      </c>
      <c r="AM189" s="59">
        <f t="shared" si="113"/>
        <v>293.33333333333422</v>
      </c>
      <c r="AN189" s="59">
        <f ca="1">AVERAGE(OFFSET($AM$3,0,0,'Données projet'!$E$10+1,1))-AVERAGE(OFFSET($H$3,0,0,'Données projet'!$E$10+1,1))</f>
        <v>141.98581704643658</v>
      </c>
      <c r="AO189" s="59">
        <f t="shared" si="144"/>
        <v>396.03373990407204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4.1872296874513877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1.0561267894060977E-23</v>
      </c>
      <c r="AX189" s="21">
        <f t="shared" si="166"/>
        <v>4.1872296874513877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-5.6843418860808015E-14</v>
      </c>
      <c r="BE189" s="13">
        <f>BD189*VLOOKUP('Données projet'!$B$11,Paramètres!$A$1:$I$89,3,0)*VLOOKUP('Données projet'!$B$11,Paramètres!$A$1:$I$89,5,0)</f>
        <v>-3.2810021366458389E-14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122.36861947722917</v>
      </c>
      <c r="BJ189" s="59">
        <f t="shared" si="146"/>
        <v>341.51856651265109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3.627113332327967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9.1485106966158235E-24</v>
      </c>
      <c r="BS189" s="22">
        <f t="shared" si="169"/>
        <v>3.627113332327967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6">
        <f t="shared" si="110"/>
        <v>619.86736711848266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-2.2737367544323206E-13</v>
      </c>
      <c r="O190" s="13">
        <f>N190*VLOOKUP('Données projet'!$B$9,Paramètres!$A$1:$I$89,3,0)*VLOOKUP('Données projet'!$B$9,Paramètres!$A$1:$I$89,5,0)</f>
        <v>-1.915395841933787E-13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328.34986205643321</v>
      </c>
      <c r="T190" s="59">
        <f t="shared" si="142"/>
        <v>251.60894449147008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85.946221184986342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85.946221184986342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5.6843418860808015E-14</v>
      </c>
      <c r="AJ190" s="13">
        <f>AI190*VLOOKUP('Données projet'!$B$10,Paramètres!$A$1:$I$89,3,0)*VLOOKUP('Données projet'!$B$10,Paramètres!$A$1:$I$89,5,0)</f>
        <v>2.8908289095852525E-14</v>
      </c>
      <c r="AK190" s="13">
        <f t="shared" si="164"/>
        <v>5.0177780569126974E-13</v>
      </c>
      <c r="AL190" s="20">
        <f t="shared" si="165"/>
        <v>9.2427828175423786E-13</v>
      </c>
      <c r="AM190" s="59">
        <f t="shared" si="113"/>
        <v>293.33333333333422</v>
      </c>
      <c r="AN190" s="59">
        <f ca="1">AVERAGE(OFFSET($AM$3,0,0,'Données projet'!$E$10+1,1))-AVERAGE(OFFSET($H$3,0,0,'Données projet'!$E$10+1,1))</f>
        <v>141.98581704643658</v>
      </c>
      <c r="AO190" s="59">
        <f t="shared" si="144"/>
        <v>396.03373990407204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4.1051206672383929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7.4679441458182849E-24</v>
      </c>
      <c r="AX190" s="21">
        <f t="shared" si="166"/>
        <v>4.1051206672383929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-5.6843418860808015E-14</v>
      </c>
      <c r="BE190" s="13">
        <f>BD190*VLOOKUP('Données projet'!$B$11,Paramètres!$A$1:$I$89,3,0)*VLOOKUP('Données projet'!$B$11,Paramètres!$A$1:$I$89,5,0)</f>
        <v>-3.2810021366458389E-14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122.36861947722917</v>
      </c>
      <c r="BJ190" s="59">
        <f t="shared" si="146"/>
        <v>341.51856651265109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3.5559878522016999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6.4689739513347147E-24</v>
      </c>
      <c r="BS190" s="22">
        <f t="shared" si="169"/>
        <v>3.5559878522016999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6">
        <f t="shared" si="110"/>
        <v>621.7636984851116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-2.2737367544323206E-13</v>
      </c>
      <c r="O191" s="13">
        <f>N191*VLOOKUP('Données projet'!$B$9,Paramètres!$A$1:$I$89,3,0)*VLOOKUP('Données projet'!$B$9,Paramètres!$A$1:$I$89,5,0)</f>
        <v>-1.915395841933787E-13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328.34986205643321</v>
      </c>
      <c r="T191" s="59">
        <f t="shared" si="142"/>
        <v>251.60894449147008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84.260868209567434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84.260868209567434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5.6843418860808015E-14</v>
      </c>
      <c r="AJ191" s="13">
        <f>AI191*VLOOKUP('Données projet'!$B$10,Paramètres!$A$1:$I$89,3,0)*VLOOKUP('Données projet'!$B$10,Paramètres!$A$1:$I$89,5,0)</f>
        <v>2.8908289095852525E-14</v>
      </c>
      <c r="AK191" s="13">
        <f t="shared" si="164"/>
        <v>5.0177780569126974E-13</v>
      </c>
      <c r="AL191" s="20">
        <f t="shared" si="165"/>
        <v>9.2427828175423786E-13</v>
      </c>
      <c r="AM191" s="59">
        <f t="shared" si="113"/>
        <v>293.33333333333422</v>
      </c>
      <c r="AN191" s="59">
        <f ca="1">AVERAGE(OFFSET($AM$3,0,0,'Données projet'!$E$10+1,1))-AVERAGE(OFFSET($H$3,0,0,'Données projet'!$E$10+1,1))</f>
        <v>141.98581704643658</v>
      </c>
      <c r="AO191" s="59">
        <f t="shared" si="144"/>
        <v>396.03373990407204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4.0246217548302177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5.2806339470304886E-24</v>
      </c>
      <c r="AX191" s="21">
        <f t="shared" si="166"/>
        <v>4.0246217548302177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-5.6843418860808015E-14</v>
      </c>
      <c r="BE191" s="13">
        <f>BD191*VLOOKUP('Données projet'!$B$11,Paramètres!$A$1:$I$89,3,0)*VLOOKUP('Données projet'!$B$11,Paramètres!$A$1:$I$89,5,0)</f>
        <v>-3.2810021366458389E-14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122.36861947722917</v>
      </c>
      <c r="BJ191" s="59">
        <f t="shared" si="146"/>
        <v>341.51856651265109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3.4862570993584496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4.5742553483079125E-24</v>
      </c>
      <c r="BS191" s="22">
        <f t="shared" si="169"/>
        <v>3.4862570993584496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6">
        <f t="shared" si="110"/>
        <v>623.65981467550444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-2.2737367544323206E-13</v>
      </c>
      <c r="O192" s="13">
        <f>N192*VLOOKUP('Données projet'!$B$9,Paramètres!$A$1:$I$89,3,0)*VLOOKUP('Données projet'!$B$9,Paramètres!$A$1:$I$89,5,0)</f>
        <v>-1.915395841933787E-13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328.34986205643321</v>
      </c>
      <c r="T192" s="59">
        <f t="shared" si="142"/>
        <v>251.60894449147008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82.608563978032677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82.608563978032677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5.6843418860808015E-14</v>
      </c>
      <c r="AJ192" s="13">
        <f>AI192*VLOOKUP('Données projet'!$B$10,Paramètres!$A$1:$I$89,3,0)*VLOOKUP('Données projet'!$B$10,Paramètres!$A$1:$I$89,5,0)</f>
        <v>2.8908289095852525E-14</v>
      </c>
      <c r="AK192" s="13">
        <f t="shared" si="164"/>
        <v>5.0177780569126974E-13</v>
      </c>
      <c r="AL192" s="20">
        <f t="shared" si="165"/>
        <v>9.2427828175423786E-13</v>
      </c>
      <c r="AM192" s="59">
        <f t="shared" si="113"/>
        <v>293.33333333333422</v>
      </c>
      <c r="AN192" s="59">
        <f ca="1">AVERAGE(OFFSET($AM$3,0,0,'Données projet'!$E$10+1,1))-AVERAGE(OFFSET($H$3,0,0,'Données projet'!$E$10+1,1))</f>
        <v>141.98581704643658</v>
      </c>
      <c r="AO192" s="59">
        <f t="shared" si="144"/>
        <v>396.03373990407204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3.9457013769948786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3.7339720729091425E-24</v>
      </c>
      <c r="AX192" s="21">
        <f t="shared" si="166"/>
        <v>3.9457013769948786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-5.6843418860808015E-14</v>
      </c>
      <c r="BE192" s="13">
        <f>BD192*VLOOKUP('Données projet'!$B$11,Paramètres!$A$1:$I$89,3,0)*VLOOKUP('Données projet'!$B$11,Paramètres!$A$1:$I$89,5,0)</f>
        <v>-3.2810021366458389E-14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122.36861947722917</v>
      </c>
      <c r="BJ192" s="59">
        <f t="shared" si="146"/>
        <v>341.51856651265109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3.4178937240468956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3.2344869756673581E-24</v>
      </c>
      <c r="BS192" s="22">
        <f t="shared" si="169"/>
        <v>3.4178937240468956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6">
        <f t="shared" si="110"/>
        <v>625.55571696030165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-2.2737367544323206E-13</v>
      </c>
      <c r="O193" s="13">
        <f>N193*VLOOKUP('Données projet'!$B$9,Paramètres!$A$1:$I$89,3,0)*VLOOKUP('Données projet'!$B$9,Paramètres!$A$1:$I$89,5,0)</f>
        <v>-1.915395841933787E-13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328.34986205643321</v>
      </c>
      <c r="T193" s="59">
        <f t="shared" si="142"/>
        <v>251.60894449147008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80.988660424672261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80.988660424672261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5.6843418860808015E-14</v>
      </c>
      <c r="AJ193" s="13">
        <f>AI193*VLOOKUP('Données projet'!$B$10,Paramètres!$A$1:$I$89,3,0)*VLOOKUP('Données projet'!$B$10,Paramètres!$A$1:$I$89,5,0)</f>
        <v>2.8908289095852525E-14</v>
      </c>
      <c r="AK193" s="13">
        <f t="shared" si="164"/>
        <v>5.0177780569126974E-13</v>
      </c>
      <c r="AL193" s="20">
        <f t="shared" si="165"/>
        <v>9.2427828175423786E-13</v>
      </c>
      <c r="AM193" s="59">
        <f t="shared" si="113"/>
        <v>293.33333333333422</v>
      </c>
      <c r="AN193" s="59">
        <f ca="1">AVERAGE(OFFSET($AM$3,0,0,'Données projet'!$E$10+1,1))-AVERAGE(OFFSET($H$3,0,0,'Données projet'!$E$10+1,1))</f>
        <v>141.98581704643658</v>
      </c>
      <c r="AO193" s="59">
        <f t="shared" si="144"/>
        <v>396.03373990407204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3.8683285796322129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2.6403169735152443E-24</v>
      </c>
      <c r="AX193" s="21">
        <f t="shared" si="166"/>
        <v>3.8683285796322129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-5.6843418860808015E-14</v>
      </c>
      <c r="BE193" s="13">
        <f>BD193*VLOOKUP('Données projet'!$B$11,Paramètres!$A$1:$I$89,3,0)*VLOOKUP('Données projet'!$B$11,Paramètres!$A$1:$I$89,5,0)</f>
        <v>-3.2810021366458389E-14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122.36861947722917</v>
      </c>
      <c r="BJ193" s="59">
        <f t="shared" si="146"/>
        <v>341.51856651265109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3.3508709128276597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2.2871276741539566E-24</v>
      </c>
      <c r="BS193" s="22">
        <f t="shared" si="169"/>
        <v>3.3508709128276597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6">
        <f t="shared" si="110"/>
        <v>627.45140659599406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-2.2737367544323206E-13</v>
      </c>
      <c r="O194" s="13">
        <f>N194*VLOOKUP('Données projet'!$B$9,Paramètres!$A$1:$I$89,3,0)*VLOOKUP('Données projet'!$B$9,Paramètres!$A$1:$I$89,5,0)</f>
        <v>-1.915395841933787E-13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328.34986205643321</v>
      </c>
      <c r="T194" s="59">
        <f t="shared" si="142"/>
        <v>251.60894449147008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79.400522191949634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79.400522191949634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5.6843418860808015E-14</v>
      </c>
      <c r="AJ194" s="13">
        <f>AI194*VLOOKUP('Données projet'!$B$10,Paramètres!$A$1:$I$89,3,0)*VLOOKUP('Données projet'!$B$10,Paramètres!$A$1:$I$89,5,0)</f>
        <v>2.8908289095852525E-14</v>
      </c>
      <c r="AK194" s="13">
        <f t="shared" si="164"/>
        <v>5.0177780569126974E-13</v>
      </c>
      <c r="AL194" s="20">
        <f t="shared" si="165"/>
        <v>9.2427828175423786E-13</v>
      </c>
      <c r="AM194" s="59">
        <f t="shared" si="113"/>
        <v>293.33333333333422</v>
      </c>
      <c r="AN194" s="59">
        <f ca="1">AVERAGE(OFFSET($AM$3,0,0,'Données projet'!$E$10+1,1))-AVERAGE(OFFSET($H$3,0,0,'Données projet'!$E$10+1,1))</f>
        <v>141.98581704643658</v>
      </c>
      <c r="AO194" s="59">
        <f t="shared" si="144"/>
        <v>396.03373990407204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3.7924730156330826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1.8669860364545712E-24</v>
      </c>
      <c r="AX194" s="21">
        <f t="shared" si="166"/>
        <v>3.7924730156330826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-5.6843418860808015E-14</v>
      </c>
      <c r="BE194" s="13">
        <f>BD194*VLOOKUP('Données projet'!$B$11,Paramètres!$A$1:$I$89,3,0)*VLOOKUP('Données projet'!$B$11,Paramètres!$A$1:$I$89,5,0)</f>
        <v>-3.2810021366458389E-14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122.36861947722917</v>
      </c>
      <c r="BJ194" s="59">
        <f t="shared" si="146"/>
        <v>341.51856651265109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3.2851623780565546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1.6172434878336792E-24</v>
      </c>
      <c r="BS194" s="22">
        <f t="shared" si="169"/>
        <v>3.2851623780565546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6">
        <f t="shared" si="110"/>
        <v>629.34688482515401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-2.2737367544323206E-13</v>
      </c>
      <c r="O195" s="13">
        <f>N195*VLOOKUP('Données projet'!$B$9,Paramètres!$A$1:$I$89,3,0)*VLOOKUP('Données projet'!$B$9,Paramètres!$A$1:$I$89,5,0)</f>
        <v>-1.915395841933787E-13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328.34986205643321</v>
      </c>
      <c r="T195" s="59">
        <f t="shared" si="142"/>
        <v>251.60894449147008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77.843526381302013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77.843526381302013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5.6843418860808015E-14</v>
      </c>
      <c r="AJ195" s="13">
        <f>AI195*VLOOKUP('Données projet'!$B$10,Paramètres!$A$1:$I$89,3,0)*VLOOKUP('Données projet'!$B$10,Paramètres!$A$1:$I$89,5,0)</f>
        <v>2.8908289095852525E-14</v>
      </c>
      <c r="AK195" s="13">
        <f t="shared" si="164"/>
        <v>5.0177780569126974E-13</v>
      </c>
      <c r="AL195" s="20">
        <f t="shared" si="165"/>
        <v>9.2427828175423786E-13</v>
      </c>
      <c r="AM195" s="59">
        <f t="shared" si="113"/>
        <v>293.33333333333422</v>
      </c>
      <c r="AN195" s="59">
        <f ca="1">AVERAGE(OFFSET($AM$3,0,0,'Données projet'!$E$10+1,1))-AVERAGE(OFFSET($H$3,0,0,'Données projet'!$E$10+1,1))</f>
        <v>141.98581704643658</v>
      </c>
      <c r="AO195" s="59">
        <f t="shared" si="144"/>
        <v>396.03373990407204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3.71810493297665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1.3201584867576222E-24</v>
      </c>
      <c r="AX195" s="21">
        <f t="shared" si="166"/>
        <v>3.71810493297665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-5.6843418860808015E-14</v>
      </c>
      <c r="BE195" s="13">
        <f>BD195*VLOOKUP('Données projet'!$B$11,Paramètres!$A$1:$I$89,3,0)*VLOOKUP('Données projet'!$B$11,Paramètres!$A$1:$I$89,5,0)</f>
        <v>-3.2810021366458389E-14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122.36861947722917</v>
      </c>
      <c r="BJ195" s="59">
        <f t="shared" si="146"/>
        <v>341.51856651265109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3.2207423475740624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1.1435638370769785E-24</v>
      </c>
      <c r="BS195" s="22">
        <f t="shared" si="169"/>
        <v>3.2207423475740624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6">
        <f t="shared" ref="H196:H203" si="192">(B196+E196+F196)*44/12+(C196+D196)*0.475*44/12</f>
        <v>631.24215287666095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-2.2737367544323206E-13</v>
      </c>
      <c r="O196" s="13">
        <f>N196*VLOOKUP('Données projet'!$B$9,Paramètres!$A$1:$I$89,3,0)*VLOOKUP('Données projet'!$B$9,Paramètres!$A$1:$I$89,5,0)</f>
        <v>-1.915395841933787E-13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328.34986205643321</v>
      </c>
      <c r="T196" s="59">
        <f t="shared" si="142"/>
        <v>251.60894449147008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76.317062308827531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76.317062308827531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5.6843418860808015E-14</v>
      </c>
      <c r="AJ196" s="13">
        <f>AI196*VLOOKUP('Données projet'!$B$10,Paramètres!$A$1:$I$89,3,0)*VLOOKUP('Données projet'!$B$10,Paramètres!$A$1:$I$89,5,0)</f>
        <v>2.8908289095852525E-14</v>
      </c>
      <c r="AK196" s="13">
        <f t="shared" si="164"/>
        <v>5.0177780569126974E-13</v>
      </c>
      <c r="AL196" s="20">
        <f t="shared" si="165"/>
        <v>9.2427828175423786E-13</v>
      </c>
      <c r="AM196" s="59">
        <f t="shared" ref="AM196:AM203" si="193">AL196+(AD196+AE196)*44/12</f>
        <v>293.33333333333422</v>
      </c>
      <c r="AN196" s="59">
        <f ca="1">AVERAGE(OFFSET($AM$3,0,0,'Données projet'!$E$10+1,1))-AVERAGE(OFFSET($H$3,0,0,'Données projet'!$E$10+1,1))</f>
        <v>141.98581704643658</v>
      </c>
      <c r="AO196" s="59">
        <f t="shared" si="144"/>
        <v>396.03373990407204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3.6451951630610582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9.3349301822728561E-25</v>
      </c>
      <c r="AX196" s="21">
        <f t="shared" si="166"/>
        <v>3.6451951630610582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-5.6843418860808015E-14</v>
      </c>
      <c r="BE196" s="13">
        <f>BD196*VLOOKUP('Données projet'!$B$11,Paramètres!$A$1:$I$89,3,0)*VLOOKUP('Données projet'!$B$11,Paramètres!$A$1:$I$89,5,0)</f>
        <v>-3.2810021366458389E-14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122.36861947722917</v>
      </c>
      <c r="BJ196" s="59">
        <f t="shared" si="146"/>
        <v>341.51856651265109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3.1575855545969929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8.0862174391683979E-25</v>
      </c>
      <c r="BS196" s="22">
        <f t="shared" si="169"/>
        <v>3.1575855545969929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6">
        <f t="shared" si="192"/>
        <v>633.13721196592269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-2.2737367544323206E-13</v>
      </c>
      <c r="O197" s="13">
        <f>N197*VLOOKUP('Données projet'!$B$9,Paramètres!$A$1:$I$89,3,0)*VLOOKUP('Données projet'!$B$9,Paramètres!$A$1:$I$89,5,0)</f>
        <v>-1.915395841933787E-13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328.34986205643321</v>
      </c>
      <c r="T197" s="59">
        <f t="shared" ref="T197:T203" si="204">$T$3</f>
        <v>251.60894449147008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74.820531265763123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74.820531265763123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5.6843418860808015E-14</v>
      </c>
      <c r="AJ197" s="13">
        <f>AI197*VLOOKUP('Données projet'!$B$10,Paramètres!$A$1:$I$89,3,0)*VLOOKUP('Données projet'!$B$10,Paramètres!$A$1:$I$89,5,0)</f>
        <v>2.8908289095852525E-14</v>
      </c>
      <c r="AK197" s="13">
        <f t="shared" si="164"/>
        <v>5.0177780569126974E-13</v>
      </c>
      <c r="AL197" s="20">
        <f t="shared" si="165"/>
        <v>9.2427828175423786E-13</v>
      </c>
      <c r="AM197" s="59">
        <f t="shared" si="193"/>
        <v>293.33333333333422</v>
      </c>
      <c r="AN197" s="59">
        <f ca="1">AVERAGE(OFFSET($AM$3,0,0,'Données projet'!$E$10+1,1))-AVERAGE(OFFSET($H$3,0,0,'Données projet'!$E$10+1,1))</f>
        <v>141.98581704643658</v>
      </c>
      <c r="AO197" s="59">
        <f t="shared" ref="AO197:AO203" si="205">$AO$3</f>
        <v>396.03373990407204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3.5737151092629427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6.6007924337881108E-25</v>
      </c>
      <c r="AX197" s="21">
        <f t="shared" si="166"/>
        <v>3.5737151092629427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-5.6843418860808015E-14</v>
      </c>
      <c r="BE197" s="13">
        <f>BD197*VLOOKUP('Données projet'!$B$11,Paramètres!$A$1:$I$89,3,0)*VLOOKUP('Données projet'!$B$11,Paramètres!$A$1:$I$89,5,0)</f>
        <v>-3.2810021366458389E-14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122.36861947722917</v>
      </c>
      <c r="BJ197" s="59">
        <f t="shared" ref="BJ197:BJ203" si="206">$BJ$3</f>
        <v>341.51856651265109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3.0956672278083635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5.7178191853848934E-25</v>
      </c>
      <c r="BS197" s="22">
        <f t="shared" si="169"/>
        <v>3.0956672278083635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6">
        <f t="shared" si="192"/>
        <v>635.0320632950918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-2.2737367544323206E-13</v>
      </c>
      <c r="O198" s="13">
        <f>N198*VLOOKUP('Données projet'!$B$9,Paramètres!$A$1:$I$89,3,0)*VLOOKUP('Données projet'!$B$9,Paramètres!$A$1:$I$89,5,0)</f>
        <v>-1.915395841933787E-13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328.34986205643321</v>
      </c>
      <c r="T198" s="59">
        <f t="shared" si="204"/>
        <v>251.60894449147008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73.353346283659391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73.353346283659391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5.6843418860808015E-14</v>
      </c>
      <c r="AJ198" s="13">
        <f>AI198*VLOOKUP('Données projet'!$B$10,Paramètres!$A$1:$I$89,3,0)*VLOOKUP('Données projet'!$B$10,Paramètres!$A$1:$I$89,5,0)</f>
        <v>2.8908289095852525E-14</v>
      </c>
      <c r="AK198" s="13">
        <f t="shared" si="164"/>
        <v>5.0177780569126974E-13</v>
      </c>
      <c r="AL198" s="20">
        <f t="shared" si="165"/>
        <v>9.2427828175423786E-13</v>
      </c>
      <c r="AM198" s="59">
        <f t="shared" si="193"/>
        <v>293.33333333333422</v>
      </c>
      <c r="AN198" s="59">
        <f ca="1">AVERAGE(OFFSET($AM$3,0,0,'Données projet'!$E$10+1,1))-AVERAGE(OFFSET($H$3,0,0,'Données projet'!$E$10+1,1))</f>
        <v>141.98581704643658</v>
      </c>
      <c r="AO198" s="59">
        <f t="shared" si="205"/>
        <v>396.03373990407204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3.5036367357212805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4.6674650911364281E-25</v>
      </c>
      <c r="AX198" s="21">
        <f t="shared" si="166"/>
        <v>3.5036367357212805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-5.6843418860808015E-14</v>
      </c>
      <c r="BE198" s="13">
        <f>BD198*VLOOKUP('Données projet'!$B$11,Paramètres!$A$1:$I$89,3,0)*VLOOKUP('Données projet'!$B$11,Paramètres!$A$1:$I$89,5,0)</f>
        <v>-3.2810021366458389E-14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122.36861947722917</v>
      </c>
      <c r="BJ198" s="59">
        <f t="shared" si="206"/>
        <v>341.51856651265109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3.0349630816416089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4.0431087195841994E-25</v>
      </c>
      <c r="BS198" s="22">
        <f t="shared" si="169"/>
        <v>3.0349630816416089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6">
        <f t="shared" si="192"/>
        <v>636.92670805327657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-2.2737367544323206E-13</v>
      </c>
      <c r="O199" s="13">
        <f>N199*VLOOKUP('Données projet'!$B$9,Paramètres!$A$1:$I$89,3,0)*VLOOKUP('Données projet'!$B$9,Paramètres!$A$1:$I$89,5,0)</f>
        <v>-1.915395841933787E-13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328.34986205643321</v>
      </c>
      <c r="T199" s="59">
        <f t="shared" si="204"/>
        <v>251.60894449147008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71.914931904160241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71.914931904160241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5.6843418860808015E-14</v>
      </c>
      <c r="AJ199" s="13">
        <f>AI199*VLOOKUP('Données projet'!$B$10,Paramètres!$A$1:$I$89,3,0)*VLOOKUP('Données projet'!$B$10,Paramètres!$A$1:$I$89,5,0)</f>
        <v>2.8908289095852525E-14</v>
      </c>
      <c r="AK199" s="13">
        <f t="shared" si="164"/>
        <v>5.0177780569126974E-13</v>
      </c>
      <c r="AL199" s="20">
        <f t="shared" si="165"/>
        <v>9.2427828175423786E-13</v>
      </c>
      <c r="AM199" s="59">
        <f t="shared" si="193"/>
        <v>293.33333333333422</v>
      </c>
      <c r="AN199" s="59">
        <f ca="1">AVERAGE(OFFSET($AM$3,0,0,'Données projet'!$E$10+1,1))-AVERAGE(OFFSET($H$3,0,0,'Données projet'!$E$10+1,1))</f>
        <v>141.98581704643658</v>
      </c>
      <c r="AO199" s="59">
        <f t="shared" si="205"/>
        <v>396.03373990407204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3.4349325563411832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3.3003962168940554E-25</v>
      </c>
      <c r="AX199" s="21">
        <f t="shared" si="166"/>
        <v>3.4349325563411832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-5.6843418860808015E-14</v>
      </c>
      <c r="BE199" s="13">
        <f>BD199*VLOOKUP('Données projet'!$B$11,Paramètres!$A$1:$I$89,3,0)*VLOOKUP('Données projet'!$B$11,Paramètres!$A$1:$I$89,5,0)</f>
        <v>-3.2810021366458389E-14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122.36861947722917</v>
      </c>
      <c r="BJ199" s="59">
        <f t="shared" si="206"/>
        <v>341.51856651265109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2.9754493067553112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2.8589095926924471E-25</v>
      </c>
      <c r="BS199" s="22">
        <f t="shared" si="169"/>
        <v>2.9754493067553112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6">
        <f t="shared" si="192"/>
        <v>638.82114741674945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-2.2737367544323206E-13</v>
      </c>
      <c r="O200" s="13">
        <f>N200*VLOOKUP('Données projet'!$B$9,Paramètres!$A$1:$I$89,3,0)*VLOOKUP('Données projet'!$B$9,Paramètres!$A$1:$I$89,5,0)</f>
        <v>-1.915395841933787E-13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328.34986205643321</v>
      </c>
      <c r="T200" s="59">
        <f t="shared" si="204"/>
        <v>251.60894449147008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70.504723953296931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70.504723953296931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5.6843418860808015E-14</v>
      </c>
      <c r="AJ200" s="13">
        <f>AI200*VLOOKUP('Données projet'!$B$10,Paramètres!$A$1:$I$89,3,0)*VLOOKUP('Données projet'!$B$10,Paramètres!$A$1:$I$89,5,0)</f>
        <v>2.8908289095852525E-14</v>
      </c>
      <c r="AK200" s="13">
        <f t="shared" si="164"/>
        <v>5.0177780569126974E-13</v>
      </c>
      <c r="AL200" s="20">
        <f t="shared" si="165"/>
        <v>9.2427828175423786E-13</v>
      </c>
      <c r="AM200" s="59">
        <f t="shared" si="193"/>
        <v>293.33333333333422</v>
      </c>
      <c r="AN200" s="59">
        <f ca="1">AVERAGE(OFFSET($AM$3,0,0,'Données projet'!$E$10+1,1))-AVERAGE(OFFSET($H$3,0,0,'Données projet'!$E$10+1,1))</f>
        <v>141.98581704643658</v>
      </c>
      <c r="AO200" s="59">
        <f t="shared" si="205"/>
        <v>396.03373990407204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3.3675756240133179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2.333732545568214E-25</v>
      </c>
      <c r="AX200" s="21">
        <f t="shared" si="166"/>
        <v>3.3675756240133179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-5.6843418860808015E-14</v>
      </c>
      <c r="BE200" s="13">
        <f>BD200*VLOOKUP('Données projet'!$B$11,Paramètres!$A$1:$I$89,3,0)*VLOOKUP('Données projet'!$B$11,Paramètres!$A$1:$I$89,5,0)</f>
        <v>-3.2810021366458389E-14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122.36861947722917</v>
      </c>
      <c r="BJ200" s="59">
        <f t="shared" si="206"/>
        <v>341.51856651265109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2.9171025606947154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2.0215543597921002E-25</v>
      </c>
      <c r="BS200" s="22">
        <f t="shared" si="169"/>
        <v>2.9171025606947154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6">
        <f t="shared" si="192"/>
        <v>640.71538254914947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-2.2737367544323206E-13</v>
      </c>
      <c r="O201" s="13">
        <f>N201*VLOOKUP('Données projet'!$B$9,Paramètres!$A$1:$I$89,3,0)*VLOOKUP('Données projet'!$B$9,Paramètres!$A$1:$I$89,5,0)</f>
        <v>-1.915395841933787E-13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328.34986205643321</v>
      </c>
      <c r="T201" s="59">
        <f t="shared" si="204"/>
        <v>251.60894449147008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69.12216932020813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69.12216932020813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5.6843418860808015E-14</v>
      </c>
      <c r="AJ201" s="13">
        <f>AI201*VLOOKUP('Données projet'!$B$10,Paramètres!$A$1:$I$89,3,0)*VLOOKUP('Données projet'!$B$10,Paramètres!$A$1:$I$89,5,0)</f>
        <v>2.8908289095852525E-14</v>
      </c>
      <c r="AK201" s="13">
        <f t="shared" si="164"/>
        <v>5.0177780569126974E-13</v>
      </c>
      <c r="AL201" s="20">
        <f t="shared" si="165"/>
        <v>9.2427828175423786E-13</v>
      </c>
      <c r="AM201" s="59">
        <f t="shared" si="193"/>
        <v>293.33333333333422</v>
      </c>
      <c r="AN201" s="59">
        <f ca="1">AVERAGE(OFFSET($AM$3,0,0,'Données projet'!$E$10+1,1))-AVERAGE(OFFSET($H$3,0,0,'Données projet'!$E$10+1,1))</f>
        <v>141.98581704643658</v>
      </c>
      <c r="AO201" s="59">
        <f t="shared" si="205"/>
        <v>396.03373990407204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3.3015395200447299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1.6501981084470277E-25</v>
      </c>
      <c r="AX201" s="21">
        <f t="shared" si="166"/>
        <v>3.3015395200447299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-5.6843418860808015E-14</v>
      </c>
      <c r="BE201" s="13">
        <f>BD201*VLOOKUP('Données projet'!$B$11,Paramètres!$A$1:$I$89,3,0)*VLOOKUP('Données projet'!$B$11,Paramètres!$A$1:$I$89,5,0)</f>
        <v>-3.2810021366458389E-14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122.36861947722917</v>
      </c>
      <c r="BJ201" s="59">
        <f t="shared" si="206"/>
        <v>341.51856651265109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2.8598999587363672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1.4294547963462238E-25</v>
      </c>
      <c r="BS201" s="22">
        <f t="shared" si="169"/>
        <v>2.8598999587363672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6">
        <f t="shared" si="192"/>
        <v>642.60941460168146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-2.2737367544323206E-13</v>
      </c>
      <c r="O202" s="13">
        <f>N202*VLOOKUP('Données projet'!$B$9,Paramètres!$A$1:$I$89,3,0)*VLOOKUP('Données projet'!$B$9,Paramètres!$A$1:$I$89,5,0)</f>
        <v>-1.915395841933787E-13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328.34986205643321</v>
      </c>
      <c r="T202" s="59">
        <f t="shared" si="204"/>
        <v>251.60894449147008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67.766725740199149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67.766725740199149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5.6843418860808015E-14</v>
      </c>
      <c r="AJ202" s="13">
        <f>AI202*VLOOKUP('Données projet'!$B$10,Paramètres!$A$1:$I$89,3,0)*VLOOKUP('Données projet'!$B$10,Paramètres!$A$1:$I$89,5,0)</f>
        <v>2.8908289095852525E-14</v>
      </c>
      <c r="AK202" s="13">
        <f t="shared" si="164"/>
        <v>5.0177780569126974E-13</v>
      </c>
      <c r="AL202" s="20">
        <f t="shared" si="165"/>
        <v>9.2427828175423786E-13</v>
      </c>
      <c r="AM202" s="59">
        <f t="shared" si="193"/>
        <v>293.33333333333422</v>
      </c>
      <c r="AN202" s="59">
        <f ca="1">AVERAGE(OFFSET($AM$3,0,0,'Données projet'!$E$10+1,1))-AVERAGE(OFFSET($H$3,0,0,'Données projet'!$E$10+1,1))</f>
        <v>141.98581704643658</v>
      </c>
      <c r="AO202" s="59">
        <f t="shared" si="205"/>
        <v>396.03373990407204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3.2367983437969197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1.166866272784107E-25</v>
      </c>
      <c r="AX202" s="21">
        <f t="shared" si="166"/>
        <v>3.2367983437969197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-5.6843418860808015E-14</v>
      </c>
      <c r="BE202" s="13">
        <f>BD202*VLOOKUP('Données projet'!$B$11,Paramètres!$A$1:$I$89,3,0)*VLOOKUP('Données projet'!$B$11,Paramètres!$A$1:$I$89,5,0)</f>
        <v>-3.2810021366458389E-14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122.36861947722917</v>
      </c>
      <c r="BJ202" s="59">
        <f t="shared" si="206"/>
        <v>341.51856651265109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2.8038190649122798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1.0107771798960502E-25</v>
      </c>
      <c r="BS202" s="22">
        <f t="shared" si="169"/>
        <v>2.8038190649122798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6">
        <f t="shared" si="192"/>
        <v>644.5032447133101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-2.2737367544323206E-13</v>
      </c>
      <c r="O203" s="13">
        <f>N203*VLOOKUP('Données projet'!$B$9,Paramètres!$A$1:$I$89,3,0)*VLOOKUP('Données projet'!$B$9,Paramètres!$A$1:$I$89,5,0)</f>
        <v>-1.915395841933787E-13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328.34986205643321</v>
      </c>
      <c r="T203" s="59">
        <f t="shared" si="204"/>
        <v>251.60894449147008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66.437861582055191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66.437861582055191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5.6843418860808015E-14</v>
      </c>
      <c r="AJ203" s="13">
        <f>AI203*VLOOKUP('Données projet'!$B$10,Paramètres!$A$1:$I$89,3,0)*VLOOKUP('Données projet'!$B$10,Paramètres!$A$1:$I$89,5,0)</f>
        <v>2.8908289095852525E-14</v>
      </c>
      <c r="AK203" s="13">
        <f t="shared" si="164"/>
        <v>5.0177780569126974E-13</v>
      </c>
      <c r="AL203" s="20">
        <f t="shared" si="165"/>
        <v>9.2427828175423786E-13</v>
      </c>
      <c r="AM203" s="59">
        <f t="shared" si="193"/>
        <v>293.33333333333422</v>
      </c>
      <c r="AN203" s="59">
        <f ca="1">AVERAGE(OFFSET($AM$3,0,0,'Données projet'!$E$10+1,1))-AVERAGE(OFFSET($H$3,0,0,'Données projet'!$E$10+1,1))</f>
        <v>141.98581704643658</v>
      </c>
      <c r="AO203" s="59">
        <f t="shared" si="205"/>
        <v>396.03373990407204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3.1733267025271106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8.2509905422351384E-26</v>
      </c>
      <c r="AX203" s="21">
        <f t="shared" si="166"/>
        <v>3.1733267025271106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-5.6843418860808015E-14</v>
      </c>
      <c r="BE203" s="13">
        <f>BD203*VLOOKUP('Données projet'!$B$11,Paramètres!$A$1:$I$89,3,0)*VLOOKUP('Données projet'!$B$11,Paramètres!$A$1:$I$89,5,0)</f>
        <v>-3.2810021366458389E-14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122.36861947722917</v>
      </c>
      <c r="BJ203" s="59">
        <f t="shared" si="206"/>
        <v>341.51856651265109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2.7488378832101152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7.1472739817311202E-26</v>
      </c>
      <c r="BS203" s="22">
        <f t="shared" si="169"/>
        <v>2.7488378832101152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1.2392705892426346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1.6651064148037464</v>
      </c>
      <c r="BA205" s="81">
        <f>EXP(LN('Données projet'!B88)/'Données projet'!A88)</f>
        <v>1.5269176613775752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79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80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79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81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81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80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79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80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tabSelected="1" zoomScale="90" zoomScaleNormal="90" workbookViewId="0">
      <selection activeCell="A74" sqref="A1:L74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0" t="s">
        <v>271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Chêne pédonculé</v>
      </c>
      <c r="B6" s="144">
        <f>'Données projet'!D9</f>
        <v>0.96199999999999997</v>
      </c>
      <c r="C6" s="145">
        <f ca="1">IF(OR('Données projet'!B9="",'Données projet'!C9="",'Données projet'!C9=0%),0,Calculateur!S3)</f>
        <v>328.34986205643321</v>
      </c>
      <c r="D6" s="145">
        <f>IF(OR('Données projet'!B9="",'Données projet'!C9="",'Données projet'!C9=0%),0,Calculateur!T3)</f>
        <v>251.60894449147008</v>
      </c>
      <c r="E6" s="145">
        <f ca="1">MIN(C6,D6)</f>
        <v>251.60894449147008</v>
      </c>
      <c r="F6" s="145">
        <f ca="1">E6*B6</f>
        <v>242.04780460079422</v>
      </c>
      <c r="G6" s="145">
        <f ca="1">F6*(100%-'Données projet'!$C$24)*(100%-'Données projet'!$C$25)*(100%-'Données projet'!$C$26)*(100%-'Données projet'!$C$27)</f>
        <v>174.27441931257184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14.911</v>
      </c>
      <c r="K6" s="149">
        <f>J6*(100%-'Données projet'!$C$24)*(100%-'Données projet'!$C$25)*(100%-'Données projet'!$C$26)*(100%-'Données projet'!$C$27)</f>
        <v>10.73592</v>
      </c>
      <c r="L6" s="150">
        <f ca="1">G6+I6+K6</f>
        <v>185.01033931257183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Peuplier Koster</v>
      </c>
      <c r="B7" s="152">
        <f>'Données projet'!D10</f>
        <v>4.0403999999999991</v>
      </c>
      <c r="C7" s="145">
        <f ca="1">IF(OR('Données projet'!B10="",'Données projet'!C10="",'Données projet'!C10=0%),0,Calculateur!AN3)</f>
        <v>141.98581704643658</v>
      </c>
      <c r="D7" s="145">
        <f>IF(OR('Données projet'!B10="",'Données projet'!C10="",'Données projet'!C10=0%),0,Calculateur!AO3)</f>
        <v>396.03373990407204</v>
      </c>
      <c r="E7" s="145">
        <f t="shared" ref="E7:E15" ca="1" si="0">MIN(C7,D7)</f>
        <v>141.98581704643658</v>
      </c>
      <c r="F7" s="145">
        <f t="shared" ref="F7:F15" ca="1" si="1">E7*B7</f>
        <v>573.6794951944222</v>
      </c>
      <c r="G7" s="145">
        <f ca="1">F7*(100%-'Données projet'!$C$24)*(100%-'Données projet'!$C$25)*(100%-'Données projet'!$C$26)*(100%-'Données projet'!$C$27)</f>
        <v>413.04923653998401</v>
      </c>
      <c r="H7" s="153">
        <f>IF(OR('Données projet'!B10="",'Données projet'!C10="",'Données projet'!C10=0%),0,AVERAGE(Calculateur!$AX$3:$AX$33)*B7)</f>
        <v>82.648547970934558</v>
      </c>
      <c r="I7" s="147">
        <f>H7*(100%-'Données projet'!$C$24)*(100%-'Données projet'!$C$25)*(100%-'Données projet'!$C$26)*(100%-'Données projet'!$C$27)</f>
        <v>59.506954539072886</v>
      </c>
      <c r="J7" s="148">
        <f>IF(OR('Données projet'!B10="",'Données projet'!C10="",'Données projet'!C10=0%),0,SUM(Calculateur!$AQ$3:$AQ$33)*VLOOKUP('Données projet'!$B$10,Paramètres!$A$1:$I$89,9,0)*B7)</f>
        <v>1566.0145955999997</v>
      </c>
      <c r="K7" s="149">
        <f>J7*(100%-'Données projet'!$C$24)*(100%-'Données projet'!$C$25)*(100%-'Données projet'!$C$26)*(100%-'Données projet'!$C$27)</f>
        <v>1127.5305088319999</v>
      </c>
      <c r="L7" s="150">
        <f t="shared" ref="L7:L15" ca="1" si="2">G7+I7+K7</f>
        <v>1600.0866999110567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Peuplier non cultivé</v>
      </c>
      <c r="B8" s="152">
        <f>'Données projet'!D11</f>
        <v>4.6175999999999995</v>
      </c>
      <c r="C8" s="145">
        <f ca="1">IF(OR('Données projet'!B11="",'Données projet'!C11="",'Données projet'!C11=0%),0,Calculateur!BI3)</f>
        <v>122.36861947722917</v>
      </c>
      <c r="D8" s="145">
        <f>IF(OR('Données projet'!B11="",'Données projet'!C11="",'Données projet'!C11=0%),0,Calculateur!BJ3)</f>
        <v>341.51856651265109</v>
      </c>
      <c r="E8" s="145">
        <f t="shared" ca="1" si="0"/>
        <v>122.36861947722917</v>
      </c>
      <c r="F8" s="145">
        <f t="shared" ca="1" si="1"/>
        <v>565.04933729805339</v>
      </c>
      <c r="G8" s="145">
        <f ca="1">F8*(100%-'Données projet'!$C$24)*(100%-'Données projet'!$C$25)*(100%-'Données projet'!$C$26)*(100%-'Données projet'!$C$27)</f>
        <v>406.83552285459848</v>
      </c>
      <c r="H8" s="153">
        <f>IF(OR('Données projet'!B11="",'Données projet'!C11="",'Données projet'!C11=0%),0,AVERAGE(Calculateur!$BS$3:$BS$33)*B8)</f>
        <v>81.820384528105265</v>
      </c>
      <c r="I8" s="147">
        <f>H8*(100%-'Données projet'!$C$24)*(100%-'Données projet'!$C$25)*(100%-'Données projet'!$C$26)*(100%-'Données projet'!$C$27)</f>
        <v>58.910676860235796</v>
      </c>
      <c r="J8" s="148">
        <f>IF(OR('Données projet'!B11="",'Données projet'!C11="",'Données projet'!C11=0%),0,SUM(Calculateur!$BL$3:$BL$33)*VLOOKUP('Données projet'!$B$11,Paramètres!$A$1:$I$89,9,0)*B8)</f>
        <v>1365.9599615999998</v>
      </c>
      <c r="K8" s="149">
        <f>J8*(100%-'Données projet'!$C$24)*(100%-'Données projet'!$C$25)*(100%-'Données projet'!$C$26)*(100%-'Données projet'!$C$27)</f>
        <v>983.49117235200004</v>
      </c>
      <c r="L8" s="150">
        <f t="shared" ca="1" si="2"/>
        <v>1449.2373720668343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1380.7766370932698</v>
      </c>
      <c r="G16" s="164">
        <f t="shared" ca="1" si="3"/>
        <v>994.1591787071543</v>
      </c>
      <c r="H16" s="165">
        <f t="shared" si="3"/>
        <v>164.46893249903982</v>
      </c>
      <c r="I16" s="165">
        <f t="shared" si="3"/>
        <v>118.41763139930868</v>
      </c>
      <c r="J16" s="166">
        <f t="shared" si="3"/>
        <v>2946.8855571999993</v>
      </c>
      <c r="K16" s="166">
        <f t="shared" si="3"/>
        <v>2121.7576011840001</v>
      </c>
      <c r="L16" s="167">
        <f t="shared" ca="1" si="3"/>
        <v>3234.3344112904629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82" t="s">
        <v>246</v>
      </c>
      <c r="G17" s="283"/>
      <c r="H17" s="283"/>
      <c r="I17" s="283"/>
      <c r="J17" s="283"/>
      <c r="K17" s="283"/>
      <c r="L17" s="28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69"/>
      <c r="G18" s="269"/>
      <c r="H18" s="269"/>
      <c r="I18" s="269"/>
      <c r="J18" s="269"/>
      <c r="K18" s="269"/>
      <c r="L18" s="26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Chêne pédonculé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Peuplier Koster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Peuplier non cultivé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2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26" sqref="G2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0" t="s">
        <v>272</v>
      </c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6" t="s">
        <v>315</v>
      </c>
      <c r="I4" s="256"/>
      <c r="K4" s="298" t="s">
        <v>253</v>
      </c>
      <c r="L4" s="299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290" t="s">
        <v>310</v>
      </c>
      <c r="S7" s="291"/>
      <c r="T7" s="291"/>
      <c r="U7" s="291"/>
      <c r="V7" s="292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pédonculé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0.96199999999999997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Peuplier Koster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4.0403999999999991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Peuplier non cultivé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4.6175999999999995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Chêne pédonculé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01" t="s">
        <v>318</v>
      </c>
      <c r="H15" s="188"/>
      <c r="I15" s="189"/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01"/>
      <c r="H16" s="188"/>
      <c r="I16" s="189"/>
      <c r="J16" s="200"/>
      <c r="K16" s="206"/>
      <c r="L16" s="298" t="s">
        <v>254</v>
      </c>
      <c r="M16" s="299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01"/>
      <c r="J17" s="200"/>
      <c r="K17" s="206"/>
      <c r="L17" s="258" t="s">
        <v>289</v>
      </c>
      <c r="M17" s="26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01"/>
      <c r="J18" s="200"/>
      <c r="K18" s="206"/>
      <c r="L18" s="258" t="s">
        <v>255</v>
      </c>
      <c r="M18" s="26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01"/>
      <c r="H19" s="210" t="s">
        <v>178</v>
      </c>
      <c r="I19" s="210" t="s">
        <v>287</v>
      </c>
      <c r="J19" s="91"/>
      <c r="K19" s="171"/>
      <c r="L19" s="298" t="s">
        <v>288</v>
      </c>
      <c r="M19" s="299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01"/>
      <c r="H20" s="188"/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/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/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20</v>
      </c>
      <c r="B23" s="179">
        <f>'Données projet'!D36</f>
        <v>6</v>
      </c>
      <c r="C23" s="191"/>
      <c r="D23" s="180">
        <f>B23*C23</f>
        <v>0</v>
      </c>
      <c r="E23" s="191"/>
      <c r="F23" s="228"/>
      <c r="H23" s="188"/>
      <c r="I23" s="189"/>
      <c r="K23" s="206"/>
      <c r="L23" s="300" t="s">
        <v>260</v>
      </c>
      <c r="M23" s="300"/>
      <c r="N23" s="300"/>
      <c r="O23" s="23"/>
      <c r="P23" s="23"/>
      <c r="Q23" s="232"/>
      <c r="R23" s="23"/>
      <c r="S23" s="36" t="s">
        <v>264</v>
      </c>
      <c r="T23" s="29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95"/>
      <c r="V23" s="295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30</v>
      </c>
      <c r="B24" s="179">
        <f>'Données projet'!D37</f>
        <v>56</v>
      </c>
      <c r="C24" s="191"/>
      <c r="D24" s="180">
        <f t="shared" ref="D24:D42" si="2">B24*C24</f>
        <v>0</v>
      </c>
      <c r="E24" s="191"/>
      <c r="F24" s="231"/>
      <c r="H24" s="188"/>
      <c r="I24" s="189"/>
      <c r="K24" s="206"/>
      <c r="O24" s="23"/>
      <c r="P24" s="23"/>
      <c r="Q24" s="232"/>
      <c r="R24" s="23"/>
      <c r="S24" s="36" t="s">
        <v>261</v>
      </c>
      <c r="T24" s="29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6"/>
      <c r="V24" s="296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40</v>
      </c>
      <c r="B25" s="179">
        <f>'Données projet'!D38</f>
        <v>56</v>
      </c>
      <c r="C25" s="191"/>
      <c r="D25" s="180">
        <f t="shared" si="2"/>
        <v>0</v>
      </c>
      <c r="E25" s="191"/>
      <c r="F25" s="231"/>
      <c r="H25" s="188"/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297">
        <f ca="1">T23-T24</f>
        <v>0</v>
      </c>
      <c r="U25" s="297"/>
      <c r="V25" s="297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50</v>
      </c>
      <c r="B26" s="179">
        <f>'Données projet'!D39</f>
        <v>56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84" t="s">
        <v>258</v>
      </c>
      <c r="M26" s="285"/>
      <c r="N26" s="285"/>
      <c r="O26" s="285"/>
      <c r="P26" s="286"/>
      <c r="Q26" s="232"/>
      <c r="R26" s="23"/>
      <c r="S26" s="184" t="s">
        <v>265</v>
      </c>
      <c r="T26" s="294" t="str">
        <f ca="1">IF(T25&lt;0,"Votre projet est additionnel","Votre projet n'est pas additionnel")</f>
        <v>Votre projet n'est pas additionnel</v>
      </c>
      <c r="U26" s="294"/>
      <c r="V26" s="29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60</v>
      </c>
      <c r="B27" s="179">
        <f>'Données projet'!D40</f>
        <v>56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87"/>
      <c r="M27" s="288"/>
      <c r="N27" s="288"/>
      <c r="O27" s="288"/>
      <c r="P27" s="289"/>
      <c r="Q27" s="232"/>
      <c r="R27" s="23"/>
      <c r="S27" s="293" t="s">
        <v>267</v>
      </c>
      <c r="T27" s="293"/>
      <c r="U27" s="293"/>
      <c r="V27" s="293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70</v>
      </c>
      <c r="B28" s="179">
        <f>'Données projet'!D41</f>
        <v>56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80</v>
      </c>
      <c r="B29" s="179">
        <f>'Données projet'!D42</f>
        <v>56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90</v>
      </c>
      <c r="B30" s="179">
        <f>'Données projet'!D43</f>
        <v>56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100</v>
      </c>
      <c r="B31" s="179">
        <f>'Données projet'!D44</f>
        <v>55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110</v>
      </c>
      <c r="B32" s="179">
        <f>'Données projet'!D45</f>
        <v>51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120</v>
      </c>
      <c r="B33" s="179">
        <f>'Données projet'!D46</f>
        <v>47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130</v>
      </c>
      <c r="B34" s="179">
        <f>'Données projet'!D47</f>
        <v>44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140</v>
      </c>
      <c r="B35" s="179">
        <f>'Données projet'!D48</f>
        <v>41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150</v>
      </c>
      <c r="B36" s="179">
        <f>'Données projet'!D49</f>
        <v>333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Peuplier Koster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5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10</v>
      </c>
      <c r="B55" s="179">
        <f>'Données projet'!D63</f>
        <v>0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15</v>
      </c>
      <c r="B56" s="179">
        <f>'Données projet'!D64</f>
        <v>0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20</v>
      </c>
      <c r="B57" s="179">
        <f>'Données projet'!D65</f>
        <v>0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25</v>
      </c>
      <c r="B58" s="179">
        <f>'Données projet'!D66</f>
        <v>376.3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0</v>
      </c>
      <c r="B59" s="179">
        <f>'Données projet'!D67</f>
        <v>0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 t="str">
        <f>IF(O58+1&lt;=MIN('Données projet'!$E$9:$E$18),O58+1,"STOP")</f>
        <v>STOP</v>
      </c>
      <c r="P59" s="183" t="e">
        <f t="shared" si="3"/>
        <v>#VALUE!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0</v>
      </c>
      <c r="B60" s="179">
        <f>'Données projet'!D68</f>
        <v>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 t="e">
        <f>IF(O59+1&lt;=MIN('Données projet'!$E$9:$E$18),O59+1,"STOP")</f>
        <v>#VALUE!</v>
      </c>
      <c r="P60" s="183" t="e">
        <f t="shared" si="3"/>
        <v>#VALUE!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0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 t="e">
        <f>IF(O60+1&lt;=MIN('Données projet'!$E$9:$E$18),O60+1,"STOP")</f>
        <v>#VALUE!</v>
      </c>
      <c r="P61" s="183" t="e">
        <f t="shared" si="3"/>
        <v>#VALUE!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0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 t="e">
        <f>IF(O61+1&lt;=MIN('Données projet'!$E$9:$E$18),O61+1,"STOP")</f>
        <v>#VALUE!</v>
      </c>
      <c r="P62" s="183" t="e">
        <f t="shared" si="3"/>
        <v>#VALUE!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0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 t="e">
        <f>IF(O62+1&lt;=MIN('Données projet'!$E$9:$E$18),O62+1,"STOP")</f>
        <v>#VALUE!</v>
      </c>
      <c r="P63" s="183" t="e">
        <f t="shared" si="3"/>
        <v>#VALUE!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e">
        <f>IF(O63+1&lt;=MIN('Données projet'!$E$9:$E$18),O63+1,"STOP")</f>
        <v>#VALUE!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Peuplier non cultivé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5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10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15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20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25</v>
      </c>
      <c r="B89" s="179">
        <f>'Données projet'!D92</f>
        <v>287.2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Morgane PICHELIN</cp:lastModifiedBy>
  <cp:lastPrinted>2024-07-22T12:07:56Z</cp:lastPrinted>
  <dcterms:created xsi:type="dcterms:W3CDTF">2021-02-01T08:22:39Z</dcterms:created>
  <dcterms:modified xsi:type="dcterms:W3CDTF">2024-07-22T12:08:21Z</dcterms:modified>
</cp:coreProperties>
</file>