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Albret-Garonne\BRUCH (47) M. Robert BEAUSSIER\Dossier à déposer\"/>
    </mc:Choice>
  </mc:AlternateContent>
  <xr:revisionPtr revIDLastSave="0" documentId="13_ncr:1_{36DD2D78-E87F-4E2C-AB5C-9FDDF086D432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<sst xmlns="http://schemas.openxmlformats.org/spreadsheetml/2006/main" count="1170" uniqueCount="324">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</sst>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2.6341005567461218</c:v>
                </c:pt>
                <c:pt idx="2">
                  <c:v>3.0030706326443997</c:v>
                </c:pt>
                <c:pt idx="3">
                  <c:v>3.4239080063344987</c:v>
                </c:pt>
                <c:pt idx="4">
                  <c:v>3.9039282867893692</c:v>
                </c:pt>
                <c:pt idx="5">
                  <c:v>4.4514821499703841</c:v>
                </c:pt>
                <c:pt idx="6">
                  <c:v>5.0761022153212734</c:v>
                </c:pt>
                <c:pt idx="7">
                  <c:v>5.7886708203511725</c:v>
                </c:pt>
                <c:pt idx="8">
                  <c:v>6.6016116741370441</c:v>
                </c:pt>
                <c:pt idx="9">
                  <c:v>7.5291087967163621</c:v>
                </c:pt>
                <c:pt idx="10">
                  <c:v>8.587356638528723</c:v>
                </c:pt>
                <c:pt idx="11">
                  <c:v>9.7948458310618953</c:v>
                </c:pt>
                <c:pt idx="12">
                  <c:v>11.172689656685135</c:v>
                </c:pt>
                <c:pt idx="13">
                  <c:v>12.74499705377279</c:v>
                </c:pt>
                <c:pt idx="14">
                  <c:v>14.53929880574556</c:v>
                </c:pt>
                <c:pt idx="15">
                  <c:v>16.587034514582104</c:v>
                </c:pt>
                <c:pt idx="16">
                  <c:v>18.924109047835174</c:v>
                </c:pt>
                <c:pt idx="17">
                  <c:v>21.591528392847053</c:v>
                </c:pt>
                <c:pt idx="18">
                  <c:v>24.636126275147248</c:v>
                </c:pt>
                <c:pt idx="19">
                  <c:v>28.111394525609683</c:v>
                </c:pt>
                <c:pt idx="20">
                  <c:v>32.078432042224485</c:v>
                </c:pt>
                <c:pt idx="21">
                  <c:v>36.607029320906918</c:v>
                </c:pt>
                <c:pt idx="22">
                  <c:v>41.776907964071142</c:v>
                </c:pt>
                <c:pt idx="23">
                  <c:v>47.679137359724372</c:v>
                </c:pt>
                <c:pt idx="24">
                  <c:v>54.417753907911923</c:v>
                </c:pt>
                <c:pt idx="25">
                  <c:v>62.111611813038422</c:v>
                </c:pt>
                <c:pt idx="26">
                  <c:v>71.754709617860229</c:v>
                </c:pt>
                <c:pt idx="27">
                  <c:v>81.364584625387351</c:v>
                </c:pt>
                <c:pt idx="28">
                  <c:v>90.945724466949798</c:v>
                </c:pt>
                <c:pt idx="29">
                  <c:v>100.50158978060165</c:v>
                </c:pt>
                <c:pt idx="30">
                  <c:v>110.03492698401652</c:v>
                </c:pt>
                <c:pt idx="31">
                  <c:v>119.94393082981507</c:v>
                </c:pt>
                <c:pt idx="32">
                  <c:v>129.83298609190555</c:v>
                </c:pt>
                <c:pt idx="33">
                  <c:v>139.70382844505215</c:v>
                </c:pt>
                <c:pt idx="34">
                  <c:v>149.55792775717683</c:v>
                </c:pt>
                <c:pt idx="35">
                  <c:v>159.39654402501068</c:v>
                </c:pt>
                <c:pt idx="36">
                  <c:v>144.43580369901198</c:v>
                </c:pt>
                <c:pt idx="37">
                  <c:v>155.06938697591292</c:v>
                </c:pt>
                <c:pt idx="38">
                  <c:v>165.68564301412417</c:v>
                </c:pt>
                <c:pt idx="39">
                  <c:v>176.28583963282651</c:v>
                </c:pt>
                <c:pt idx="40">
                  <c:v>186.87107951156952</c:v>
                </c:pt>
                <c:pt idx="41">
                  <c:v>170.39875516780384</c:v>
                </c:pt>
                <c:pt idx="42">
                  <c:v>181.38424113596443</c:v>
                </c:pt>
                <c:pt idx="43">
                  <c:v>192.35415851868379</c:v>
                </c:pt>
                <c:pt idx="44">
                  <c:v>203.30952104980258</c:v>
                </c:pt>
                <c:pt idx="45">
                  <c:v>214.25122416862823</c:v>
                </c:pt>
                <c:pt idx="46">
                  <c:v>197.83360065109454</c:v>
                </c:pt>
                <c:pt idx="47">
                  <c:v>208.78202813507096</c:v>
                </c:pt>
                <c:pt idx="48">
                  <c:v>219.71720575536781</c:v>
                </c:pt>
                <c:pt idx="49">
                  <c:v>230.63988637237381</c:v>
                </c:pt>
                <c:pt idx="50">
                  <c:v>241.55074565033252</c:v>
                </c:pt>
                <c:pt idx="51">
                  <c:v>225.18006429243289</c:v>
                </c:pt>
                <c:pt idx="52">
                  <c:v>236.09675414607651</c:v>
                </c:pt>
                <c:pt idx="53">
                  <c:v>247.00193510423426</c:v>
                </c:pt>
                <c:pt idx="54">
                  <c:v>257.896187237346</c:v>
                </c:pt>
                <c:pt idx="55">
                  <c:v>268.780037569483</c:v>
                </c:pt>
                <c:pt idx="56">
                  <c:v>252.4503931780001</c:v>
                </c:pt>
                <c:pt idx="57">
                  <c:v>263.33938156610992</c:v>
                </c:pt>
                <c:pt idx="58">
                  <c:v>274.21821395990332</c:v>
                </c:pt>
                <c:pt idx="59">
                  <c:v>285.08735029607652</c:v>
                </c:pt>
                <c:pt idx="60">
                  <c:v>295.94721255485484</c:v>
                </c:pt>
                <c:pt idx="61">
                  <c:v>278.87757709734746</c:v>
                </c:pt>
                <c:pt idx="62">
                  <c:v>288.96691630985202</c:v>
                </c:pt>
                <c:pt idx="63">
                  <c:v>299.04838207618559</c:v>
                </c:pt>
                <c:pt idx="64">
                  <c:v>309.12227741267685</c:v>
                </c:pt>
                <c:pt idx="65">
                  <c:v>319.18888396087652</c:v>
                </c:pt>
                <c:pt idx="66">
                  <c:v>302.14883502279821</c:v>
                </c:pt>
                <c:pt idx="67">
                  <c:v>312.22045858998155</c:v>
                </c:pt>
                <c:pt idx="68">
                  <c:v>322.28487606795352</c:v>
                </c:pt>
                <c:pt idx="69">
                  <c:v>332.34234434510176</c:v>
                </c:pt>
                <c:pt idx="70">
                  <c:v>342.39310348379155</c:v>
                </c:pt>
                <c:pt idx="71">
                  <c:v>324.60643807826466</c:v>
                </c:pt>
                <c:pt idx="72">
                  <c:v>333.8890458744558</c:v>
                </c:pt>
                <c:pt idx="73">
                  <c:v>343.1659674504553</c:v>
                </c:pt>
                <c:pt idx="74">
                  <c:v>352.43737829470501</c:v>
                </c:pt>
                <c:pt idx="75">
                  <c:v>361.70344390352244</c:v>
                </c:pt>
                <c:pt idx="76">
                  <c:v>343.5523850789188</c:v>
                </c:pt>
                <c:pt idx="77">
                  <c:v>352.43737829470501</c:v>
                </c:pt>
                <c:pt idx="78">
                  <c:v>361.31746248867233</c:v>
                </c:pt>
                <c:pt idx="79">
                  <c:v>370.19277539866516</c:v>
                </c:pt>
                <c:pt idx="80">
                  <c:v>379.06344761508876</c:v>
                </c:pt>
                <c:pt idx="81">
                  <c:v>360.54547259299062</c:v>
                </c:pt>
                <c:pt idx="82">
                  <c:v>369.03539178839668</c:v>
                </c:pt>
                <c:pt idx="83">
                  <c:v>377.52104986809292</c:v>
                </c:pt>
                <c:pt idx="84">
                  <c:v>386.0025561783288</c:v>
                </c:pt>
                <c:pt idx="85">
                  <c:v>394.48001486506797</c:v>
                </c:pt>
                <c:pt idx="86">
                  <c:v>375.59285962266807</c:v>
                </c:pt>
                <c:pt idx="87">
                  <c:v>383.68982380189891</c:v>
                </c:pt>
                <c:pt idx="88">
                  <c:v>391.78307456466746</c:v>
                </c:pt>
                <c:pt idx="89">
                  <c:v>399.87269948886433</c:v>
                </c:pt>
                <c:pt idx="90">
                  <c:v>407.95878231757393</c:v>
                </c:pt>
                <c:pt idx="91">
                  <c:v>388.31498751962232</c:v>
                </c:pt>
                <c:pt idx="92">
                  <c:v>395.63572388568292</c:v>
                </c:pt>
                <c:pt idx="93">
                  <c:v>402.95352523018414</c:v>
                </c:pt>
                <c:pt idx="94">
                  <c:v>410.26845241067667</c:v>
                </c:pt>
                <c:pt idx="95">
                  <c:v>417.58056393601919</c:v>
                </c:pt>
                <c:pt idx="96">
                  <c:v>397.56174311317278</c:v>
                </c:pt>
                <c:pt idx="97">
                  <c:v>404.49374675366943</c:v>
                </c:pt>
                <c:pt idx="98">
                  <c:v>411.42318205611974</c:v>
                </c:pt>
                <c:pt idx="99">
                  <c:v>418.35009841196251</c:v>
                </c:pt>
                <c:pt idx="100">
                  <c:v>425.27454344239936</c:v>
                </c:pt>
                <c:pt idx="101">
                  <c:v>406.8038414154866</c:v>
                </c:pt>
                <c:pt idx="102">
                  <c:v>413.34757609407194</c:v>
                </c:pt>
                <c:pt idx="103">
                  <c:v>419.88907590240751</c:v>
                </c:pt>
                <c:pt idx="104">
                  <c:v>426.42838059605697</c:v>
                </c:pt>
                <c:pt idx="105">
                  <c:v>432.96552861089191</c:v>
                </c:pt>
                <c:pt idx="106">
                  <c:v>413.73243167051146</c:v>
                </c:pt>
                <c:pt idx="107">
                  <c:v>419.50434294248174</c:v>
                </c:pt>
                <c:pt idx="108">
                  <c:v>425.27454344239936</c:v>
                </c:pt>
                <c:pt idx="109">
                  <c:v>431.04305967701976</c:v>
                </c:pt>
                <c:pt idx="110">
                  <c:v>436.8099173851611</c:v>
                </c:pt>
                <c:pt idx="111">
                  <c:v>417.19578523729075</c:v>
                </c:pt>
                <c:pt idx="112">
                  <c:v>422.58199440092784</c:v>
                </c:pt>
                <c:pt idx="113">
                  <c:v>427.96672569921549</c:v>
                </c:pt>
                <c:pt idx="114">
                  <c:v>433.35000036713313</c:v>
                </c:pt>
                <c:pt idx="115">
                  <c:v>438.73183906857093</c:v>
                </c:pt>
                <c:pt idx="116">
                  <c:v>418.35009841196273</c:v>
                </c:pt>
                <c:pt idx="117">
                  <c:v>422.96666682108594</c:v>
                </c:pt>
                <c:pt idx="118">
                  <c:v>427.58215058986383</c:v>
                </c:pt>
                <c:pt idx="119">
                  <c:v>432.19656309026982</c:v>
                </c:pt>
                <c:pt idx="120">
                  <c:v>436.80991738516127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I9" sqref="I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2.4300000000000002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1</v>
      </c>
      <c r="D9" s="36">
        <f t="shared" ref="D9:D18" si="0">C9*$C$5</f>
        <v>2.4300000000000002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2.4300000000000002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30</v>
      </c>
      <c r="C36" s="63">
        <v>1</v>
      </c>
      <c r="D36" s="63">
        <v>0</v>
      </c>
      <c r="E36" s="54"/>
      <c r="F36" s="54"/>
      <c r="G36" s="54"/>
      <c r="H36" s="54">
        <v>1</v>
      </c>
      <c r="I36" s="52">
        <f>IFERROR(B36/A36,"")</f>
        <v>1.2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54</v>
      </c>
      <c r="C37" s="63">
        <v>2</v>
      </c>
      <c r="D37" s="63">
        <v>0</v>
      </c>
      <c r="E37" s="54"/>
      <c r="F37" s="54"/>
      <c r="G37" s="54"/>
      <c r="H37" s="54">
        <v>1</v>
      </c>
      <c r="I37" s="56">
        <f t="shared" ref="I37:I55" si="1">IF(A37&lt;&gt;0,(B37-(B36-D36))/(A37-A36),"")</f>
        <v>4.8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79</v>
      </c>
      <c r="C38" s="63">
        <v>3</v>
      </c>
      <c r="D38" s="63">
        <v>13</v>
      </c>
      <c r="E38" s="54"/>
      <c r="F38" s="54"/>
      <c r="G38" s="54"/>
      <c r="H38" s="54"/>
      <c r="I38" s="56">
        <f t="shared" si="1"/>
        <v>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93</v>
      </c>
      <c r="C39" s="63">
        <v>4</v>
      </c>
      <c r="D39" s="63">
        <v>14</v>
      </c>
      <c r="E39" s="54"/>
      <c r="F39" s="54"/>
      <c r="G39" s="54"/>
      <c r="H39" s="54"/>
      <c r="I39" s="52">
        <f t="shared" si="1"/>
        <v>5.4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107</v>
      </c>
      <c r="C40" s="63">
        <v>5</v>
      </c>
      <c r="D40" s="63">
        <v>14</v>
      </c>
      <c r="E40" s="54"/>
      <c r="F40" s="54"/>
      <c r="G40" s="54"/>
      <c r="H40" s="54"/>
      <c r="I40" s="52">
        <f t="shared" si="1"/>
        <v>5.6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121</v>
      </c>
      <c r="C41" s="63">
        <v>6</v>
      </c>
      <c r="D41" s="63">
        <v>14</v>
      </c>
      <c r="E41" s="54"/>
      <c r="F41" s="54"/>
      <c r="G41" s="54"/>
      <c r="H41" s="54"/>
      <c r="I41" s="56">
        <f t="shared" si="1"/>
        <v>5.6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135</v>
      </c>
      <c r="C42" s="63">
        <v>7</v>
      </c>
      <c r="D42" s="63">
        <v>14</v>
      </c>
      <c r="E42" s="54"/>
      <c r="F42" s="54"/>
      <c r="G42" s="54"/>
      <c r="H42" s="54"/>
      <c r="I42" s="56">
        <f t="shared" si="1"/>
        <v>5.6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149</v>
      </c>
      <c r="C43" s="63">
        <v>8</v>
      </c>
      <c r="D43" s="63">
        <v>14</v>
      </c>
      <c r="E43" s="54"/>
      <c r="F43" s="54"/>
      <c r="G43" s="54"/>
      <c r="H43" s="54"/>
      <c r="I43" s="52">
        <f t="shared" si="1"/>
        <v>5.6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161</v>
      </c>
      <c r="C44" s="63">
        <v>9</v>
      </c>
      <c r="D44" s="63">
        <v>14</v>
      </c>
      <c r="E44" s="54"/>
      <c r="F44" s="54"/>
      <c r="G44" s="54"/>
      <c r="H44" s="54"/>
      <c r="I44" s="52">
        <f t="shared" si="1"/>
        <v>5.2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173</v>
      </c>
      <c r="C45" s="63">
        <v>10</v>
      </c>
      <c r="D45" s="63">
        <v>14</v>
      </c>
      <c r="E45" s="54"/>
      <c r="F45" s="54"/>
      <c r="G45" s="54"/>
      <c r="H45" s="54"/>
      <c r="I45" s="52">
        <f t="shared" si="1"/>
        <v>5.2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183</v>
      </c>
      <c r="C46" s="63">
        <v>11</v>
      </c>
      <c r="D46" s="63">
        <v>14</v>
      </c>
      <c r="E46" s="54"/>
      <c r="F46" s="54"/>
      <c r="G46" s="54"/>
      <c r="H46" s="54"/>
      <c r="I46" s="52">
        <f t="shared" si="1"/>
        <v>4.8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192</v>
      </c>
      <c r="C47" s="63">
        <v>12</v>
      </c>
      <c r="D47" s="63">
        <v>14</v>
      </c>
      <c r="E47" s="54"/>
      <c r="F47" s="54"/>
      <c r="G47" s="54"/>
      <c r="H47" s="54"/>
      <c r="I47" s="52">
        <f t="shared" si="1"/>
        <v>4.5999999999999996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200</v>
      </c>
      <c r="C48" s="63">
        <v>13</v>
      </c>
      <c r="D48" s="63">
        <v>14</v>
      </c>
      <c r="E48" s="54"/>
      <c r="F48" s="54"/>
      <c r="G48" s="54"/>
      <c r="H48" s="54"/>
      <c r="I48" s="52">
        <f t="shared" si="1"/>
        <v>4.4000000000000004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207</v>
      </c>
      <c r="C49" s="63">
        <v>14</v>
      </c>
      <c r="D49" s="63">
        <v>14</v>
      </c>
      <c r="E49" s="54"/>
      <c r="F49" s="54"/>
      <c r="G49" s="54"/>
      <c r="H49" s="54"/>
      <c r="I49" s="52">
        <f t="shared" si="1"/>
        <v>4.2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212</v>
      </c>
      <c r="C50" s="53">
        <v>15</v>
      </c>
      <c r="D50" s="53">
        <v>14</v>
      </c>
      <c r="E50" s="54"/>
      <c r="F50" s="54"/>
      <c r="G50" s="54"/>
      <c r="H50" s="54"/>
      <c r="I50" s="52">
        <f t="shared" si="1"/>
        <v>3.8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216</v>
      </c>
      <c r="C51" s="53">
        <v>16</v>
      </c>
      <c r="D51" s="53">
        <v>13</v>
      </c>
      <c r="E51" s="54"/>
      <c r="F51" s="54"/>
      <c r="G51" s="54"/>
      <c r="H51" s="54"/>
      <c r="I51" s="52">
        <f t="shared" si="1"/>
        <v>3.6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220</v>
      </c>
      <c r="C52" s="53">
        <v>17</v>
      </c>
      <c r="D52" s="53">
        <v>13</v>
      </c>
      <c r="E52" s="54"/>
      <c r="F52" s="54"/>
      <c r="G52" s="54"/>
      <c r="H52" s="54"/>
      <c r="I52" s="52">
        <f t="shared" si="1"/>
        <v>3.4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222</v>
      </c>
      <c r="C53" s="53">
        <v>18</v>
      </c>
      <c r="D53" s="53">
        <v>13</v>
      </c>
      <c r="E53" s="54"/>
      <c r="F53" s="54"/>
      <c r="G53" s="54"/>
      <c r="H53" s="54"/>
      <c r="I53" s="52">
        <f t="shared" si="1"/>
        <v>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223</v>
      </c>
      <c r="C54" s="53">
        <v>19</v>
      </c>
      <c r="D54" s="53">
        <v>13</v>
      </c>
      <c r="E54" s="54"/>
      <c r="F54" s="54"/>
      <c r="G54" s="54"/>
      <c r="H54" s="54"/>
      <c r="I54" s="52">
        <f t="shared" si="1"/>
        <v>2.8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222</v>
      </c>
      <c r="C55" s="53">
        <v>20</v>
      </c>
      <c r="D55" s="53">
        <v>222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5" sqref="G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316.32768907844184</v>
      </c>
      <c r="T3" s="62">
        <f>IF('Données projet'!E9&gt;30,$R$33-$H$33,LOOKUP('Données projet'!$E$9,$A$3:$A$203,R3:R203)-LOOKUP('Données projet'!$E$9,$A$3:$A$203,$H$3:$H$203))</f>
        <v>165.80901858372513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1.2</v>
      </c>
      <c r="N4" s="14">
        <f>IF('Données projet'!$A$36&gt;35,N3+M4-V3,IF(A4&lt;'Données projet'!$A$36,$K$205^A4,IF(A4='Données projet'!$A$36,'Données projet'!$B$36,N3+M4-V3)))</f>
        <v>1.1457367676485573</v>
      </c>
      <c r="O4" s="14">
        <f>N4*VLOOKUP('Données projet'!$B$9,Paramètres!$A$1:$I$89,3,0)*VLOOKUP('Données projet'!$B$9,Paramètres!$A$1:$I$89,5,0)</f>
        <v>1.0366626273684145</v>
      </c>
      <c r="P4" s="14">
        <f>EXP(-1.0587+0.8836*LN(O4)+0.284)</f>
        <v>0.47573960617002853</v>
      </c>
      <c r="Q4" s="22">
        <f t="shared" ref="Q4:Q34" si="2">(O4+P4)*0.475*44/12</f>
        <v>2.6341005567461218</v>
      </c>
      <c r="R4" s="62">
        <f t="shared" si="0"/>
        <v>170.44653450966996</v>
      </c>
      <c r="S4" s="62">
        <f ca="1">AVERAGE(OFFSET($R$3,0,0,'Données projet'!$E$9+1,1))-AVERAGE(OFFSET($H$3,0,0,'Données projet'!$E$9+1,1))</f>
        <v>316.32768907844184</v>
      </c>
      <c r="T4" s="62">
        <f>$T$3</f>
        <v>165.80901858372513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1.2</v>
      </c>
      <c r="N5" s="14">
        <f>IF('Données projet'!$A$36&gt;35,N4+M5-V4,IF(A5&lt;'Données projet'!$A$36,$K$205^A5,IF(A5='Données projet'!$A$36,'Données projet'!$B$36,N4+M5-V4)))</f>
        <v>1.312712740741764</v>
      </c>
      <c r="O5" s="14">
        <f>N5*VLOOKUP('Données projet'!$B$9,Paramètres!$A$1:$I$89,3,0)*VLOOKUP('Données projet'!$B$9,Paramètres!$A$1:$I$89,5,0)</f>
        <v>1.187742487823148</v>
      </c>
      <c r="P5" s="14">
        <f t="shared" ref="P5:P68" si="33">EXP(-1.0587+0.8836*LN(O5)+0.284)</f>
        <v>0.53650859312100496</v>
      </c>
      <c r="Q5" s="22">
        <f t="shared" si="2"/>
        <v>3.0030706326443997</v>
      </c>
      <c r="R5" s="62">
        <f t="shared" si="0"/>
        <v>173.60035192014524</v>
      </c>
      <c r="S5" s="62">
        <f ca="1">AVERAGE(OFFSET($R$3,0,0,'Données projet'!$E$9+1,1))-AVERAGE(OFFSET($H$3,0,0,'Données projet'!$E$9+1,1))</f>
        <v>316.32768907844184</v>
      </c>
      <c r="T5" s="62">
        <f t="shared" ref="T5:T68" si="34">$T$3</f>
        <v>165.80901858372513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1.2</v>
      </c>
      <c r="N6" s="14">
        <f>IF('Données projet'!$A$36&gt;35,N5+M6-V5,IF(A6&lt;'Données projet'!$A$36,$K$205^A6,IF(A6='Données projet'!$A$36,'Données projet'!$B$36,N5+M6-V5)))</f>
        <v>1.5040232524285473</v>
      </c>
      <c r="O6" s="14">
        <f>N6*VLOOKUP('Données projet'!$B$9,Paramètres!$A$1:$I$89,3,0)*VLOOKUP('Données projet'!$B$9,Paramètres!$A$1:$I$89,5,0)</f>
        <v>1.3608402387973495</v>
      </c>
      <c r="P6" s="14">
        <f t="shared" si="33"/>
        <v>0.60503995622724338</v>
      </c>
      <c r="Q6" s="22">
        <f t="shared" si="2"/>
        <v>3.4239080063344987</v>
      </c>
      <c r="R6" s="62">
        <f t="shared" si="0"/>
        <v>176.77892857621939</v>
      </c>
      <c r="S6" s="62">
        <f ca="1">AVERAGE(OFFSET($R$3,0,0,'Données projet'!$E$9+1,1))-AVERAGE(OFFSET($H$3,0,0,'Données projet'!$E$9+1,1))</f>
        <v>316.32768907844184</v>
      </c>
      <c r="T6" s="62">
        <f t="shared" si="34"/>
        <v>165.80901858372513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1.2</v>
      </c>
      <c r="N7" s="14">
        <f>IF('Données projet'!$A$36&gt;35,N6+M7-V6,IF(A7&lt;'Données projet'!$A$36,$K$205^A7,IF(A7='Données projet'!$A$36,'Données projet'!$B$36,N6+M7-V6)))</f>
        <v>1.7232147397057538</v>
      </c>
      <c r="O7" s="14">
        <f>N7*VLOOKUP('Données projet'!$B$9,Paramètres!$A$1:$I$89,3,0)*VLOOKUP('Données projet'!$B$9,Paramètres!$A$1:$I$89,5,0)</f>
        <v>1.5591646964857659</v>
      </c>
      <c r="P7" s="14">
        <f t="shared" si="33"/>
        <v>0.68232522894353675</v>
      </c>
      <c r="Q7" s="22">
        <f t="shared" si="2"/>
        <v>3.9039282867893692</v>
      </c>
      <c r="R7" s="62">
        <f t="shared" si="0"/>
        <v>179.99005035096633</v>
      </c>
      <c r="S7" s="62">
        <f ca="1">AVERAGE(OFFSET($R$3,0,0,'Données projet'!$E$9+1,1))-AVERAGE(OFFSET($H$3,0,0,'Données projet'!$E$9+1,1))</f>
        <v>316.32768907844184</v>
      </c>
      <c r="T7" s="62">
        <f t="shared" si="34"/>
        <v>165.80901858372513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1.2</v>
      </c>
      <c r="N8" s="14">
        <f>IF('Données projet'!$A$36&gt;35,N7+M8-V7,IF(A8&lt;'Données projet'!$A$36,$K$205^A8,IF(A8='Données projet'!$A$36,'Données projet'!$B$36,N7+M8-V7)))</f>
        <v>1.9743504858348202</v>
      </c>
      <c r="O8" s="14">
        <f>N8*VLOOKUP('Données projet'!$B$9,Paramètres!$A$1:$I$89,3,0)*VLOOKUP('Données projet'!$B$9,Paramètres!$A$1:$I$89,5,0)</f>
        <v>1.7863923195833453</v>
      </c>
      <c r="P8" s="14">
        <f t="shared" si="33"/>
        <v>0.76948259905993732</v>
      </c>
      <c r="Q8" s="22">
        <f t="shared" si="2"/>
        <v>4.4514821499703841</v>
      </c>
      <c r="R8" s="62">
        <f t="shared" si="0"/>
        <v>183.24253002641774</v>
      </c>
      <c r="S8" s="62">
        <f ca="1">AVERAGE(OFFSET($R$3,0,0,'Données projet'!$E$9+1,1))-AVERAGE(OFFSET($H$3,0,0,'Données projet'!$E$9+1,1))</f>
        <v>316.32768907844184</v>
      </c>
      <c r="T8" s="62">
        <f t="shared" si="34"/>
        <v>165.80901858372513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1.2</v>
      </c>
      <c r="N9" s="14">
        <f>IF('Données projet'!$A$36&gt;35,N8+M9-V8,IF(A9&lt;'Données projet'!$A$36,$K$205^A9,IF(A9='Données projet'!$A$36,'Données projet'!$B$36,N8+M9-V8)))</f>
        <v>2.2620859438457455</v>
      </c>
      <c r="O9" s="14">
        <f>N9*VLOOKUP('Données projet'!$B$9,Paramètres!$A$1:$I$89,3,0)*VLOOKUP('Données projet'!$B$9,Paramètres!$A$1:$I$89,5,0)</f>
        <v>2.0467353619916304</v>
      </c>
      <c r="P9" s="14">
        <f t="shared" si="33"/>
        <v>0.86777308699666067</v>
      </c>
      <c r="Q9" s="22">
        <f t="shared" si="2"/>
        <v>5.0761022153212734</v>
      </c>
      <c r="R9" s="62">
        <f t="shared" si="0"/>
        <v>186.54635431158025</v>
      </c>
      <c r="S9" s="62">
        <f ca="1">AVERAGE(OFFSET($R$3,0,0,'Données projet'!$E$9+1,1))-AVERAGE(OFFSET($H$3,0,0,'Données projet'!$E$9+1,1))</f>
        <v>316.32768907844184</v>
      </c>
      <c r="T9" s="62">
        <f t="shared" si="34"/>
        <v>165.80901858372513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1.2</v>
      </c>
      <c r="N10" s="14">
        <f>IF('Données projet'!$A$36&gt;35,N9+M10-V9,IF(A10&lt;'Données projet'!$A$36,$K$205^A10,IF(A10='Données projet'!$A$36,'Données projet'!$B$36,N9+M10-V9)))</f>
        <v>2.5917550374450604</v>
      </c>
      <c r="O10" s="14">
        <f>N10*VLOOKUP('Données projet'!$B$9,Paramètres!$A$1:$I$89,3,0)*VLOOKUP('Données projet'!$B$9,Paramètres!$A$1:$I$89,5,0)</f>
        <v>2.3450199578802908</v>
      </c>
      <c r="P10" s="14">
        <f t="shared" si="33"/>
        <v>0.97861879064669866</v>
      </c>
      <c r="Q10" s="22">
        <f t="shared" si="2"/>
        <v>5.7886708203511725</v>
      </c>
      <c r="R10" s="62">
        <f t="shared" si="0"/>
        <v>189.91285175608741</v>
      </c>
      <c r="S10" s="62">
        <f ca="1">AVERAGE(OFFSET($R$3,0,0,'Données projet'!$E$9+1,1))-AVERAGE(OFFSET($H$3,0,0,'Données projet'!$E$9+1,1))</f>
        <v>316.32768907844184</v>
      </c>
      <c r="T10" s="62">
        <f t="shared" si="34"/>
        <v>165.80901858372513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1.2</v>
      </c>
      <c r="N11" s="14">
        <f>IF('Données projet'!$A$36&gt;35,N10+M11-V10,IF(A11&lt;'Données projet'!$A$36,$K$205^A11,IF(A11='Données projet'!$A$36,'Données projet'!$B$36,N10+M11-V10)))</f>
        <v>2.9694690391391689</v>
      </c>
      <c r="O11" s="14">
        <f>N11*VLOOKUP('Données projet'!$B$9,Paramètres!$A$1:$I$89,3,0)*VLOOKUP('Données projet'!$B$9,Paramètres!$A$1:$I$89,5,0)</f>
        <v>2.6867755866131198</v>
      </c>
      <c r="P11" s="14">
        <f t="shared" si="33"/>
        <v>1.1036234607382931</v>
      </c>
      <c r="Q11" s="22">
        <f t="shared" si="2"/>
        <v>6.6016116741370441</v>
      </c>
      <c r="R11" s="62">
        <f t="shared" si="0"/>
        <v>193.3548845403576</v>
      </c>
      <c r="S11" s="62">
        <f ca="1">AVERAGE(OFFSET($R$3,0,0,'Données projet'!$E$9+1,1))-AVERAGE(OFFSET($H$3,0,0,'Données projet'!$E$9+1,1))</f>
        <v>316.32768907844184</v>
      </c>
      <c r="T11" s="62">
        <f t="shared" si="34"/>
        <v>165.80901858372513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1.2</v>
      </c>
      <c r="N12" s="14">
        <f>IF('Données projet'!$A$36&gt;35,N11+M12-V11,IF(A12&lt;'Données projet'!$A$36,$K$205^A12,IF(A12='Données projet'!$A$36,'Données projet'!$B$36,N11+M12-V11)))</f>
        <v>3.4022298585357786</v>
      </c>
      <c r="O12" s="14">
        <f>N12*VLOOKUP('Données projet'!$B$9,Paramètres!$A$1:$I$89,3,0)*VLOOKUP('Données projet'!$B$9,Paramètres!$A$1:$I$89,5,0)</f>
        <v>3.0783375760031726</v>
      </c>
      <c r="P12" s="14">
        <f t="shared" si="33"/>
        <v>1.2445957044081368</v>
      </c>
      <c r="Q12" s="22">
        <f t="shared" si="2"/>
        <v>7.5291087967163621</v>
      </c>
      <c r="R12" s="62">
        <f t="shared" si="0"/>
        <v>196.88706754927244</v>
      </c>
      <c r="S12" s="62">
        <f ca="1">AVERAGE(OFFSET($R$3,0,0,'Données projet'!$E$9+1,1))-AVERAGE(OFFSET($H$3,0,0,'Données projet'!$E$9+1,1))</f>
        <v>316.32768907844184</v>
      </c>
      <c r="T12" s="62">
        <f t="shared" si="34"/>
        <v>165.80901858372513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1.2</v>
      </c>
      <c r="N13" s="14">
        <f>IF('Données projet'!$A$36&gt;35,N12+M13-V12,IF(A13&lt;'Données projet'!$A$36,$K$205^A13,IF(A13='Données projet'!$A$36,'Données projet'!$B$36,N12+M13-V12)))</f>
        <v>3.8980598409161908</v>
      </c>
      <c r="O13" s="14">
        <f>N13*VLOOKUP('Données projet'!$B$9,Paramètres!$A$1:$I$89,3,0)*VLOOKUP('Données projet'!$B$9,Paramètres!$A$1:$I$89,5,0)</f>
        <v>3.5269645440609696</v>
      </c>
      <c r="P13" s="14">
        <f t="shared" si="33"/>
        <v>1.403575152701934</v>
      </c>
      <c r="Q13" s="22">
        <f t="shared" si="2"/>
        <v>8.587356638528723</v>
      </c>
      <c r="R13" s="62">
        <f t="shared" si="0"/>
        <v>200.52601862357361</v>
      </c>
      <c r="S13" s="62">
        <f ca="1">AVERAGE(OFFSET($R$3,0,0,'Données projet'!$E$9+1,1))-AVERAGE(OFFSET($H$3,0,0,'Données projet'!$E$9+1,1))</f>
        <v>316.32768907844184</v>
      </c>
      <c r="T13" s="62">
        <f t="shared" si="34"/>
        <v>165.80901858372513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1.2</v>
      </c>
      <c r="N14" s="14">
        <f>IF('Données projet'!$A$36&gt;35,N13+M14-V13,IF(A14&lt;'Données projet'!$A$36,$K$205^A14,IF(A14='Données projet'!$A$36,'Données projet'!$B$36,N13+M14-V13)))</f>
        <v>4.4661504822319662</v>
      </c>
      <c r="O14" s="14">
        <f>N14*VLOOKUP('Données projet'!$B$9,Paramètres!$A$1:$I$89,3,0)*VLOOKUP('Données projet'!$B$9,Paramètres!$A$1:$I$89,5,0)</f>
        <v>4.0409729563234826</v>
      </c>
      <c r="P14" s="14">
        <f t="shared" si="33"/>
        <v>1.5828619706020071</v>
      </c>
      <c r="Q14" s="22">
        <f t="shared" si="2"/>
        <v>9.7948458310618953</v>
      </c>
      <c r="R14" s="62">
        <f t="shared" si="0"/>
        <v>204.29064444017604</v>
      </c>
      <c r="S14" s="62">
        <f ca="1">AVERAGE(OFFSET($R$3,0,0,'Données projet'!$E$9+1,1))-AVERAGE(OFFSET($H$3,0,0,'Données projet'!$E$9+1,1))</f>
        <v>316.32768907844184</v>
      </c>
      <c r="T14" s="62">
        <f t="shared" si="34"/>
        <v>165.80901858372513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1.2</v>
      </c>
      <c r="N15" s="14">
        <f>IF('Données projet'!$A$36&gt;35,N14+M15-V14,IF(A15&lt;'Données projet'!$A$36,$K$205^A15,IF(A15='Données projet'!$A$36,'Données projet'!$B$36,N14+M15-V14)))</f>
        <v>5.1170328173444979</v>
      </c>
      <c r="O15" s="14">
        <f>N15*VLOOKUP('Données projet'!$B$9,Paramètres!$A$1:$I$89,3,0)*VLOOKUP('Données projet'!$B$9,Paramètres!$A$1:$I$89,5,0)</f>
        <v>4.6298912931333014</v>
      </c>
      <c r="P15" s="14">
        <f t="shared" si="33"/>
        <v>1.7850501365423737</v>
      </c>
      <c r="Q15" s="22">
        <f t="shared" si="2"/>
        <v>11.172689656685135</v>
      </c>
      <c r="R15" s="62">
        <f t="shared" si="0"/>
        <v>208.202467109418</v>
      </c>
      <c r="S15" s="62">
        <f ca="1">AVERAGE(OFFSET($R$3,0,0,'Données projet'!$E$9+1,1))-AVERAGE(OFFSET($H$3,0,0,'Données projet'!$E$9+1,1))</f>
        <v>316.32768907844184</v>
      </c>
      <c r="T15" s="62">
        <f t="shared" si="34"/>
        <v>165.80901858372513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1.2</v>
      </c>
      <c r="N16" s="14">
        <f>IF('Données projet'!$A$36&gt;35,N15+M16-V15,IF(A16&lt;'Données projet'!$A$36,$K$205^A16,IF(A16='Données projet'!$A$36,'Données projet'!$B$36,N15+M16-V15)))</f>
        <v>5.8627726400958746</v>
      </c>
      <c r="O16" s="14">
        <f>N16*VLOOKUP('Données projet'!$B$9,Paramètres!$A$1:$I$89,3,0)*VLOOKUP('Données projet'!$B$9,Paramètres!$A$1:$I$89,5,0)</f>
        <v>5.3046366847587469</v>
      </c>
      <c r="P16" s="14">
        <f t="shared" si="33"/>
        <v>2.0130649729098407</v>
      </c>
      <c r="Q16" s="22">
        <f t="shared" si="2"/>
        <v>12.74499705377279</v>
      </c>
      <c r="R16" s="62">
        <f t="shared" si="0"/>
        <v>212.28599730539159</v>
      </c>
      <c r="S16" s="62">
        <f ca="1">AVERAGE(OFFSET($R$3,0,0,'Données projet'!$E$9+1,1))-AVERAGE(OFFSET($H$3,0,0,'Données projet'!$E$9+1,1))</f>
        <v>316.32768907844184</v>
      </c>
      <c r="T16" s="62">
        <f t="shared" si="34"/>
        <v>165.80901858372513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1.2</v>
      </c>
      <c r="N17" s="14">
        <f>IF('Données projet'!$A$36&gt;35,N16+M17-V16,IF(A17&lt;'Données projet'!$A$36,$K$205^A17,IF(A17='Données projet'!$A$36,'Données projet'!$B$36,N16+M17-V16)))</f>
        <v>6.7171941741218459</v>
      </c>
      <c r="O17" s="14">
        <f>N17*VLOOKUP('Données projet'!$B$9,Paramètres!$A$1:$I$89,3,0)*VLOOKUP('Données projet'!$B$9,Paramètres!$A$1:$I$89,5,0)</f>
        <v>6.077717288745446</v>
      </c>
      <c r="P17" s="14">
        <f t="shared" si="33"/>
        <v>2.2702054705343011</v>
      </c>
      <c r="Q17" s="22">
        <f t="shared" si="2"/>
        <v>14.53929880574556</v>
      </c>
      <c r="R17" s="62">
        <f t="shared" si="0"/>
        <v>216.56916057801874</v>
      </c>
      <c r="S17" s="62">
        <f ca="1">AVERAGE(OFFSET($R$3,0,0,'Données projet'!$E$9+1,1))-AVERAGE(OFFSET($H$3,0,0,'Données projet'!$E$9+1,1))</f>
        <v>316.32768907844184</v>
      </c>
      <c r="T17" s="62">
        <f t="shared" si="34"/>
        <v>165.80901858372513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1.2</v>
      </c>
      <c r="N18" s="14">
        <f>IF('Données projet'!$A$36&gt;35,N17+M18-V17,IF(A18&lt;'Données projet'!$A$36,$K$205^A18,IF(A18='Données projet'!$A$36,'Données projet'!$B$36,N17+M18-V17)))</f>
        <v>7.6961363407260848</v>
      </c>
      <c r="O18" s="14">
        <f>N18*VLOOKUP('Données projet'!$B$9,Paramètres!$A$1:$I$89,3,0)*VLOOKUP('Données projet'!$B$9,Paramètres!$A$1:$I$89,5,0)</f>
        <v>6.9634641610889609</v>
      </c>
      <c r="P18" s="14">
        <f t="shared" si="33"/>
        <v>2.5601920195323435</v>
      </c>
      <c r="Q18" s="22">
        <f t="shared" si="2"/>
        <v>16.587034514582104</v>
      </c>
      <c r="R18" s="62">
        <f t="shared" si="0"/>
        <v>221.08378444746316</v>
      </c>
      <c r="S18" s="62">
        <f ca="1">AVERAGE(OFFSET($R$3,0,0,'Données projet'!$E$9+1,1))-AVERAGE(OFFSET($H$3,0,0,'Données projet'!$E$9+1,1))</f>
        <v>316.32768907844184</v>
      </c>
      <c r="T18" s="62">
        <f t="shared" si="34"/>
        <v>165.80901858372513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1.2</v>
      </c>
      <c r="N19" s="14">
        <f>IF('Données projet'!$A$36&gt;35,N18+M19-V18,IF(A19&lt;'Données projet'!$A$36,$K$205^A19,IF(A19='Données projet'!$A$36,'Données projet'!$B$36,N18+M19-V18)))</f>
        <v>8.8177463744060987</v>
      </c>
      <c r="O19" s="14">
        <f>N19*VLOOKUP('Données projet'!$B$9,Paramètres!$A$1:$I$89,3,0)*VLOOKUP('Données projet'!$B$9,Paramètres!$A$1:$I$89,5,0)</f>
        <v>7.9782969195626388</v>
      </c>
      <c r="P19" s="14">
        <f t="shared" si="33"/>
        <v>2.887220237089136</v>
      </c>
      <c r="Q19" s="22">
        <f t="shared" si="2"/>
        <v>18.924109047835174</v>
      </c>
      <c r="R19" s="62">
        <f t="shared" si="0"/>
        <v>225.86615496994924</v>
      </c>
      <c r="S19" s="62">
        <f ca="1">AVERAGE(OFFSET($R$3,0,0,'Données projet'!$E$9+1,1))-AVERAGE(OFFSET($H$3,0,0,'Données projet'!$E$9+1,1))</f>
        <v>316.32768907844184</v>
      </c>
      <c r="T19" s="62">
        <f t="shared" si="34"/>
        <v>165.80901858372513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1.2</v>
      </c>
      <c r="N20" s="14">
        <f>IF('Données projet'!$A$36&gt;35,N19+M20-V19,IF(A20&lt;'Données projet'!$A$36,$K$205^A20,IF(A20='Données projet'!$A$36,'Données projet'!$B$36,N19+M20-V19)))</f>
        <v>10.102816228956828</v>
      </c>
      <c r="O20" s="14">
        <f>N20*VLOOKUP('Données projet'!$B$9,Paramètres!$A$1:$I$89,3,0)*VLOOKUP('Données projet'!$B$9,Paramètres!$A$1:$I$89,5,0)</f>
        <v>9.1410281239601368</v>
      </c>
      <c r="P20" s="14">
        <f t="shared" si="33"/>
        <v>3.2560216709759704</v>
      </c>
      <c r="Q20" s="22">
        <f t="shared" si="2"/>
        <v>21.591528392847053</v>
      </c>
      <c r="R20" s="62">
        <f t="shared" si="0"/>
        <v>230.95765270871976</v>
      </c>
      <c r="S20" s="62">
        <f ca="1">AVERAGE(OFFSET($R$3,0,0,'Données projet'!$E$9+1,1))-AVERAGE(OFFSET($H$3,0,0,'Données projet'!$E$9+1,1))</f>
        <v>316.32768907844184</v>
      </c>
      <c r="T20" s="62">
        <f t="shared" si="34"/>
        <v>165.80901858372513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1.2</v>
      </c>
      <c r="N21" s="14">
        <f>IF('Données projet'!$A$36&gt;35,N20+M21-V20,IF(A21&lt;'Données projet'!$A$36,$K$205^A21,IF(A21='Données projet'!$A$36,'Données projet'!$B$36,N20+M21-V20)))</f>
        <v>11.575168010312384</v>
      </c>
      <c r="O21" s="14">
        <f>N21*VLOOKUP('Données projet'!$B$9,Paramètres!$A$1:$I$89,3,0)*VLOOKUP('Données projet'!$B$9,Paramètres!$A$1:$I$89,5,0)</f>
        <v>10.473212015730644</v>
      </c>
      <c r="P21" s="14">
        <f t="shared" si="33"/>
        <v>3.6719322570811741</v>
      </c>
      <c r="Q21" s="22">
        <f t="shared" si="2"/>
        <v>24.636126275147248</v>
      </c>
      <c r="R21" s="62">
        <f t="shared" si="0"/>
        <v>236.40547946715037</v>
      </c>
      <c r="S21" s="62">
        <f ca="1">AVERAGE(OFFSET($R$3,0,0,'Données projet'!$E$9+1,1))-AVERAGE(OFFSET($H$3,0,0,'Données projet'!$E$9+1,1))</f>
        <v>316.32768907844184</v>
      </c>
      <c r="T21" s="62">
        <f t="shared" si="34"/>
        <v>165.80901858372513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1.2</v>
      </c>
      <c r="N22" s="14">
        <f>IF('Données projet'!$A$36&gt;35,N21+M22-V21,IF(A22&lt;'Données projet'!$A$36,$K$205^A22,IF(A22='Données projet'!$A$36,'Données projet'!$B$36,N21+M22-V21)))</f>
        <v>13.262095581124292</v>
      </c>
      <c r="O22" s="14">
        <f>N22*VLOOKUP('Données projet'!$B$9,Paramètres!$A$1:$I$89,3,0)*VLOOKUP('Données projet'!$B$9,Paramètres!$A$1:$I$89,5,0)</f>
        <v>11.999544081801259</v>
      </c>
      <c r="P22" s="14">
        <f t="shared" si="33"/>
        <v>4.1409695214196116</v>
      </c>
      <c r="Q22" s="22">
        <f t="shared" si="2"/>
        <v>28.111394525609683</v>
      </c>
      <c r="R22" s="62">
        <f t="shared" si="0"/>
        <v>242.26348876863321</v>
      </c>
      <c r="S22" s="62">
        <f ca="1">AVERAGE(OFFSET($R$3,0,0,'Données projet'!$E$9+1,1))-AVERAGE(OFFSET($H$3,0,0,'Données projet'!$E$9+1,1))</f>
        <v>316.32768907844184</v>
      </c>
      <c r="T22" s="62">
        <f t="shared" si="34"/>
        <v>165.80901858372513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1.2</v>
      </c>
      <c r="N23" s="14">
        <f>IF('Données projet'!$A$36&gt;35,N22+M23-V22,IF(A23&lt;'Données projet'!$A$36,$K$205^A23,IF(A23='Données projet'!$A$36,'Données projet'!$B$36,N22+M23-V22)))</f>
        <v>15.194870523363559</v>
      </c>
      <c r="O23" s="14">
        <f>N23*VLOOKUP('Données projet'!$B$9,Paramètres!$A$1:$I$89,3,0)*VLOOKUP('Données projet'!$B$9,Paramètres!$A$1:$I$89,5,0)</f>
        <v>13.748318849539347</v>
      </c>
      <c r="P23" s="14">
        <f t="shared" si="33"/>
        <v>4.6699196436038939</v>
      </c>
      <c r="Q23" s="22">
        <f t="shared" si="2"/>
        <v>32.078432042224485</v>
      </c>
      <c r="R23" s="62">
        <f t="shared" si="0"/>
        <v>248.5931349291202</v>
      </c>
      <c r="S23" s="62">
        <f ca="1">AVERAGE(OFFSET($R$3,0,0,'Données projet'!$E$9+1,1))-AVERAGE(OFFSET($H$3,0,0,'Données projet'!$E$9+1,1))</f>
        <v>316.32768907844184</v>
      </c>
      <c r="T23" s="62">
        <f t="shared" si="34"/>
        <v>165.80901858372513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1.2</v>
      </c>
      <c r="N24" s="14">
        <f>IF('Données projet'!$A$36&gt;35,N23+M24-V23,IF(A24&lt;'Données projet'!$A$36,$K$205^A24,IF(A24='Données projet'!$A$36,'Données projet'!$B$36,N23+M24-V23)))</f>
        <v>17.409321838276906</v>
      </c>
      <c r="O24" s="14">
        <f>N24*VLOOKUP('Données projet'!$B$9,Paramètres!$A$1:$I$89,3,0)*VLOOKUP('Données projet'!$B$9,Paramètres!$A$1:$I$89,5,0)</f>
        <v>15.751954399272945</v>
      </c>
      <c r="P24" s="14">
        <f t="shared" si="33"/>
        <v>5.2664356414391653</v>
      </c>
      <c r="Q24" s="22">
        <f t="shared" si="2"/>
        <v>36.607029320906918</v>
      </c>
      <c r="R24" s="62">
        <f t="shared" si="0"/>
        <v>255.4645576967813</v>
      </c>
      <c r="S24" s="62">
        <f ca="1">AVERAGE(OFFSET($R$3,0,0,'Données projet'!$E$9+1,1))-AVERAGE(OFFSET($H$3,0,0,'Données projet'!$E$9+1,1))</f>
        <v>316.32768907844184</v>
      </c>
      <c r="T24" s="62">
        <f t="shared" si="34"/>
        <v>165.80901858372513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1.2</v>
      </c>
      <c r="N25" s="14">
        <f>IF('Données projet'!$A$36&gt;35,N24+M25-V24,IF(A25&lt;'Données projet'!$A$36,$K$205^A25,IF(A25='Données projet'!$A$36,'Données projet'!$B$36,N24+M25-V24)))</f>
        <v>19.946500129940819</v>
      </c>
      <c r="O25" s="14">
        <f>N25*VLOOKUP('Données projet'!$B$9,Paramètres!$A$1:$I$89,3,0)*VLOOKUP('Données projet'!$B$9,Paramètres!$A$1:$I$89,5,0)</f>
        <v>18.047593317570453</v>
      </c>
      <c r="P25" s="14">
        <f t="shared" si="33"/>
        <v>5.9391480972072355</v>
      </c>
      <c r="Q25" s="22">
        <f t="shared" si="2"/>
        <v>41.776907964071142</v>
      </c>
      <c r="R25" s="62">
        <f t="shared" si="0"/>
        <v>262.95782186753956</v>
      </c>
      <c r="S25" s="62">
        <f ca="1">AVERAGE(OFFSET($R$3,0,0,'Données projet'!$E$9+1,1))-AVERAGE(OFFSET($H$3,0,0,'Données projet'!$E$9+1,1))</f>
        <v>316.32768907844184</v>
      </c>
      <c r="T25" s="62">
        <f t="shared" si="34"/>
        <v>165.80901858372513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1.2</v>
      </c>
      <c r="N26" s="14">
        <f>IF('Données projet'!$A$36&gt;35,N25+M26-V25,IF(A26&lt;'Données projet'!$A$36,$K$205^A26,IF(A26='Données projet'!$A$36,'Données projet'!$B$36,N25+M26-V25)))</f>
        <v>22.853438584779923</v>
      </c>
      <c r="O26" s="14">
        <f>N26*VLOOKUP('Données projet'!$B$9,Paramètres!$A$1:$I$89,3,0)*VLOOKUP('Données projet'!$B$9,Paramètres!$A$1:$I$89,5,0)</f>
        <v>20.677791231508873</v>
      </c>
      <c r="P26" s="14">
        <f t="shared" si="33"/>
        <v>6.6977900276630162</v>
      </c>
      <c r="Q26" s="22">
        <f t="shared" si="2"/>
        <v>47.679137359724372</v>
      </c>
      <c r="R26" s="62">
        <f t="shared" si="0"/>
        <v>271.16433406927086</v>
      </c>
      <c r="S26" s="62">
        <f ca="1">AVERAGE(OFFSET($R$3,0,0,'Données projet'!$E$9+1,1))-AVERAGE(OFFSET($H$3,0,0,'Données projet'!$E$9+1,1))</f>
        <v>316.32768907844184</v>
      </c>
      <c r="T26" s="62">
        <f t="shared" si="34"/>
        <v>165.80901858372513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1.2</v>
      </c>
      <c r="N27" s="14">
        <f>IF('Données projet'!$A$36&gt;35,N26+M27-V26,IF(A27&lt;'Données projet'!$A$36,$K$205^A27,IF(A27='Données projet'!$A$36,'Données projet'!$B$36,N26+M27-V26)))</f>
        <v>26.184024853780567</v>
      </c>
      <c r="O27" s="14">
        <f>N27*VLOOKUP('Données projet'!$B$9,Paramètres!$A$1:$I$89,3,0)*VLOOKUP('Données projet'!$B$9,Paramètres!$A$1:$I$89,5,0)</f>
        <v>23.691305687700655</v>
      </c>
      <c r="P27" s="14">
        <f t="shared" si="33"/>
        <v>7.5533377044018843</v>
      </c>
      <c r="Q27" s="22">
        <f t="shared" si="2"/>
        <v>54.417753907911923</v>
      </c>
      <c r="R27" s="62">
        <f t="shared" si="0"/>
        <v>280.18846209153173</v>
      </c>
      <c r="S27" s="62">
        <f ca="1">AVERAGE(OFFSET($R$3,0,0,'Données projet'!$E$9+1,1))-AVERAGE(OFFSET($H$3,0,0,'Données projet'!$E$9+1,1))</f>
        <v>316.32768907844184</v>
      </c>
      <c r="T27" s="62">
        <f t="shared" si="34"/>
        <v>165.80901858372513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30</v>
      </c>
      <c r="L28" s="13">
        <f>VLOOKUP(A28,'Données projet'!$A$35:$I$55,9,0)</f>
        <v>1.2</v>
      </c>
      <c r="M28" s="13">
        <f t="array" ref="M28">INDEX(L:L,MIN(IF(ISNUMBER(L28:L224),ROW(L28:L224),"")))</f>
        <v>1.2</v>
      </c>
      <c r="N28" s="14">
        <f>IF('Données projet'!$A$36&gt;35,N27+M28-V27,IF(A28&lt;'Données projet'!$A$36,$K$205^A28,IF(A28='Données projet'!$A$36,'Données projet'!$B$36,N27+M28-V27)))</f>
        <v>30</v>
      </c>
      <c r="O28" s="14">
        <f>N28*VLOOKUP('Données projet'!$B$9,Paramètres!$A$1:$I$89,3,0)*VLOOKUP('Données projet'!$B$9,Paramètres!$A$1:$I$89,5,0)</f>
        <v>27.143999999999998</v>
      </c>
      <c r="P28" s="14">
        <f t="shared" si="33"/>
        <v>8.5181694620316346</v>
      </c>
      <c r="Q28" s="22">
        <f t="shared" si="2"/>
        <v>62.111611813038422</v>
      </c>
      <c r="R28" s="62">
        <f t="shared" si="0"/>
        <v>290.1493857793705</v>
      </c>
      <c r="S28" s="62">
        <f ca="1">AVERAGE(OFFSET($R$3,0,0,'Données projet'!$E$9+1,1))-AVERAGE(OFFSET($H$3,0,0,'Données projet'!$E$9+1,1))</f>
        <v>316.32768907844184</v>
      </c>
      <c r="T28" s="62">
        <f t="shared" si="34"/>
        <v>165.80901858372513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4.8</v>
      </c>
      <c r="N29" s="14">
        <f>IF('Données projet'!$A$36&gt;35,N28+M29-V28,IF(A29&lt;'Données projet'!$A$36,$K$205^A29,IF(A29='Données projet'!$A$36,'Données projet'!$B$36,N28+M29-V28)))</f>
        <v>34.799999999999997</v>
      </c>
      <c r="O29" s="14">
        <f>N29*VLOOKUP('Données projet'!$B$9,Paramètres!$A$1:$I$89,3,0)*VLOOKUP('Données projet'!$B$9,Paramètres!$A$1:$I$89,5,0)</f>
        <v>31.487039999999997</v>
      </c>
      <c r="P29" s="14">
        <f t="shared" si="33"/>
        <v>9.7118363356135369</v>
      </c>
      <c r="Q29" s="22">
        <f t="shared" si="2"/>
        <v>71.754709617860229</v>
      </c>
      <c r="R29" s="62">
        <f t="shared" si="0"/>
        <v>302.04142366705042</v>
      </c>
      <c r="S29" s="62">
        <f ca="1">AVERAGE(OFFSET($R$3,0,0,'Données projet'!$E$9+1,1))-AVERAGE(OFFSET($H$3,0,0,'Données projet'!$E$9+1,1))</f>
        <v>316.32768907844184</v>
      </c>
      <c r="T29" s="62">
        <f t="shared" si="34"/>
        <v>165.80901858372513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4.8</v>
      </c>
      <c r="N30" s="14">
        <f>IF('Données projet'!$A$36&gt;35,N29+M30-V29,IF(A30&lt;'Données projet'!$A$36,$K$205^A30,IF(A30='Données projet'!$A$36,'Données projet'!$B$36,N29+M30-V29)))</f>
        <v>39.599999999999994</v>
      </c>
      <c r="O30" s="14">
        <f>N30*VLOOKUP('Données projet'!$B$9,Paramètres!$A$1:$I$89,3,0)*VLOOKUP('Données projet'!$B$9,Paramètres!$A$1:$I$89,5,0)</f>
        <v>35.830079999999995</v>
      </c>
      <c r="P30" s="14">
        <f t="shared" si="33"/>
        <v>10.886427918882697</v>
      </c>
      <c r="Q30" s="22">
        <f t="shared" si="2"/>
        <v>81.364584625387351</v>
      </c>
      <c r="R30" s="62">
        <f t="shared" si="0"/>
        <v>313.88242749795086</v>
      </c>
      <c r="S30" s="62">
        <f ca="1">AVERAGE(OFFSET($R$3,0,0,'Données projet'!$E$9+1,1))-AVERAGE(OFFSET($H$3,0,0,'Données projet'!$E$9+1,1))</f>
        <v>316.32768907844184</v>
      </c>
      <c r="T30" s="62">
        <f t="shared" si="34"/>
        <v>165.80901858372513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4.8</v>
      </c>
      <c r="N31" s="14">
        <f>IF('Données projet'!$A$36&gt;35,N30+M31-V30,IF(A31&lt;'Données projet'!$A$36,$K$205^A31,IF(A31='Données projet'!$A$36,'Données projet'!$B$36,N30+M31-V30)))</f>
        <v>44.399999999999991</v>
      </c>
      <c r="O31" s="14">
        <f>N31*VLOOKUP('Données projet'!$B$9,Paramètres!$A$1:$I$89,3,0)*VLOOKUP('Données projet'!$B$9,Paramètres!$A$1:$I$89,5,0)</f>
        <v>40.17311999999999</v>
      </c>
      <c r="P31" s="14">
        <f t="shared" si="33"/>
        <v>12.044520842267836</v>
      </c>
      <c r="Q31" s="22">
        <f t="shared" si="2"/>
        <v>90.945724466949798</v>
      </c>
      <c r="R31" s="62">
        <f t="shared" si="0"/>
        <v>325.67719388893386</v>
      </c>
      <c r="S31" s="62">
        <f ca="1">AVERAGE(OFFSET($R$3,0,0,'Données projet'!$E$9+1,1))-AVERAGE(OFFSET($H$3,0,0,'Données projet'!$E$9+1,1))</f>
        <v>316.32768907844184</v>
      </c>
      <c r="T31" s="62">
        <f t="shared" si="34"/>
        <v>165.80901858372513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4.8</v>
      </c>
      <c r="N32" s="14">
        <f>IF('Données projet'!$A$36&gt;35,N31+M32-V31,IF(A32&lt;'Données projet'!$A$36,$K$205^A32,IF(A32='Données projet'!$A$36,'Données projet'!$B$36,N31+M32-V31)))</f>
        <v>49.199999999999989</v>
      </c>
      <c r="O32" s="14">
        <f>N32*VLOOKUP('Données projet'!$B$9,Paramètres!$A$1:$I$89,3,0)*VLOOKUP('Données projet'!$B$9,Paramètres!$A$1:$I$89,5,0)</f>
        <v>44.516159999999985</v>
      </c>
      <c r="P32" s="14">
        <f t="shared" si="33"/>
        <v>13.188102074986608</v>
      </c>
      <c r="Q32" s="22">
        <f t="shared" si="2"/>
        <v>100.50158978060165</v>
      </c>
      <c r="R32" s="62">
        <f t="shared" si="0"/>
        <v>337.42948710337748</v>
      </c>
      <c r="S32" s="62">
        <f ca="1">AVERAGE(OFFSET($R$3,0,0,'Données projet'!$E$9+1,1))-AVERAGE(OFFSET($H$3,0,0,'Données projet'!$E$9+1,1))</f>
        <v>316.32768907844184</v>
      </c>
      <c r="T32" s="62">
        <f t="shared" si="34"/>
        <v>165.80901858372513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54</v>
      </c>
      <c r="L33" s="13">
        <f>VLOOKUP(A33,'Données projet'!$A$35:$I$55,9,0)</f>
        <v>4.8</v>
      </c>
      <c r="M33" s="13">
        <f t="array" ref="M33">INDEX(L:L,MIN(IF(ISNUMBER(L33:L229),ROW(L33:L229),"")))</f>
        <v>4.8</v>
      </c>
      <c r="N33" s="14">
        <f>IF('Données projet'!$A$36&gt;35,N32+M33-V32,IF(A33&lt;'Données projet'!$A$36,$K$205^A33,IF(A33='Données projet'!$A$36,'Données projet'!$B$36,N32+M33-V32)))</f>
        <v>53.999999999999986</v>
      </c>
      <c r="O33" s="14">
        <f>N33*VLOOKUP('Données projet'!$B$9,Paramètres!$A$1:$I$89,3,0)*VLOOKUP('Données projet'!$B$9,Paramètres!$A$1:$I$89,5,0)</f>
        <v>48.859199999999987</v>
      </c>
      <c r="P33" s="14">
        <f t="shared" si="33"/>
        <v>14.318748507569309</v>
      </c>
      <c r="Q33" s="22">
        <f t="shared" si="2"/>
        <v>110.03492698401652</v>
      </c>
      <c r="R33" s="62">
        <f t="shared" si="0"/>
        <v>349.14235191705848</v>
      </c>
      <c r="S33" s="62">
        <f ca="1">AVERAGE(OFFSET($R$3,0,0,'Données projet'!$E$9+1,1))-AVERAGE(OFFSET($H$3,0,0,'Données projet'!$E$9+1,1))</f>
        <v>316.32768907844184</v>
      </c>
      <c r="T33" s="62">
        <f t="shared" si="34"/>
        <v>165.80901858372513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5</v>
      </c>
      <c r="N34" s="14">
        <f>IF('Données projet'!$A$36&gt;35,N33+M34-V33,IF(A34&lt;'Données projet'!$A$36,$K$205^A34,IF(A34='Données projet'!$A$36,'Données projet'!$B$36,N33+M34-V33)))</f>
        <v>58.999999999999986</v>
      </c>
      <c r="O34" s="14">
        <f>N34*VLOOKUP('Données projet'!$B$9,Paramètres!$A$1:$I$89,3,0)*VLOOKUP('Données projet'!$B$9,Paramètres!$A$1:$I$89,5,0)</f>
        <v>53.383199999999988</v>
      </c>
      <c r="P34" s="14">
        <f t="shared" si="33"/>
        <v>15.484128706113934</v>
      </c>
      <c r="Q34" s="22">
        <f t="shared" si="2"/>
        <v>119.94393082981507</v>
      </c>
      <c r="R34" s="62">
        <f t="shared" si="0"/>
        <v>359.99205404263262</v>
      </c>
      <c r="S34" s="62">
        <f ca="1">AVERAGE(OFFSET($R$3,0,0,'Données projet'!$E$9+1,1))-AVERAGE(OFFSET($H$3,0,0,'Données projet'!$E$9+1,1))</f>
        <v>316.32768907844184</v>
      </c>
      <c r="T34" s="62">
        <f t="shared" si="34"/>
        <v>165.80901858372513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5</v>
      </c>
      <c r="N35" s="14">
        <f>IF('Données projet'!$A$36&gt;35,N34+M35-V34,IF(A35&lt;'Données projet'!$A$36,$K$205^A35,IF(A35='Données projet'!$A$36,'Données projet'!$B$36,N34+M35-V34)))</f>
        <v>63.999999999999986</v>
      </c>
      <c r="O35" s="14">
        <f>N35*VLOOKUP('Données projet'!$B$9,Paramètres!$A$1:$I$89,3,0)*VLOOKUP('Données projet'!$B$9,Paramètres!$A$1:$I$89,5,0)</f>
        <v>57.907199999999989</v>
      </c>
      <c r="P35" s="14">
        <f t="shared" si="33"/>
        <v>16.638055172385986</v>
      </c>
      <c r="Q35" s="22">
        <f t="shared" ref="Q35:Q66" si="53">(O35+P35)*0.475*44/12</f>
        <v>129.83298609190555</v>
      </c>
      <c r="R35" s="62">
        <f t="shared" si="0"/>
        <v>370.80548857243087</v>
      </c>
      <c r="S35" s="62">
        <f ca="1">AVERAGE(OFFSET($R$3,0,0,'Données projet'!$E$9+1,1))-AVERAGE(OFFSET($H$3,0,0,'Données projet'!$E$9+1,1))</f>
        <v>316.32768907844184</v>
      </c>
      <c r="T35" s="62">
        <f t="shared" si="34"/>
        <v>165.80901858372513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5</v>
      </c>
      <c r="N36" s="14">
        <f>IF('Données projet'!$A$36&gt;35,N35+M36-V35,IF(A36&lt;'Données projet'!$A$36,$K$205^A36,IF(A36='Données projet'!$A$36,'Données projet'!$B$36,N35+M36-V35)))</f>
        <v>68.999999999999986</v>
      </c>
      <c r="O36" s="14">
        <f>N36*VLOOKUP('Données projet'!$B$9,Paramètres!$A$1:$I$89,3,0)*VLOOKUP('Données projet'!$B$9,Paramètres!$A$1:$I$89,5,0)</f>
        <v>62.431199999999983</v>
      </c>
      <c r="P36" s="14">
        <f t="shared" si="33"/>
        <v>17.781524466058684</v>
      </c>
      <c r="Q36" s="22">
        <f t="shared" si="53"/>
        <v>139.70382844505215</v>
      </c>
      <c r="R36" s="62">
        <f t="shared" si="0"/>
        <v>381.58467427959289</v>
      </c>
      <c r="S36" s="62">
        <f ca="1">AVERAGE(OFFSET($R$3,0,0,'Données projet'!$E$9+1,1))-AVERAGE(OFFSET($H$3,0,0,'Données projet'!$E$9+1,1))</f>
        <v>316.32768907844184</v>
      </c>
      <c r="T36" s="62">
        <f t="shared" si="34"/>
        <v>165.80901858372513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5</v>
      </c>
      <c r="N37" s="14">
        <f>IF('Données projet'!$A$36&gt;35,N36+M37-V36,IF(A37&lt;'Données projet'!$A$36,$K$205^A37,IF(A37='Données projet'!$A$36,'Données projet'!$B$36,N36+M37-V36)))</f>
        <v>73.999999999999986</v>
      </c>
      <c r="O37" s="14">
        <f>N37*VLOOKUP('Données projet'!$B$9,Paramètres!$A$1:$I$89,3,0)*VLOOKUP('Données projet'!$B$9,Paramètres!$A$1:$I$89,5,0)</f>
        <v>66.955199999999977</v>
      </c>
      <c r="P37" s="14">
        <f t="shared" si="33"/>
        <v>18.915380530436487</v>
      </c>
      <c r="Q37" s="22">
        <f t="shared" si="53"/>
        <v>149.55792775717683</v>
      </c>
      <c r="R37" s="62">
        <f t="shared" si="0"/>
        <v>392.33135921929238</v>
      </c>
      <c r="S37" s="62">
        <f ca="1">AVERAGE(OFFSET($R$3,0,0,'Données projet'!$E$9+1,1))-AVERAGE(OFFSET($H$3,0,0,'Données projet'!$E$9+1,1))</f>
        <v>316.32768907844184</v>
      </c>
      <c r="T37" s="62">
        <f t="shared" si="34"/>
        <v>165.80901858372513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79</v>
      </c>
      <c r="L38" s="13">
        <f>VLOOKUP(A38,'Données projet'!$A$35:$I$55,9,0)</f>
        <v>5</v>
      </c>
      <c r="M38" s="13">
        <f t="array" ref="M38">INDEX(L:L,MIN(IF(ISNUMBER(L38:L234),ROW(L38:L234),"")))</f>
        <v>5</v>
      </c>
      <c r="N38" s="14">
        <f>IF('Données projet'!$A$36&gt;35,N37+M38-V37,IF(A38&lt;'Données projet'!$A$36,$K$205^A38,IF(A38='Données projet'!$A$36,'Données projet'!$B$36,N37+M38-V37)))</f>
        <v>78.999999999999986</v>
      </c>
      <c r="O38" s="14">
        <f>N38*VLOOKUP('Données projet'!$B$9,Paramètres!$A$1:$I$89,3,0)*VLOOKUP('Données projet'!$B$9,Paramètres!$A$1:$I$89,5,0)</f>
        <v>71.479199999999977</v>
      </c>
      <c r="P38" s="14">
        <f t="shared" si="33"/>
        <v>20.040346808618612</v>
      </c>
      <c r="Q38" s="22">
        <f t="shared" si="53"/>
        <v>159.39654402501068</v>
      </c>
      <c r="R38" s="62">
        <f t="shared" si="0"/>
        <v>403.04707674958519</v>
      </c>
      <c r="S38" s="62">
        <f ca="1">AVERAGE(OFFSET($R$3,0,0,'Données projet'!$E$9+1,1))-AVERAGE(OFFSET($H$3,0,0,'Données projet'!$E$9+1,1))</f>
        <v>316.32768907844184</v>
      </c>
      <c r="T38" s="62">
        <f t="shared" si="34"/>
        <v>165.80901858372513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13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5.4</v>
      </c>
      <c r="N39" s="14">
        <f>IF('Données projet'!$A$36&gt;35,N38+M39-V38,IF(A39&lt;'Données projet'!$A$36,$K$205^A39,IF(A39='Données projet'!$A$36,'Données projet'!$B$36,N38+M39-V38)))</f>
        <v>71.399999999999991</v>
      </c>
      <c r="O39" s="14">
        <f>N39*VLOOKUP('Données projet'!$B$9,Paramètres!$A$1:$I$89,3,0)*VLOOKUP('Données projet'!$B$9,Paramètres!$A$1:$I$89,5,0)</f>
        <v>64.602719999999991</v>
      </c>
      <c r="P39" s="14">
        <f t="shared" si="33"/>
        <v>18.326928056848999</v>
      </c>
      <c r="Q39" s="22">
        <f t="shared" si="53"/>
        <v>144.43580369901198</v>
      </c>
      <c r="R39" s="62">
        <f t="shared" si="0"/>
        <v>388.94822194004644</v>
      </c>
      <c r="S39" s="62">
        <f ca="1">AVERAGE(OFFSET($R$3,0,0,'Données projet'!$E$9+1,1))-AVERAGE(OFFSET($H$3,0,0,'Données projet'!$E$9+1,1))</f>
        <v>316.32768907844184</v>
      </c>
      <c r="T39" s="62">
        <f t="shared" si="34"/>
        <v>165.80901858372513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5.4</v>
      </c>
      <c r="N40" s="14">
        <f>IF('Données projet'!$A$36&gt;35,N39+M40-V39,IF(A40&lt;'Données projet'!$A$36,$K$205^A40,IF(A40='Données projet'!$A$36,'Données projet'!$B$36,N39+M40-V39)))</f>
        <v>76.8</v>
      </c>
      <c r="O40" s="14">
        <f>N40*VLOOKUP('Données projet'!$B$9,Paramètres!$A$1:$I$89,3,0)*VLOOKUP('Données projet'!$B$9,Paramètres!$A$1:$I$89,5,0)</f>
        <v>69.488640000000004</v>
      </c>
      <c r="P40" s="14">
        <f t="shared" si="33"/>
        <v>19.546414723012209</v>
      </c>
      <c r="Q40" s="22">
        <f t="shared" si="53"/>
        <v>155.06938697591292</v>
      </c>
      <c r="R40" s="62">
        <f t="shared" si="0"/>
        <v>400.42873894658402</v>
      </c>
      <c r="S40" s="62">
        <f ca="1">AVERAGE(OFFSET($R$3,0,0,'Données projet'!$E$9+1,1))-AVERAGE(OFFSET($H$3,0,0,'Données projet'!$E$9+1,1))</f>
        <v>316.32768907844184</v>
      </c>
      <c r="T40" s="62">
        <f t="shared" si="34"/>
        <v>165.80901858372513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5.4</v>
      </c>
      <c r="N41" s="14">
        <f>IF('Données projet'!$A$36&gt;35,N40+M41-V40,IF(A41&lt;'Données projet'!$A$36,$K$205^A41,IF(A41='Données projet'!$A$36,'Données projet'!$B$36,N40+M41-V40)))</f>
        <v>82.2</v>
      </c>
      <c r="O41" s="14">
        <f>N41*VLOOKUP('Données projet'!$B$9,Paramètres!$A$1:$I$89,3,0)*VLOOKUP('Données projet'!$B$9,Paramètres!$A$1:$I$89,5,0)</f>
        <v>74.374559999999988</v>
      </c>
      <c r="P41" s="14">
        <f t="shared" si="33"/>
        <v>20.755952735382312</v>
      </c>
      <c r="Q41" s="22">
        <f t="shared" si="53"/>
        <v>165.68564301412417</v>
      </c>
      <c r="R41" s="62">
        <f t="shared" si="0"/>
        <v>411.87723630768289</v>
      </c>
      <c r="S41" s="62">
        <f ca="1">AVERAGE(OFFSET($R$3,0,0,'Données projet'!$E$9+1,1))-AVERAGE(OFFSET($H$3,0,0,'Données projet'!$E$9+1,1))</f>
        <v>316.32768907844184</v>
      </c>
      <c r="T41" s="62">
        <f t="shared" si="34"/>
        <v>165.80901858372513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5.4</v>
      </c>
      <c r="N42" s="14">
        <f>IF('Données projet'!$A$36&gt;35,N41+M42-V41,IF(A42&lt;'Données projet'!$A$36,$K$205^A42,IF(A42='Données projet'!$A$36,'Données projet'!$B$36,N41+M42-V41)))</f>
        <v>87.600000000000009</v>
      </c>
      <c r="O42" s="14">
        <f>N42*VLOOKUP('Données projet'!$B$9,Paramètres!$A$1:$I$89,3,0)*VLOOKUP('Données projet'!$B$9,Paramètres!$A$1:$I$89,5,0)</f>
        <v>79.260480000000001</v>
      </c>
      <c r="P42" s="14">
        <f t="shared" si="33"/>
        <v>21.956270028417133</v>
      </c>
      <c r="Q42" s="22">
        <f t="shared" si="53"/>
        <v>176.28583963282651</v>
      </c>
      <c r="R42" s="62">
        <f t="shared" si="0"/>
        <v>423.29523672293362</v>
      </c>
      <c r="S42" s="62">
        <f ca="1">AVERAGE(OFFSET($R$3,0,0,'Données projet'!$E$9+1,1))-AVERAGE(OFFSET($H$3,0,0,'Données projet'!$E$9+1,1))</f>
        <v>316.32768907844184</v>
      </c>
      <c r="T42" s="62">
        <f t="shared" si="34"/>
        <v>165.80901858372513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93</v>
      </c>
      <c r="L43" s="13">
        <f>VLOOKUP(A43,'Données projet'!$A$35:$I$55,9,0)</f>
        <v>5.4</v>
      </c>
      <c r="M43" s="13">
        <f t="array" ref="M43">INDEX(L:L,MIN(IF(ISNUMBER(L43:L239),ROW(L43:L239),"")))</f>
        <v>5.4</v>
      </c>
      <c r="N43" s="14">
        <f>IF('Données projet'!$A$36&gt;35,N42+M43-V42,IF(A43&lt;'Données projet'!$A$36,$K$205^A43,IF(A43='Données projet'!$A$36,'Données projet'!$B$36,N42+M43-V42)))</f>
        <v>93.000000000000014</v>
      </c>
      <c r="O43" s="14">
        <f>N43*VLOOKUP('Données projet'!$B$9,Paramètres!$A$1:$I$89,3,0)*VLOOKUP('Données projet'!$B$9,Paramètres!$A$1:$I$89,5,0)</f>
        <v>84.146400000000014</v>
      </c>
      <c r="P43" s="14">
        <f t="shared" si="33"/>
        <v>23.14799971956144</v>
      </c>
      <c r="Q43" s="22">
        <f t="shared" si="53"/>
        <v>186.87107951156952</v>
      </c>
      <c r="R43" s="62">
        <f t="shared" si="0"/>
        <v>434.6840933306903</v>
      </c>
      <c r="S43" s="62">
        <f ca="1">AVERAGE(OFFSET($R$3,0,0,'Données projet'!$E$9+1,1))-AVERAGE(OFFSET($H$3,0,0,'Données projet'!$E$9+1,1))</f>
        <v>316.32768907844184</v>
      </c>
      <c r="T43" s="62">
        <f t="shared" si="34"/>
        <v>165.80901858372513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14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5.6</v>
      </c>
      <c r="N44" s="14">
        <f>IF('Données projet'!$A$36&gt;35,N43+M44-V43,IF(A44&lt;'Données projet'!$A$36,$K$205^A44,IF(A44='Données projet'!$A$36,'Données projet'!$B$36,N43+M44-V43)))</f>
        <v>84.600000000000009</v>
      </c>
      <c r="O44" s="14">
        <f>N44*VLOOKUP('Données projet'!$B$9,Paramètres!$A$1:$I$89,3,0)*VLOOKUP('Données projet'!$B$9,Paramètres!$A$1:$I$89,5,0)</f>
        <v>76.546080000000003</v>
      </c>
      <c r="P44" s="14">
        <f t="shared" si="33"/>
        <v>21.290525837973497</v>
      </c>
      <c r="Q44" s="22">
        <f t="shared" si="53"/>
        <v>170.39875516780384</v>
      </c>
      <c r="R44" s="62">
        <f t="shared" si="0"/>
        <v>419.00144476230781</v>
      </c>
      <c r="S44" s="62">
        <f ca="1">AVERAGE(OFFSET($R$3,0,0,'Données projet'!$E$9+1,1))-AVERAGE(OFFSET($H$3,0,0,'Données projet'!$E$9+1,1))</f>
        <v>316.32768907844184</v>
      </c>
      <c r="T44" s="62">
        <f t="shared" si="34"/>
        <v>165.80901858372513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5.6</v>
      </c>
      <c r="N45" s="14">
        <f>IF('Données projet'!$A$36&gt;35,N44+M45-V44,IF(A45&lt;'Données projet'!$A$36,$K$205^A45,IF(A45='Données projet'!$A$36,'Données projet'!$B$36,N44+M45-V44)))</f>
        <v>90.2</v>
      </c>
      <c r="O45" s="14">
        <f>N45*VLOOKUP('Données projet'!$B$9,Paramètres!$A$1:$I$89,3,0)*VLOOKUP('Données projet'!$B$9,Paramètres!$A$1:$I$89,5,0)</f>
        <v>81.612960000000001</v>
      </c>
      <c r="P45" s="14">
        <f t="shared" si="33"/>
        <v>22.531101896247538</v>
      </c>
      <c r="Q45" s="22">
        <f t="shared" si="53"/>
        <v>181.38424113596443</v>
      </c>
      <c r="R45" s="62">
        <f t="shared" si="0"/>
        <v>430.76290739659919</v>
      </c>
      <c r="S45" s="62">
        <f ca="1">AVERAGE(OFFSET($R$3,0,0,'Données projet'!$E$9+1,1))-AVERAGE(OFFSET($H$3,0,0,'Données projet'!$E$9+1,1))</f>
        <v>316.32768907844184</v>
      </c>
      <c r="T45" s="62">
        <f t="shared" si="34"/>
        <v>165.80901858372513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5.6</v>
      </c>
      <c r="N46" s="14">
        <f>IF('Données projet'!$A$36&gt;35,N45+M46-V45,IF(A46&lt;'Données projet'!$A$36,$K$205^A46,IF(A46='Données projet'!$A$36,'Données projet'!$B$36,N45+M46-V45)))</f>
        <v>95.8</v>
      </c>
      <c r="O46" s="14">
        <f>N46*VLOOKUP('Données projet'!$B$9,Paramètres!$A$1:$I$89,3,0)*VLOOKUP('Données projet'!$B$9,Paramètres!$A$1:$I$89,5,0)</f>
        <v>86.679839999999999</v>
      </c>
      <c r="P46" s="14">
        <f t="shared" si="33"/>
        <v>23.762739053789723</v>
      </c>
      <c r="Q46" s="22">
        <f t="shared" si="53"/>
        <v>192.35415851868379</v>
      </c>
      <c r="R46" s="62">
        <f t="shared" si="0"/>
        <v>442.49533998511583</v>
      </c>
      <c r="S46" s="62">
        <f ca="1">AVERAGE(OFFSET($R$3,0,0,'Données projet'!$E$9+1,1))-AVERAGE(OFFSET($H$3,0,0,'Données projet'!$E$9+1,1))</f>
        <v>316.32768907844184</v>
      </c>
      <c r="T46" s="62">
        <f t="shared" si="34"/>
        <v>165.80901858372513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5.6</v>
      </c>
      <c r="N47" s="14">
        <f>IF('Données projet'!$A$36&gt;35,N46+M47-V46,IF(A47&lt;'Données projet'!$A$36,$K$205^A47,IF(A47='Données projet'!$A$36,'Données projet'!$B$36,N46+M47-V46)))</f>
        <v>101.39999999999999</v>
      </c>
      <c r="O47" s="14">
        <f>N47*VLOOKUP('Données projet'!$B$9,Paramètres!$A$1:$I$89,3,0)*VLOOKUP('Données projet'!$B$9,Paramètres!$A$1:$I$89,5,0)</f>
        <v>91.746719999999982</v>
      </c>
      <c r="P47" s="14">
        <f t="shared" si="33"/>
        <v>24.986019358738364</v>
      </c>
      <c r="Q47" s="22">
        <f t="shared" si="53"/>
        <v>203.30952104980258</v>
      </c>
      <c r="R47" s="62">
        <f t="shared" si="0"/>
        <v>454.19998978794001</v>
      </c>
      <c r="S47" s="62">
        <f ca="1">AVERAGE(OFFSET($R$3,0,0,'Données projet'!$E$9+1,1))-AVERAGE(OFFSET($H$3,0,0,'Données projet'!$E$9+1,1))</f>
        <v>316.32768907844184</v>
      </c>
      <c r="T47" s="62">
        <f t="shared" si="34"/>
        <v>165.80901858372513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107</v>
      </c>
      <c r="L48" s="13">
        <f>VLOOKUP(A48,'Données projet'!$A$35:$I$55,9,0)</f>
        <v>5.6</v>
      </c>
      <c r="M48" s="13">
        <f t="array" ref="M48">INDEX(L:L,MIN(IF(ISNUMBER(L48:L244),ROW(L48:L244),"")))</f>
        <v>5.6</v>
      </c>
      <c r="N48" s="14">
        <f>IF('Données projet'!$A$36&gt;35,N47+M48-V47,IF(A48&lt;'Données projet'!$A$36,$K$205^A48,IF(A48='Données projet'!$A$36,'Données projet'!$B$36,N47+M48-V47)))</f>
        <v>106.99999999999999</v>
      </c>
      <c r="O48" s="14">
        <f>N48*VLOOKUP('Données projet'!$B$9,Paramètres!$A$1:$I$89,3,0)*VLOOKUP('Données projet'!$B$9,Paramètres!$A$1:$I$89,5,0)</f>
        <v>96.81359999999998</v>
      </c>
      <c r="P48" s="14">
        <f t="shared" si="33"/>
        <v>26.201456938925315</v>
      </c>
      <c r="Q48" s="22">
        <f t="shared" si="53"/>
        <v>214.25122416862823</v>
      </c>
      <c r="R48" s="62">
        <f t="shared" si="0"/>
        <v>465.87798171946235</v>
      </c>
      <c r="S48" s="62">
        <f ca="1">AVERAGE(OFFSET($R$3,0,0,'Données projet'!$E$9+1,1))-AVERAGE(OFFSET($H$3,0,0,'Données projet'!$E$9+1,1))</f>
        <v>316.32768907844184</v>
      </c>
      <c r="T48" s="62">
        <f t="shared" si="34"/>
        <v>165.80901858372513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14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5.6</v>
      </c>
      <c r="N49" s="14">
        <f>IF('Données projet'!$A$36&gt;35,N48+M49-V48,IF(A49&lt;'Données projet'!$A$36,$K$205^A49,IF(A49='Données projet'!$A$36,'Données projet'!$B$36,N48+M49-V48)))</f>
        <v>98.59999999999998</v>
      </c>
      <c r="O49" s="14">
        <f>N49*VLOOKUP('Données projet'!$B$9,Paramètres!$A$1:$I$89,3,0)*VLOOKUP('Données projet'!$B$9,Paramètres!$A$1:$I$89,5,0)</f>
        <v>89.213279999999969</v>
      </c>
      <c r="P49" s="14">
        <f t="shared" si="33"/>
        <v>24.375390230293544</v>
      </c>
      <c r="Q49" s="22">
        <f t="shared" si="53"/>
        <v>197.83360065109454</v>
      </c>
      <c r="R49" s="62">
        <f t="shared" si="0"/>
        <v>450.18387404982019</v>
      </c>
      <c r="S49" s="62">
        <f ca="1">AVERAGE(OFFSET($R$3,0,0,'Données projet'!$E$9+1,1))-AVERAGE(OFFSET($H$3,0,0,'Données projet'!$E$9+1,1))</f>
        <v>316.32768907844184</v>
      </c>
      <c r="T49" s="62">
        <f t="shared" si="34"/>
        <v>165.80901858372513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5.6</v>
      </c>
      <c r="N50" s="14">
        <f>IF('Données projet'!$A$36&gt;35,N49+M50-V49,IF(A50&lt;'Données projet'!$A$36,$K$205^A50,IF(A50='Données projet'!$A$36,'Données projet'!$B$36,N49+M50-V49)))</f>
        <v>104.19999999999997</v>
      </c>
      <c r="O50" s="14">
        <f>N50*VLOOKUP('Données projet'!$B$9,Paramètres!$A$1:$I$89,3,0)*VLOOKUP('Données projet'!$B$9,Paramètres!$A$1:$I$89,5,0)</f>
        <v>94.280159999999967</v>
      </c>
      <c r="P50" s="14">
        <f t="shared" si="33"/>
        <v>25.594688689992932</v>
      </c>
      <c r="Q50" s="22">
        <f t="shared" si="53"/>
        <v>208.78202813507096</v>
      </c>
      <c r="R50" s="62">
        <f t="shared" si="0"/>
        <v>461.84326599926635</v>
      </c>
      <c r="S50" s="62">
        <f ca="1">AVERAGE(OFFSET($R$3,0,0,'Données projet'!$E$9+1,1))-AVERAGE(OFFSET($H$3,0,0,'Données projet'!$E$9+1,1))</f>
        <v>316.32768907844184</v>
      </c>
      <c r="T50" s="62">
        <f t="shared" si="34"/>
        <v>165.80901858372513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5.6</v>
      </c>
      <c r="N51" s="14">
        <f>IF('Données projet'!$A$36&gt;35,N50+M51-V50,IF(A51&lt;'Données projet'!$A$36,$K$205^A51,IF(A51='Données projet'!$A$36,'Données projet'!$B$36,N50+M51-V50)))</f>
        <v>109.79999999999997</v>
      </c>
      <c r="O51" s="14">
        <f>N51*VLOOKUP('Données projet'!$B$9,Paramètres!$A$1:$I$89,3,0)*VLOOKUP('Données projet'!$B$9,Paramètres!$A$1:$I$89,5,0)</f>
        <v>99.347039999999964</v>
      </c>
      <c r="P51" s="14">
        <f t="shared" si="33"/>
        <v>26.806379572460035</v>
      </c>
      <c r="Q51" s="22">
        <f t="shared" si="53"/>
        <v>219.71720575536781</v>
      </c>
      <c r="R51" s="62">
        <f t="shared" si="0"/>
        <v>473.47707444103548</v>
      </c>
      <c r="S51" s="62">
        <f ca="1">AVERAGE(OFFSET($R$3,0,0,'Données projet'!$E$9+1,1))-AVERAGE(OFFSET($H$3,0,0,'Données projet'!$E$9+1,1))</f>
        <v>316.32768907844184</v>
      </c>
      <c r="T51" s="62">
        <f t="shared" si="34"/>
        <v>165.80901858372513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5.6</v>
      </c>
      <c r="N52" s="14">
        <f>IF('Données projet'!$A$36&gt;35,N51+M52-V51,IF(A52&lt;'Données projet'!$A$36,$K$205^A52,IF(A52='Données projet'!$A$36,'Données projet'!$B$36,N51+M52-V51)))</f>
        <v>115.39999999999996</v>
      </c>
      <c r="O52" s="14">
        <f>N52*VLOOKUP('Données projet'!$B$9,Paramètres!$A$1:$I$89,3,0)*VLOOKUP('Données projet'!$B$9,Paramètres!$A$1:$I$89,5,0)</f>
        <v>104.41391999999996</v>
      </c>
      <c r="P52" s="14">
        <f t="shared" si="33"/>
        <v>28.010895142032854</v>
      </c>
      <c r="Q52" s="22">
        <f t="shared" si="53"/>
        <v>230.63988637237381</v>
      </c>
      <c r="R52" s="62">
        <f t="shared" si="0"/>
        <v>485.08626619666575</v>
      </c>
      <c r="S52" s="62">
        <f ca="1">AVERAGE(OFFSET($R$3,0,0,'Données projet'!$E$9+1,1))-AVERAGE(OFFSET($H$3,0,0,'Données projet'!$E$9+1,1))</f>
        <v>316.32768907844184</v>
      </c>
      <c r="T52" s="62">
        <f t="shared" si="34"/>
        <v>165.80901858372513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121</v>
      </c>
      <c r="L53" s="13">
        <f>VLOOKUP(A53,'Données projet'!$A$35:$I$55,9,0)</f>
        <v>5.6</v>
      </c>
      <c r="M53" s="13">
        <f t="array" ref="M53">INDEX(L:L,MIN(IF(ISNUMBER(L53:L249),ROW(L53:L249),"")))</f>
        <v>5.6</v>
      </c>
      <c r="N53" s="14">
        <f>IF('Données projet'!$A$36&gt;35,N52+M53-V52,IF(A53&lt;'Données projet'!$A$36,$K$205^A53,IF(A53='Données projet'!$A$36,'Données projet'!$B$36,N52+M53-V52)))</f>
        <v>120.99999999999996</v>
      </c>
      <c r="O53" s="14">
        <f>N53*VLOOKUP('Données projet'!$B$9,Paramètres!$A$1:$I$89,3,0)*VLOOKUP('Données projet'!$B$9,Paramètres!$A$1:$I$89,5,0)</f>
        <v>109.48079999999995</v>
      </c>
      <c r="P53" s="14">
        <f t="shared" si="33"/>
        <v>29.208623339903898</v>
      </c>
      <c r="Q53" s="22">
        <f t="shared" si="53"/>
        <v>241.55074565033252</v>
      </c>
      <c r="R53" s="62">
        <f t="shared" si="0"/>
        <v>496.67172717980259</v>
      </c>
      <c r="S53" s="62">
        <f ca="1">AVERAGE(OFFSET($R$3,0,0,'Données projet'!$E$9+1,1))-AVERAGE(OFFSET($H$3,0,0,'Données projet'!$E$9+1,1))</f>
        <v>316.32768907844184</v>
      </c>
      <c r="T53" s="62">
        <f t="shared" si="34"/>
        <v>165.80901858372513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14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5.6</v>
      </c>
      <c r="N54" s="14">
        <f>IF('Données projet'!$A$36&gt;35,N53+M54-V53,IF(A54&lt;'Données projet'!$A$36,$K$205^A54,IF(A54='Données projet'!$A$36,'Données projet'!$B$36,N53+M54-V53)))</f>
        <v>112.59999999999995</v>
      </c>
      <c r="O54" s="14">
        <f>N54*VLOOKUP('Données projet'!$B$9,Paramètres!$A$1:$I$89,3,0)*VLOOKUP('Données projet'!$B$9,Paramètres!$A$1:$I$89,5,0)</f>
        <v>101.88047999999995</v>
      </c>
      <c r="P54" s="14">
        <f t="shared" si="33"/>
        <v>27.409509067425631</v>
      </c>
      <c r="Q54" s="22">
        <f t="shared" si="53"/>
        <v>225.18006429243289</v>
      </c>
      <c r="R54" s="62">
        <f t="shared" si="0"/>
        <v>480.96394469567974</v>
      </c>
      <c r="S54" s="62">
        <f ca="1">AVERAGE(OFFSET($R$3,0,0,'Données projet'!$E$9+1,1))-AVERAGE(OFFSET($H$3,0,0,'Données projet'!$E$9+1,1))</f>
        <v>316.32768907844184</v>
      </c>
      <c r="T54" s="62">
        <f t="shared" si="34"/>
        <v>165.80901858372513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5.6</v>
      </c>
      <c r="N55" s="14">
        <f>IF('Données projet'!$A$36&gt;35,N54+M55-V54,IF(A55&lt;'Données projet'!$A$36,$K$205^A55,IF(A55='Données projet'!$A$36,'Données projet'!$B$36,N54+M55-V54)))</f>
        <v>118.19999999999995</v>
      </c>
      <c r="O55" s="14">
        <f>N55*VLOOKUP('Données projet'!$B$9,Paramètres!$A$1:$I$89,3,0)*VLOOKUP('Données projet'!$B$9,Paramètres!$A$1:$I$89,5,0)</f>
        <v>106.94735999999996</v>
      </c>
      <c r="P55" s="14">
        <f t="shared" si="33"/>
        <v>28.61058496425451</v>
      </c>
      <c r="Q55" s="22">
        <f t="shared" si="53"/>
        <v>236.09675414607651</v>
      </c>
      <c r="R55" s="62">
        <f t="shared" si="0"/>
        <v>492.53203360965983</v>
      </c>
      <c r="S55" s="62">
        <f ca="1">AVERAGE(OFFSET($R$3,0,0,'Données projet'!$E$9+1,1))-AVERAGE(OFFSET($H$3,0,0,'Données projet'!$E$9+1,1))</f>
        <v>316.32768907844184</v>
      </c>
      <c r="T55" s="62">
        <f t="shared" si="34"/>
        <v>165.80901858372513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5.6</v>
      </c>
      <c r="N56" s="14">
        <f>IF('Données projet'!$A$36&gt;35,N55+M56-V55,IF(A56&lt;'Données projet'!$A$36,$K$205^A56,IF(A56='Données projet'!$A$36,'Données projet'!$B$36,N55+M56-V55)))</f>
        <v>123.79999999999994</v>
      </c>
      <c r="O56" s="14">
        <f>N56*VLOOKUP('Données projet'!$B$9,Paramètres!$A$1:$I$89,3,0)*VLOOKUP('Données projet'!$B$9,Paramètres!$A$1:$I$89,5,0)</f>
        <v>112.01423999999994</v>
      </c>
      <c r="P56" s="14">
        <f t="shared" si="33"/>
        <v>29.805052882814007</v>
      </c>
      <c r="Q56" s="22">
        <f t="shared" si="53"/>
        <v>247.00193510423426</v>
      </c>
      <c r="R56" s="62">
        <f t="shared" si="0"/>
        <v>504.07731331076752</v>
      </c>
      <c r="S56" s="62">
        <f ca="1">AVERAGE(OFFSET($R$3,0,0,'Données projet'!$E$9+1,1))-AVERAGE(OFFSET($H$3,0,0,'Données projet'!$E$9+1,1))</f>
        <v>316.32768907844184</v>
      </c>
      <c r="T56" s="62">
        <f t="shared" si="34"/>
        <v>165.80901858372513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5.6</v>
      </c>
      <c r="N57" s="14">
        <f>IF('Données projet'!$A$36&gt;35,N56+M57-V56,IF(A57&lt;'Données projet'!$A$36,$K$205^A57,IF(A57='Données projet'!$A$36,'Données projet'!$B$36,N56+M57-V56)))</f>
        <v>129.39999999999995</v>
      </c>
      <c r="O57" s="14">
        <f>N57*VLOOKUP('Données projet'!$B$9,Paramètres!$A$1:$I$89,3,0)*VLOOKUP('Données projet'!$B$9,Paramètres!$A$1:$I$89,5,0)</f>
        <v>117.08111999999994</v>
      </c>
      <c r="P57" s="14">
        <f t="shared" si="33"/>
        <v>30.993245877902066</v>
      </c>
      <c r="Q57" s="22">
        <f t="shared" si="53"/>
        <v>257.896187237346</v>
      </c>
      <c r="R57" s="62">
        <f t="shared" si="0"/>
        <v>515.60055990468527</v>
      </c>
      <c r="S57" s="62">
        <f ca="1">AVERAGE(OFFSET($R$3,0,0,'Données projet'!$E$9+1,1))-AVERAGE(OFFSET($H$3,0,0,'Données projet'!$E$9+1,1))</f>
        <v>316.32768907844184</v>
      </c>
      <c r="T57" s="62">
        <f t="shared" si="34"/>
        <v>165.80901858372513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135</v>
      </c>
      <c r="L58" s="13">
        <f>VLOOKUP(A58,'Données projet'!$A$35:$I$55,9,0)</f>
        <v>5.6</v>
      </c>
      <c r="M58" s="13">
        <f t="array" ref="M58">INDEX(L:L,MIN(IF(ISNUMBER(L58:L254),ROW(L58:L254),"")))</f>
        <v>5.6</v>
      </c>
      <c r="N58" s="14">
        <f>IF('Données projet'!$A$36&gt;35,N57+M58-V57,IF(A58&lt;'Données projet'!$A$36,$K$205^A58,IF(A58='Données projet'!$A$36,'Données projet'!$B$36,N57+M58-V57)))</f>
        <v>134.99999999999994</v>
      </c>
      <c r="O58" s="14">
        <f>N58*VLOOKUP('Données projet'!$B$9,Paramètres!$A$1:$I$89,3,0)*VLOOKUP('Données projet'!$B$9,Paramètres!$A$1:$I$89,5,0)</f>
        <v>122.14799999999995</v>
      </c>
      <c r="P58" s="14">
        <f t="shared" si="33"/>
        <v>32.175466547071615</v>
      </c>
      <c r="Q58" s="22">
        <f t="shared" si="53"/>
        <v>268.780037569483</v>
      </c>
      <c r="R58" s="62">
        <f t="shared" si="0"/>
        <v>527.10249304995432</v>
      </c>
      <c r="S58" s="62">
        <f ca="1">AVERAGE(OFFSET($R$3,0,0,'Données projet'!$E$9+1,1))-AVERAGE(OFFSET($H$3,0,0,'Données projet'!$E$9+1,1))</f>
        <v>316.32768907844184</v>
      </c>
      <c r="T58" s="62">
        <f t="shared" si="34"/>
        <v>165.80901858372513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14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5.6</v>
      </c>
      <c r="N59" s="14">
        <f>IF('Données projet'!$A$36&gt;35,N58+M59-V58,IF(A59&lt;'Données projet'!$A$36,$K$205^A59,IF(A59='Données projet'!$A$36,'Données projet'!$B$36,N58+M59-V58)))</f>
        <v>126.59999999999994</v>
      </c>
      <c r="O59" s="14">
        <f>N59*VLOOKUP('Données projet'!$B$9,Paramètres!$A$1:$I$89,3,0)*VLOOKUP('Données projet'!$B$9,Paramètres!$A$1:$I$89,5,0)</f>
        <v>114.54767999999993</v>
      </c>
      <c r="P59" s="14">
        <f t="shared" si="33"/>
        <v>30.399914169186722</v>
      </c>
      <c r="Q59" s="22">
        <f t="shared" si="53"/>
        <v>252.4503931780001</v>
      </c>
      <c r="R59" s="62">
        <f t="shared" si="0"/>
        <v>511.38020911662181</v>
      </c>
      <c r="S59" s="62">
        <f ca="1">AVERAGE(OFFSET($R$3,0,0,'Données projet'!$E$9+1,1))-AVERAGE(OFFSET($H$3,0,0,'Données projet'!$E$9+1,1))</f>
        <v>316.32768907844184</v>
      </c>
      <c r="T59" s="62">
        <f t="shared" si="34"/>
        <v>165.80901858372513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5.6</v>
      </c>
      <c r="N60" s="14">
        <f>IF('Données projet'!$A$36&gt;35,N59+M60-V59,IF(A60&lt;'Données projet'!$A$36,$K$205^A60,IF(A60='Données projet'!$A$36,'Données projet'!$B$36,N59+M60-V59)))</f>
        <v>132.19999999999993</v>
      </c>
      <c r="O60" s="14">
        <f>N60*VLOOKUP('Données projet'!$B$9,Paramètres!$A$1:$I$89,3,0)*VLOOKUP('Données projet'!$B$9,Paramètres!$A$1:$I$89,5,0)</f>
        <v>119.61455999999994</v>
      </c>
      <c r="P60" s="14">
        <f t="shared" si="33"/>
        <v>31.585084918340712</v>
      </c>
      <c r="Q60" s="22">
        <f t="shared" si="53"/>
        <v>263.33938156610992</v>
      </c>
      <c r="R60" s="62">
        <f t="shared" si="0"/>
        <v>522.86602161678763</v>
      </c>
      <c r="S60" s="62">
        <f ca="1">AVERAGE(OFFSET($R$3,0,0,'Données projet'!$E$9+1,1))-AVERAGE(OFFSET($H$3,0,0,'Données projet'!$E$9+1,1))</f>
        <v>316.32768907844184</v>
      </c>
      <c r="T60" s="62">
        <f t="shared" si="34"/>
        <v>165.80901858372513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5.6</v>
      </c>
      <c r="N61" s="14">
        <f>IF('Données projet'!$A$36&gt;35,N60+M61-V60,IF(A61&lt;'Données projet'!$A$36,$K$205^A61,IF(A61='Données projet'!$A$36,'Données projet'!$B$36,N60+M61-V60)))</f>
        <v>137.79999999999993</v>
      </c>
      <c r="O61" s="14">
        <f>N61*VLOOKUP('Données projet'!$B$9,Paramètres!$A$1:$I$89,3,0)*VLOOKUP('Données projet'!$B$9,Paramètres!$A$1:$I$89,5,0)</f>
        <v>124.68143999999992</v>
      </c>
      <c r="P61" s="14">
        <f t="shared" si="33"/>
        <v>32.764424474585724</v>
      </c>
      <c r="Q61" s="22">
        <f t="shared" si="53"/>
        <v>274.21821395990332</v>
      </c>
      <c r="R61" s="62">
        <f t="shared" si="0"/>
        <v>534.33132455859175</v>
      </c>
      <c r="S61" s="62">
        <f ca="1">AVERAGE(OFFSET($R$3,0,0,'Données projet'!$E$9+1,1))-AVERAGE(OFFSET($H$3,0,0,'Données projet'!$E$9+1,1))</f>
        <v>316.32768907844184</v>
      </c>
      <c r="T61" s="62">
        <f t="shared" si="34"/>
        <v>165.80901858372513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5.6</v>
      </c>
      <c r="N62" s="14">
        <f>IF('Données projet'!$A$36&gt;35,N61+M62-V61,IF(A62&lt;'Données projet'!$A$36,$K$205^A62,IF(A62='Données projet'!$A$36,'Données projet'!$B$36,N61+M62-V61)))</f>
        <v>143.39999999999992</v>
      </c>
      <c r="O62" s="14">
        <f>N62*VLOOKUP('Données projet'!$B$9,Paramètres!$A$1:$I$89,3,0)*VLOOKUP('Données projet'!$B$9,Paramètres!$A$1:$I$89,5,0)</f>
        <v>129.74831999999992</v>
      </c>
      <c r="P62" s="14">
        <f t="shared" si="33"/>
        <v>33.938196916407662</v>
      </c>
      <c r="Q62" s="22">
        <f t="shared" si="53"/>
        <v>285.08735029607652</v>
      </c>
      <c r="R62" s="62">
        <f t="shared" si="0"/>
        <v>545.77675748991931</v>
      </c>
      <c r="S62" s="62">
        <f ca="1">AVERAGE(OFFSET($R$3,0,0,'Données projet'!$E$9+1,1))-AVERAGE(OFFSET($H$3,0,0,'Données projet'!$E$9+1,1))</f>
        <v>316.32768907844184</v>
      </c>
      <c r="T62" s="62">
        <f t="shared" si="34"/>
        <v>165.80901858372513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149</v>
      </c>
      <c r="L63" s="13">
        <f>VLOOKUP(A63,'Données projet'!$A$35:$I$55,9,0)</f>
        <v>5.6</v>
      </c>
      <c r="M63" s="13">
        <f t="array" ref="M63">INDEX(L:L,MIN(IF(ISNUMBER(L63:L259),ROW(L63:L259),"")))</f>
        <v>5.6</v>
      </c>
      <c r="N63" s="14">
        <f>IF('Données projet'!$A$36&gt;35,N62+M63-V62,IF(A63&lt;'Données projet'!$A$36,$K$205^A63,IF(A63='Données projet'!$A$36,'Données projet'!$B$36,N62+M63-V62)))</f>
        <v>148.99999999999991</v>
      </c>
      <c r="O63" s="14">
        <f>N63*VLOOKUP('Données projet'!$B$9,Paramètres!$A$1:$I$89,3,0)*VLOOKUP('Données projet'!$B$9,Paramètres!$A$1:$I$89,5,0)</f>
        <v>134.81519999999992</v>
      </c>
      <c r="P63" s="14">
        <f t="shared" si="33"/>
        <v>35.106644529103363</v>
      </c>
      <c r="Q63" s="22">
        <f t="shared" si="53"/>
        <v>295.94721255485484</v>
      </c>
      <c r="R63" s="62">
        <f t="shared" si="0"/>
        <v>557.20291888633233</v>
      </c>
      <c r="S63" s="62">
        <f ca="1">AVERAGE(OFFSET($R$3,0,0,'Données projet'!$E$9+1,1))-AVERAGE(OFFSET($H$3,0,0,'Données projet'!$E$9+1,1))</f>
        <v>316.32768907844184</v>
      </c>
      <c r="T63" s="62">
        <f t="shared" si="34"/>
        <v>165.80901858372513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14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5.2</v>
      </c>
      <c r="N64" s="14">
        <f>IF('Données projet'!$A$36&gt;35,N63+M64-V63,IF(A64&lt;'Données projet'!$A$36,$K$205^A64,IF(A64='Données projet'!$A$36,'Données projet'!$B$36,N63+M64-V63)))</f>
        <v>140.1999999999999</v>
      </c>
      <c r="O64" s="14">
        <f>N64*VLOOKUP('Données projet'!$B$9,Paramètres!$A$1:$I$89,3,0)*VLOOKUP('Données projet'!$B$9,Paramètres!$A$1:$I$89,5,0)</f>
        <v>126.8529599999999</v>
      </c>
      <c r="P64" s="14">
        <f t="shared" si="33"/>
        <v>33.268136897998609</v>
      </c>
      <c r="Q64" s="22">
        <f t="shared" si="53"/>
        <v>278.87757709734746</v>
      </c>
      <c r="R64" s="62">
        <f t="shared" si="0"/>
        <v>540.68975854247674</v>
      </c>
      <c r="S64" s="62">
        <f ca="1">AVERAGE(OFFSET($R$3,0,0,'Données projet'!$E$9+1,1))-AVERAGE(OFFSET($H$3,0,0,'Données projet'!$E$9+1,1))</f>
        <v>316.32768907844184</v>
      </c>
      <c r="T64" s="62">
        <f t="shared" si="34"/>
        <v>165.80901858372513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5.2</v>
      </c>
      <c r="N65" s="14">
        <f>IF('Données projet'!$A$36&gt;35,N64+M65-V64,IF(A65&lt;'Données projet'!$A$36,$K$205^A65,IF(A65='Données projet'!$A$36,'Données projet'!$B$36,N64+M65-V64)))</f>
        <v>145.39999999999989</v>
      </c>
      <c r="O65" s="14">
        <f>N65*VLOOKUP('Données projet'!$B$9,Paramètres!$A$1:$I$89,3,0)*VLOOKUP('Données projet'!$B$9,Paramètres!$A$1:$I$89,5,0)</f>
        <v>131.55791999999991</v>
      </c>
      <c r="P65" s="14">
        <f t="shared" si="33"/>
        <v>34.3560989338864</v>
      </c>
      <c r="Q65" s="22">
        <f t="shared" si="53"/>
        <v>288.96691630985202</v>
      </c>
      <c r="R65" s="62">
        <f t="shared" si="0"/>
        <v>551.3259192695034</v>
      </c>
      <c r="S65" s="62">
        <f ca="1">AVERAGE(OFFSET($R$3,0,0,'Données projet'!$E$9+1,1))-AVERAGE(OFFSET($H$3,0,0,'Données projet'!$E$9+1,1))</f>
        <v>316.32768907844184</v>
      </c>
      <c r="T65" s="62">
        <f t="shared" si="34"/>
        <v>165.80901858372513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5.2</v>
      </c>
      <c r="N66" s="14">
        <f>IF('Données projet'!$A$36&gt;35,N65+M66-V65,IF(A66&lt;'Données projet'!$A$36,$K$205^A66,IF(A66='Données projet'!$A$36,'Données projet'!$B$36,N65+M66-V65)))</f>
        <v>150.59999999999988</v>
      </c>
      <c r="O66" s="14">
        <f>N66*VLOOKUP('Données projet'!$B$9,Paramètres!$A$1:$I$89,3,0)*VLOOKUP('Données projet'!$B$9,Paramètres!$A$1:$I$89,5,0)</f>
        <v>136.26287999999988</v>
      </c>
      <c r="P66" s="14">
        <f t="shared" si="33"/>
        <v>35.439540330824407</v>
      </c>
      <c r="Q66" s="22">
        <f t="shared" si="53"/>
        <v>299.04838207618559</v>
      </c>
      <c r="R66" s="62">
        <f t="shared" si="0"/>
        <v>561.9447204195917</v>
      </c>
      <c r="S66" s="62">
        <f ca="1">AVERAGE(OFFSET($R$3,0,0,'Données projet'!$E$9+1,1))-AVERAGE(OFFSET($H$3,0,0,'Données projet'!$E$9+1,1))</f>
        <v>316.32768907844184</v>
      </c>
      <c r="T66" s="62">
        <f t="shared" si="34"/>
        <v>165.80901858372513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5.2</v>
      </c>
      <c r="N67" s="14">
        <f>IF('Données projet'!$A$36&gt;35,N66+M67-V66,IF(A67&lt;'Données projet'!$A$36,$K$205^A67,IF(A67='Données projet'!$A$36,'Données projet'!$B$36,N66+M67-V66)))</f>
        <v>155.79999999999987</v>
      </c>
      <c r="O67" s="14">
        <f>N67*VLOOKUP('Données projet'!$B$9,Paramètres!$A$1:$I$89,3,0)*VLOOKUP('Données projet'!$B$9,Paramètres!$A$1:$I$89,5,0)</f>
        <v>140.96783999999988</v>
      </c>
      <c r="P67" s="14">
        <f t="shared" si="33"/>
        <v>36.518635069479657</v>
      </c>
      <c r="Q67" s="22">
        <f t="shared" ref="Q67:Q98" si="54">(O67+P67)*0.475*44/12</f>
        <v>309.12227741267685</v>
      </c>
      <c r="R67" s="62">
        <f t="shared" ref="R67:R130" si="55">Q67+(I67+J67)*44/12</f>
        <v>572.54662957223161</v>
      </c>
      <c r="S67" s="62">
        <f ca="1">AVERAGE(OFFSET($R$3,0,0,'Données projet'!$E$9+1,1))-AVERAGE(OFFSET($H$3,0,0,'Données projet'!$E$9+1,1))</f>
        <v>316.32768907844184</v>
      </c>
      <c r="T67" s="62">
        <f t="shared" si="34"/>
        <v>165.80901858372513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161</v>
      </c>
      <c r="L68" s="13">
        <f>VLOOKUP(A68,'Données projet'!$A$35:$I$55,9,0)</f>
        <v>5.2</v>
      </c>
      <c r="M68" s="13">
        <f t="array" ref="M68">INDEX(L:L,MIN(IF(ISNUMBER(L68:L264),ROW(L68:L264),"")))</f>
        <v>5.2</v>
      </c>
      <c r="N68" s="14">
        <f>IF('Données projet'!$A$36&gt;35,N67+M68-V67,IF(A68&lt;'Données projet'!$A$36,$K$205^A68,IF(A68='Données projet'!$A$36,'Données projet'!$B$36,N67+M68-V67)))</f>
        <v>160.99999999999986</v>
      </c>
      <c r="O68" s="14">
        <f>N68*VLOOKUP('Données projet'!$B$9,Paramètres!$A$1:$I$89,3,0)*VLOOKUP('Données projet'!$B$9,Paramètres!$A$1:$I$89,5,0)</f>
        <v>145.67279999999985</v>
      </c>
      <c r="P68" s="14">
        <f t="shared" si="33"/>
        <v>37.593544857919696</v>
      </c>
      <c r="Q68" s="22">
        <f t="shared" si="54"/>
        <v>319.18888396087652</v>
      </c>
      <c r="R68" s="62">
        <f t="shared" si="55"/>
        <v>583.13209007733167</v>
      </c>
      <c r="S68" s="62">
        <f ca="1">AVERAGE(OFFSET($R$3,0,0,'Données projet'!$E$9+1,1))-AVERAGE(OFFSET($H$3,0,0,'Données projet'!$E$9+1,1))</f>
        <v>316.32768907844184</v>
      </c>
      <c r="T68" s="62">
        <f t="shared" si="34"/>
        <v>165.80901858372513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14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5.2</v>
      </c>
      <c r="N69" s="14">
        <f>IF('Données projet'!$A$36&gt;35,N68+M69-V68,IF(A69&lt;'Données projet'!$A$36,$K$205^A69,IF(A69='Données projet'!$A$36,'Données projet'!$B$36,N68+M69-V68)))</f>
        <v>152.19999999999985</v>
      </c>
      <c r="O69" s="14">
        <f>N69*VLOOKUP('Données projet'!$B$9,Paramètres!$A$1:$I$89,3,0)*VLOOKUP('Données projet'!$B$9,Paramètres!$A$1:$I$89,5,0)</f>
        <v>137.71055999999987</v>
      </c>
      <c r="P69" s="14">
        <f t="shared" ref="P69:P132" si="87">EXP(-1.0587+0.8836*LN(O69)+0.284)</f>
        <v>35.772024702085204</v>
      </c>
      <c r="Q69" s="22">
        <f t="shared" si="54"/>
        <v>302.14883502279821</v>
      </c>
      <c r="R69" s="62">
        <f t="shared" si="55"/>
        <v>566.60189413998523</v>
      </c>
      <c r="S69" s="62">
        <f ca="1">AVERAGE(OFFSET($R$3,0,0,'Données projet'!$E$9+1,1))-AVERAGE(OFFSET($H$3,0,0,'Données projet'!$E$9+1,1))</f>
        <v>316.32768907844184</v>
      </c>
      <c r="T69" s="62">
        <f t="shared" ref="T69:T132" si="88">$T$3</f>
        <v>165.80901858372513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5.2</v>
      </c>
      <c r="N70" s="14">
        <f>IF('Données projet'!$A$36&gt;35,N69+M70-V69,IF(A70&lt;'Données projet'!$A$36,$K$205^A70,IF(A70='Données projet'!$A$36,'Données projet'!$B$36,N69+M70-V69)))</f>
        <v>157.39999999999984</v>
      </c>
      <c r="O70" s="14">
        <f>N70*VLOOKUP('Données projet'!$B$9,Paramètres!$A$1:$I$89,3,0)*VLOOKUP('Données projet'!$B$9,Paramètres!$A$1:$I$89,5,0)</f>
        <v>142.41551999999984</v>
      </c>
      <c r="P70" s="14">
        <f t="shared" si="87"/>
        <v>36.849815075587657</v>
      </c>
      <c r="Q70" s="22">
        <f t="shared" si="54"/>
        <v>312.22045858998155</v>
      </c>
      <c r="R70" s="62">
        <f t="shared" si="55"/>
        <v>577.17452589819845</v>
      </c>
      <c r="S70" s="62">
        <f ca="1">AVERAGE(OFFSET($R$3,0,0,'Données projet'!$E$9+1,1))-AVERAGE(OFFSET($H$3,0,0,'Données projet'!$E$9+1,1))</f>
        <v>316.32768907844184</v>
      </c>
      <c r="T70" s="62">
        <f t="shared" si="88"/>
        <v>165.80901858372513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5.2</v>
      </c>
      <c r="N71" s="14">
        <f>IF('Données projet'!$A$36&gt;35,N70+M71-V70,IF(A71&lt;'Données projet'!$A$36,$K$205^A71,IF(A71='Données projet'!$A$36,'Données projet'!$B$36,N70+M71-V70)))</f>
        <v>162.59999999999982</v>
      </c>
      <c r="O71" s="14">
        <f>N71*VLOOKUP('Données projet'!$B$9,Paramètres!$A$1:$I$89,3,0)*VLOOKUP('Données projet'!$B$9,Paramètres!$A$1:$I$89,5,0)</f>
        <v>147.12047999999984</v>
      </c>
      <c r="P71" s="14">
        <f t="shared" si="87"/>
        <v>37.923467981600268</v>
      </c>
      <c r="Q71" s="22">
        <f t="shared" si="54"/>
        <v>322.28487606795352</v>
      </c>
      <c r="R71" s="62">
        <f t="shared" si="55"/>
        <v>587.73126019517235</v>
      </c>
      <c r="S71" s="62">
        <f ca="1">AVERAGE(OFFSET($R$3,0,0,'Données projet'!$E$9+1,1))-AVERAGE(OFFSET($H$3,0,0,'Données projet'!$E$9+1,1))</f>
        <v>316.32768907844184</v>
      </c>
      <c r="T71" s="62">
        <f t="shared" si="88"/>
        <v>165.80901858372513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5.2</v>
      </c>
      <c r="N72" s="14">
        <f>IF('Données projet'!$A$36&gt;35,N71+M72-V71,IF(A72&lt;'Données projet'!$A$36,$K$205^A72,IF(A72='Données projet'!$A$36,'Données projet'!$B$36,N71+M72-V71)))</f>
        <v>167.79999999999981</v>
      </c>
      <c r="O72" s="14">
        <f>N72*VLOOKUP('Données projet'!$B$9,Paramètres!$A$1:$I$89,3,0)*VLOOKUP('Données projet'!$B$9,Paramètres!$A$1:$I$89,5,0)</f>
        <v>151.82543999999982</v>
      </c>
      <c r="P72" s="14">
        <f t="shared" si="87"/>
        <v>38.993130915848106</v>
      </c>
      <c r="Q72" s="22">
        <f t="shared" si="54"/>
        <v>332.34234434510176</v>
      </c>
      <c r="R72" s="62">
        <f t="shared" si="55"/>
        <v>598.27250469516832</v>
      </c>
      <c r="S72" s="62">
        <f ca="1">AVERAGE(OFFSET($R$3,0,0,'Données projet'!$E$9+1,1))-AVERAGE(OFFSET($H$3,0,0,'Données projet'!$E$9+1,1))</f>
        <v>316.32768907844184</v>
      </c>
      <c r="T72" s="62">
        <f t="shared" si="88"/>
        <v>165.80901858372513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173</v>
      </c>
      <c r="L73" s="13">
        <f>VLOOKUP(A73,'Données projet'!$A$35:$I$55,9,0)</f>
        <v>5.2</v>
      </c>
      <c r="M73" s="13">
        <f t="array" ref="M73">INDEX(L:L,MIN(IF(ISNUMBER(L73:L269),ROW(L73:L269),"")))</f>
        <v>5.2</v>
      </c>
      <c r="N73" s="14">
        <f>IF('Données projet'!$A$36&gt;35,N72+M73-V72,IF(A73&lt;'Données projet'!$A$36,$K$205^A73,IF(A73='Données projet'!$A$36,'Données projet'!$B$36,N72+M73-V72)))</f>
        <v>172.9999999999998</v>
      </c>
      <c r="O73" s="14">
        <f>N73*VLOOKUP('Données projet'!$B$9,Paramètres!$A$1:$I$89,3,0)*VLOOKUP('Données projet'!$B$9,Paramètres!$A$1:$I$89,5,0)</f>
        <v>156.53039999999982</v>
      </c>
      <c r="P73" s="14">
        <f t="shared" si="87"/>
        <v>40.058941713181966</v>
      </c>
      <c r="Q73" s="22">
        <f t="shared" si="54"/>
        <v>342.39310348379155</v>
      </c>
      <c r="R73" s="62">
        <f t="shared" si="55"/>
        <v>608.79864762080103</v>
      </c>
      <c r="S73" s="62">
        <f ca="1">AVERAGE(OFFSET($R$3,0,0,'Données projet'!$E$9+1,1))-AVERAGE(OFFSET($H$3,0,0,'Données projet'!$E$9+1,1))</f>
        <v>316.32768907844184</v>
      </c>
      <c r="T73" s="62">
        <f t="shared" si="88"/>
        <v>165.80901858372513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14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4.8</v>
      </c>
      <c r="N74" s="14">
        <f>IF('Données projet'!$A$36&gt;35,N73+M74-V73,IF(A74&lt;'Données projet'!$A$36,$K$205^A74,IF(A74='Données projet'!$A$36,'Données projet'!$B$36,N73+M74-V73)))</f>
        <v>163.79999999999981</v>
      </c>
      <c r="O74" s="14">
        <f>N74*VLOOKUP('Données projet'!$B$9,Paramètres!$A$1:$I$89,3,0)*VLOOKUP('Données projet'!$B$9,Paramètres!$A$1:$I$89,5,0)</f>
        <v>148.20623999999984</v>
      </c>
      <c r="P74" s="14">
        <f t="shared" si="87"/>
        <v>38.170662245893759</v>
      </c>
      <c r="Q74" s="22">
        <f t="shared" si="54"/>
        <v>324.60643807826466</v>
      </c>
      <c r="R74" s="62">
        <f t="shared" si="55"/>
        <v>591.47911915631266</v>
      </c>
      <c r="S74" s="62">
        <f ca="1">AVERAGE(OFFSET($R$3,0,0,'Données projet'!$E$9+1,1))-AVERAGE(OFFSET($H$3,0,0,'Données projet'!$E$9+1,1))</f>
        <v>316.32768907844184</v>
      </c>
      <c r="T74" s="62">
        <f t="shared" si="88"/>
        <v>165.80901858372513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4.8</v>
      </c>
      <c r="N75" s="14">
        <f>IF('Données projet'!$A$36&gt;35,N74+M75-V74,IF(A75&lt;'Données projet'!$A$36,$K$205^A75,IF(A75='Données projet'!$A$36,'Données projet'!$B$36,N74+M75-V74)))</f>
        <v>168.59999999999982</v>
      </c>
      <c r="O75" s="14">
        <f>N75*VLOOKUP('Données projet'!$B$9,Paramètres!$A$1:$I$89,3,0)*VLOOKUP('Données projet'!$B$9,Paramètres!$A$1:$I$89,5,0)</f>
        <v>152.54927999999984</v>
      </c>
      <c r="P75" s="14">
        <f t="shared" si="87"/>
        <v>39.157349210214015</v>
      </c>
      <c r="Q75" s="22">
        <f t="shared" si="54"/>
        <v>333.8890458744558</v>
      </c>
      <c r="R75" s="62">
        <f t="shared" si="55"/>
        <v>601.22076011197692</v>
      </c>
      <c r="S75" s="62">
        <f ca="1">AVERAGE(OFFSET($R$3,0,0,'Données projet'!$E$9+1,1))-AVERAGE(OFFSET($H$3,0,0,'Données projet'!$E$9+1,1))</f>
        <v>316.32768907844184</v>
      </c>
      <c r="T75" s="62">
        <f t="shared" si="88"/>
        <v>165.80901858372513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4.8</v>
      </c>
      <c r="N76" s="14">
        <f>IF('Données projet'!$A$36&gt;35,N75+M76-V75,IF(A76&lt;'Données projet'!$A$36,$K$205^A76,IF(A76='Données projet'!$A$36,'Données projet'!$B$36,N75+M76-V75)))</f>
        <v>173.39999999999984</v>
      </c>
      <c r="O76" s="14">
        <f>N76*VLOOKUP('Données projet'!$B$9,Paramètres!$A$1:$I$89,3,0)*VLOOKUP('Données projet'!$B$9,Paramètres!$A$1:$I$89,5,0)</f>
        <v>156.89231999999984</v>
      </c>
      <c r="P76" s="14">
        <f t="shared" si="87"/>
        <v>40.140771359113252</v>
      </c>
      <c r="Q76" s="22">
        <f t="shared" si="54"/>
        <v>343.1659674504553</v>
      </c>
      <c r="R76" s="62">
        <f t="shared" si="55"/>
        <v>610.94875164837708</v>
      </c>
      <c r="S76" s="62">
        <f ca="1">AVERAGE(OFFSET($R$3,0,0,'Données projet'!$E$9+1,1))-AVERAGE(OFFSET($H$3,0,0,'Données projet'!$E$9+1,1))</f>
        <v>316.32768907844184</v>
      </c>
      <c r="T76" s="62">
        <f t="shared" si="88"/>
        <v>165.80901858372513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4.8</v>
      </c>
      <c r="N77" s="14">
        <f>IF('Données projet'!$A$36&gt;35,N76+M77-V76,IF(A77&lt;'Données projet'!$A$36,$K$205^A77,IF(A77='Données projet'!$A$36,'Données projet'!$B$36,N76+M77-V76)))</f>
        <v>178.19999999999985</v>
      </c>
      <c r="O77" s="14">
        <f>N77*VLOOKUP('Données projet'!$B$9,Paramètres!$A$1:$I$89,3,0)*VLOOKUP('Données projet'!$B$9,Paramètres!$A$1:$I$89,5,0)</f>
        <v>161.23535999999987</v>
      </c>
      <c r="P77" s="14">
        <f t="shared" si="87"/>
        <v>41.121029451505379</v>
      </c>
      <c r="Q77" s="22">
        <f t="shared" si="54"/>
        <v>352.43737829470501</v>
      </c>
      <c r="R77" s="62">
        <f t="shared" si="55"/>
        <v>620.66340739765587</v>
      </c>
      <c r="S77" s="62">
        <f ca="1">AVERAGE(OFFSET($R$3,0,0,'Données projet'!$E$9+1,1))-AVERAGE(OFFSET($H$3,0,0,'Données projet'!$E$9+1,1))</f>
        <v>316.32768907844184</v>
      </c>
      <c r="T77" s="62">
        <f t="shared" si="88"/>
        <v>165.80901858372513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183</v>
      </c>
      <c r="L78" s="13">
        <f>VLOOKUP(A78,'Données projet'!$A$35:$I$55,9,0)</f>
        <v>4.8</v>
      </c>
      <c r="M78" s="13">
        <f t="array" ref="M78">INDEX(L:L,MIN(IF(ISNUMBER(L78:L274),ROW(L78:L274),"")))</f>
        <v>4.8</v>
      </c>
      <c r="N78" s="14">
        <f>IF('Données projet'!$A$36&gt;35,N77+M78-V77,IF(A78&lt;'Données projet'!$A$36,$K$205^A78,IF(A78='Données projet'!$A$36,'Données projet'!$B$36,N77+M78-V77)))</f>
        <v>182.99999999999986</v>
      </c>
      <c r="O78" s="14">
        <f>N78*VLOOKUP('Données projet'!$B$9,Paramètres!$A$1:$I$89,3,0)*VLOOKUP('Données projet'!$B$9,Paramètres!$A$1:$I$89,5,0)</f>
        <v>165.57839999999987</v>
      </c>
      <c r="P78" s="14">
        <f t="shared" si="87"/>
        <v>42.098218509199661</v>
      </c>
      <c r="Q78" s="22">
        <f t="shared" si="54"/>
        <v>361.70344390352244</v>
      </c>
      <c r="R78" s="62">
        <f t="shared" si="55"/>
        <v>630.36502860334724</v>
      </c>
      <c r="S78" s="62">
        <f ca="1">AVERAGE(OFFSET($R$3,0,0,'Données projet'!$E$9+1,1))-AVERAGE(OFFSET($H$3,0,0,'Données projet'!$E$9+1,1))</f>
        <v>316.32768907844184</v>
      </c>
      <c r="T78" s="62">
        <f t="shared" si="88"/>
        <v>165.80901858372513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14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4.5999999999999996</v>
      </c>
      <c r="N79" s="14">
        <f>IF('Données projet'!$A$36&gt;35,N78+M79-V78,IF(A79&lt;'Données projet'!$A$36,$K$205^A79,IF(A79='Données projet'!$A$36,'Données projet'!$B$36,N78+M79-V78)))</f>
        <v>173.59999999999985</v>
      </c>
      <c r="O79" s="14">
        <f>N79*VLOOKUP('Données projet'!$B$9,Paramètres!$A$1:$I$89,3,0)*VLOOKUP('Données projet'!$B$9,Paramètres!$A$1:$I$89,5,0)</f>
        <v>157.07327999999984</v>
      </c>
      <c r="P79" s="14">
        <f t="shared" si="87"/>
        <v>40.181677940049205</v>
      </c>
      <c r="Q79" s="22">
        <f t="shared" si="54"/>
        <v>343.5523850789188</v>
      </c>
      <c r="R79" s="62">
        <f t="shared" si="55"/>
        <v>612.64196945976823</v>
      </c>
      <c r="S79" s="62">
        <f ca="1">AVERAGE(OFFSET($R$3,0,0,'Données projet'!$E$9+1,1))-AVERAGE(OFFSET($H$3,0,0,'Données projet'!$E$9+1,1))</f>
        <v>316.32768907844184</v>
      </c>
      <c r="T79" s="62">
        <f t="shared" si="88"/>
        <v>165.80901858372513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4.5999999999999996</v>
      </c>
      <c r="N80" s="14">
        <f>IF('Données projet'!$A$36&gt;35,N79+M80-V79,IF(A80&lt;'Données projet'!$A$36,$K$205^A80,IF(A80='Données projet'!$A$36,'Données projet'!$B$36,N79+M80-V79)))</f>
        <v>178.19999999999985</v>
      </c>
      <c r="O80" s="14">
        <f>N80*VLOOKUP('Données projet'!$B$9,Paramètres!$A$1:$I$89,3,0)*VLOOKUP('Données projet'!$B$9,Paramètres!$A$1:$I$89,5,0)</f>
        <v>161.23535999999987</v>
      </c>
      <c r="P80" s="14">
        <f t="shared" si="87"/>
        <v>41.121029451505379</v>
      </c>
      <c r="Q80" s="22">
        <f t="shared" si="54"/>
        <v>352.43737829470501</v>
      </c>
      <c r="R80" s="62">
        <f t="shared" si="55"/>
        <v>621.94753751897724</v>
      </c>
      <c r="S80" s="62">
        <f ca="1">AVERAGE(OFFSET($R$3,0,0,'Données projet'!$E$9+1,1))-AVERAGE(OFFSET($H$3,0,0,'Données projet'!$E$9+1,1))</f>
        <v>316.32768907844184</v>
      </c>
      <c r="T80" s="62">
        <f t="shared" si="88"/>
        <v>165.80901858372513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4.5999999999999996</v>
      </c>
      <c r="N81" s="14">
        <f>IF('Données projet'!$A$36&gt;35,N80+M81-V80,IF(A81&lt;'Données projet'!$A$36,$K$205^A81,IF(A81='Données projet'!$A$36,'Données projet'!$B$36,N80+M81-V80)))</f>
        <v>182.79999999999984</v>
      </c>
      <c r="O81" s="14">
        <f>N81*VLOOKUP('Données projet'!$B$9,Paramètres!$A$1:$I$89,3,0)*VLOOKUP('Données projet'!$B$9,Paramètres!$A$1:$I$89,5,0)</f>
        <v>165.39743999999985</v>
      </c>
      <c r="P81" s="14">
        <f t="shared" si="87"/>
        <v>42.057562385840768</v>
      </c>
      <c r="Q81" s="22">
        <f t="shared" si="54"/>
        <v>361.31746248867233</v>
      </c>
      <c r="R81" s="62">
        <f t="shared" si="55"/>
        <v>631.24090052309862</v>
      </c>
      <c r="S81" s="62">
        <f ca="1">AVERAGE(OFFSET($R$3,0,0,'Données projet'!$E$9+1,1))-AVERAGE(OFFSET($H$3,0,0,'Données projet'!$E$9+1,1))</f>
        <v>316.32768907844184</v>
      </c>
      <c r="T81" s="62">
        <f t="shared" si="88"/>
        <v>165.80901858372513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4.5999999999999996</v>
      </c>
      <c r="N82" s="14">
        <f>IF('Données projet'!$A$36&gt;35,N81+M82-V81,IF(A82&lt;'Données projet'!$A$36,$K$205^A82,IF(A82='Données projet'!$A$36,'Données projet'!$B$36,N81+M82-V81)))</f>
        <v>187.39999999999984</v>
      </c>
      <c r="O82" s="14">
        <f>N82*VLOOKUP('Données projet'!$B$9,Paramètres!$A$1:$I$89,3,0)*VLOOKUP('Données projet'!$B$9,Paramètres!$A$1:$I$89,5,0)</f>
        <v>169.55951999999985</v>
      </c>
      <c r="P82" s="14">
        <f t="shared" si="87"/>
        <v>42.991355826984922</v>
      </c>
      <c r="Q82" s="22">
        <f t="shared" si="54"/>
        <v>370.19277539866516</v>
      </c>
      <c r="R82" s="62">
        <f t="shared" si="55"/>
        <v>640.52232277984217</v>
      </c>
      <c r="S82" s="62">
        <f ca="1">AVERAGE(OFFSET($R$3,0,0,'Données projet'!$E$9+1,1))-AVERAGE(OFFSET($H$3,0,0,'Données projet'!$E$9+1,1))</f>
        <v>316.32768907844184</v>
      </c>
      <c r="T82" s="62">
        <f t="shared" si="88"/>
        <v>165.80901858372513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192</v>
      </c>
      <c r="L83" s="13">
        <f>VLOOKUP(A83,'Données projet'!$A$35:$I$55,9,0)</f>
        <v>4.5999999999999996</v>
      </c>
      <c r="M83" s="13">
        <f t="array" ref="M83">INDEX(L:L,MIN(IF(ISNUMBER(L83:L279),ROW(L83:L279),"")))</f>
        <v>4.5999999999999996</v>
      </c>
      <c r="N83" s="14">
        <f>IF('Données projet'!$A$36&gt;35,N82+M83-V82,IF(A83&lt;'Données projet'!$A$36,$K$205^A83,IF(A83='Données projet'!$A$36,'Données projet'!$B$36,N82+M83-V82)))</f>
        <v>191.99999999999983</v>
      </c>
      <c r="O83" s="14">
        <f>N83*VLOOKUP('Données projet'!$B$9,Paramètres!$A$1:$I$89,3,0)*VLOOKUP('Données projet'!$B$9,Paramètres!$A$1:$I$89,5,0)</f>
        <v>173.72159999999985</v>
      </c>
      <c r="P83" s="14">
        <f t="shared" si="87"/>
        <v>43.922484755075068</v>
      </c>
      <c r="Q83" s="22">
        <f t="shared" si="54"/>
        <v>379.06344761508876</v>
      </c>
      <c r="R83" s="62">
        <f t="shared" si="55"/>
        <v>649.79205925377482</v>
      </c>
      <c r="S83" s="62">
        <f ca="1">AVERAGE(OFFSET($R$3,0,0,'Données projet'!$E$9+1,1))-AVERAGE(OFFSET($H$3,0,0,'Données projet'!$E$9+1,1))</f>
        <v>316.32768907844184</v>
      </c>
      <c r="T83" s="62">
        <f t="shared" si="88"/>
        <v>165.80901858372513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14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4.4000000000000004</v>
      </c>
      <c r="N84" s="14">
        <f>IF('Données projet'!$A$36&gt;35,N83+M84-V83,IF(A84&lt;'Données projet'!$A$36,$K$205^A84,IF(A84='Données projet'!$A$36,'Données projet'!$B$36,N83+M84-V83)))</f>
        <v>182.39999999999984</v>
      </c>
      <c r="O84" s="14">
        <f>N84*VLOOKUP('Données projet'!$B$9,Paramètres!$A$1:$I$89,3,0)*VLOOKUP('Données projet'!$B$9,Paramètres!$A$1:$I$89,5,0)</f>
        <v>165.03551999999985</v>
      </c>
      <c r="P84" s="14">
        <f t="shared" si="87"/>
        <v>41.976234598846482</v>
      </c>
      <c r="Q84" s="22">
        <f t="shared" si="54"/>
        <v>360.54547259299062</v>
      </c>
      <c r="R84" s="62">
        <f t="shared" si="55"/>
        <v>631.66622561649206</v>
      </c>
      <c r="S84" s="62">
        <f ca="1">AVERAGE(OFFSET($R$3,0,0,'Données projet'!$E$9+1,1))-AVERAGE(OFFSET($H$3,0,0,'Données projet'!$E$9+1,1))</f>
        <v>316.32768907844184</v>
      </c>
      <c r="T84" s="62">
        <f t="shared" si="88"/>
        <v>165.80901858372513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4.4000000000000004</v>
      </c>
      <c r="N85" s="14">
        <f>IF('Données projet'!$A$36&gt;35,N84+M85-V84,IF(A85&lt;'Données projet'!$A$36,$K$205^A85,IF(A85='Données projet'!$A$36,'Données projet'!$B$36,N84+M85-V84)))</f>
        <v>186.79999999999984</v>
      </c>
      <c r="O85" s="14">
        <f>N85*VLOOKUP('Données projet'!$B$9,Paramètres!$A$1:$I$89,3,0)*VLOOKUP('Données projet'!$B$9,Paramètres!$A$1:$I$89,5,0)</f>
        <v>169.01663999999985</v>
      </c>
      <c r="P85" s="14">
        <f t="shared" si="87"/>
        <v>42.869709352189631</v>
      </c>
      <c r="Q85" s="22">
        <f t="shared" si="54"/>
        <v>369.03539178839668</v>
      </c>
      <c r="R85" s="62">
        <f t="shared" si="55"/>
        <v>640.54148342038366</v>
      </c>
      <c r="S85" s="62">
        <f ca="1">AVERAGE(OFFSET($R$3,0,0,'Données projet'!$E$9+1,1))-AVERAGE(OFFSET($H$3,0,0,'Données projet'!$E$9+1,1))</f>
        <v>316.32768907844184</v>
      </c>
      <c r="T85" s="62">
        <f t="shared" si="88"/>
        <v>165.80901858372513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4.4000000000000004</v>
      </c>
      <c r="N86" s="14">
        <f>IF('Données projet'!$A$36&gt;35,N85+M86-V85,IF(A86&lt;'Données projet'!$A$36,$K$205^A86,IF(A86='Données projet'!$A$36,'Données projet'!$B$36,N85+M86-V85)))</f>
        <v>191.19999999999985</v>
      </c>
      <c r="O86" s="14">
        <f>N86*VLOOKUP('Données projet'!$B$9,Paramètres!$A$1:$I$89,3,0)*VLOOKUP('Données projet'!$B$9,Paramètres!$A$1:$I$89,5,0)</f>
        <v>172.99775999999986</v>
      </c>
      <c r="P86" s="14">
        <f t="shared" si="87"/>
        <v>43.760737531919567</v>
      </c>
      <c r="Q86" s="22">
        <f t="shared" si="54"/>
        <v>377.52104986809292</v>
      </c>
      <c r="R86" s="62">
        <f t="shared" si="55"/>
        <v>649.40579534519634</v>
      </c>
      <c r="S86" s="62">
        <f ca="1">AVERAGE(OFFSET($R$3,0,0,'Données projet'!$E$9+1,1))-AVERAGE(OFFSET($H$3,0,0,'Données projet'!$E$9+1,1))</f>
        <v>316.32768907844184</v>
      </c>
      <c r="T86" s="62">
        <f t="shared" si="88"/>
        <v>165.80901858372513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4.4000000000000004</v>
      </c>
      <c r="N87" s="14">
        <f>IF('Données projet'!$A$36&gt;35,N86+M87-V86,IF(A87&lt;'Données projet'!$A$36,$K$205^A87,IF(A87='Données projet'!$A$36,'Données projet'!$B$36,N86+M87-V86)))</f>
        <v>195.59999999999985</v>
      </c>
      <c r="O87" s="14">
        <f>N87*VLOOKUP('Données projet'!$B$9,Paramètres!$A$1:$I$89,3,0)*VLOOKUP('Données projet'!$B$9,Paramètres!$A$1:$I$89,5,0)</f>
        <v>176.97887999999986</v>
      </c>
      <c r="P87" s="14">
        <f t="shared" si="87"/>
        <v>44.649381920571734</v>
      </c>
      <c r="Q87" s="22">
        <f t="shared" si="54"/>
        <v>386.0025561783288</v>
      </c>
      <c r="R87" s="62">
        <f t="shared" si="55"/>
        <v>658.25938670287906</v>
      </c>
      <c r="S87" s="62">
        <f ca="1">AVERAGE(OFFSET($R$3,0,0,'Données projet'!$E$9+1,1))-AVERAGE(OFFSET($H$3,0,0,'Données projet'!$E$9+1,1))</f>
        <v>316.32768907844184</v>
      </c>
      <c r="T87" s="62">
        <f t="shared" si="88"/>
        <v>165.80901858372513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200</v>
      </c>
      <c r="L88" s="13">
        <f>VLOOKUP(A88,'Données projet'!$A$35:$I$55,9,0)</f>
        <v>4.4000000000000004</v>
      </c>
      <c r="M88" s="13">
        <f t="array" ref="M88">INDEX(L:L,MIN(IF(ISNUMBER(L88:L284),ROW(L88:L284),"")))</f>
        <v>4.4000000000000004</v>
      </c>
      <c r="N88" s="14">
        <f>IF('Données projet'!$A$36&gt;35,N87+M88-V87,IF(A88&lt;'Données projet'!$A$36,$K$205^A88,IF(A88='Données projet'!$A$36,'Données projet'!$B$36,N87+M88-V87)))</f>
        <v>199.99999999999986</v>
      </c>
      <c r="O88" s="14">
        <f>N88*VLOOKUP('Données projet'!$B$9,Paramètres!$A$1:$I$89,3,0)*VLOOKUP('Données projet'!$B$9,Paramètres!$A$1:$I$89,5,0)</f>
        <v>180.95999999999987</v>
      </c>
      <c r="P88" s="14">
        <f t="shared" si="87"/>
        <v>45.53570231487172</v>
      </c>
      <c r="Q88" s="22">
        <f t="shared" si="54"/>
        <v>394.48001486506797</v>
      </c>
      <c r="R88" s="62">
        <f t="shared" si="55"/>
        <v>667.10247559334948</v>
      </c>
      <c r="S88" s="62">
        <f ca="1">AVERAGE(OFFSET($R$3,0,0,'Données projet'!$E$9+1,1))-AVERAGE(OFFSET($H$3,0,0,'Données projet'!$E$9+1,1))</f>
        <v>316.32768907844184</v>
      </c>
      <c r="T88" s="62">
        <f t="shared" si="88"/>
        <v>165.80901858372513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14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4.2</v>
      </c>
      <c r="N89" s="14">
        <f>IF('Données projet'!$A$36&gt;35,N88+M89-V88,IF(A89&lt;'Données projet'!$A$36,$K$205^A89,IF(A89='Données projet'!$A$36,'Données projet'!$B$36,N88+M89-V88)))</f>
        <v>190.19999999999985</v>
      </c>
      <c r="O89" s="14">
        <f>N89*VLOOKUP('Données projet'!$B$9,Paramètres!$A$1:$I$89,3,0)*VLOOKUP('Données projet'!$B$9,Paramètres!$A$1:$I$89,5,0)</f>
        <v>172.09295999999986</v>
      </c>
      <c r="P89" s="14">
        <f t="shared" si="87"/>
        <v>43.558442654163606</v>
      </c>
      <c r="Q89" s="22">
        <f t="shared" si="54"/>
        <v>375.59285962266807</v>
      </c>
      <c r="R89" s="62">
        <f t="shared" si="55"/>
        <v>648.57460768807277</v>
      </c>
      <c r="S89" s="62">
        <f ca="1">AVERAGE(OFFSET($R$3,0,0,'Données projet'!$E$9+1,1))-AVERAGE(OFFSET($H$3,0,0,'Données projet'!$E$9+1,1))</f>
        <v>316.32768907844184</v>
      </c>
      <c r="T89" s="62">
        <f t="shared" si="88"/>
        <v>165.80901858372513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4.2</v>
      </c>
      <c r="N90" s="14">
        <f>IF('Données projet'!$A$36&gt;35,N89+M90-V89,IF(A90&lt;'Données projet'!$A$36,$K$205^A90,IF(A90='Données projet'!$A$36,'Données projet'!$B$36,N89+M90-V89)))</f>
        <v>194.39999999999984</v>
      </c>
      <c r="O90" s="14">
        <f>N90*VLOOKUP('Données projet'!$B$9,Paramètres!$A$1:$I$89,3,0)*VLOOKUP('Données projet'!$B$9,Paramètres!$A$1:$I$89,5,0)</f>
        <v>175.89311999999984</v>
      </c>
      <c r="P90" s="14">
        <f t="shared" si="87"/>
        <v>44.407257302525892</v>
      </c>
      <c r="Q90" s="22">
        <f t="shared" si="54"/>
        <v>383.68982380189891</v>
      </c>
      <c r="R90" s="62">
        <f t="shared" si="55"/>
        <v>657.02462637237375</v>
      </c>
      <c r="S90" s="62">
        <f ca="1">AVERAGE(OFFSET($R$3,0,0,'Données projet'!$E$9+1,1))-AVERAGE(OFFSET($H$3,0,0,'Données projet'!$E$9+1,1))</f>
        <v>316.32768907844184</v>
      </c>
      <c r="T90" s="62">
        <f t="shared" si="88"/>
        <v>165.80901858372513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4.2</v>
      </c>
      <c r="N91" s="14">
        <f>IF('Données projet'!$A$36&gt;35,N90+M91-V90,IF(A91&lt;'Données projet'!$A$36,$K$205^A91,IF(A91='Données projet'!$A$36,'Données projet'!$B$36,N90+M91-V90)))</f>
        <v>198.59999999999982</v>
      </c>
      <c r="O91" s="14">
        <f>N91*VLOOKUP('Données projet'!$B$9,Paramètres!$A$1:$I$89,3,0)*VLOOKUP('Données projet'!$B$9,Paramètres!$A$1:$I$89,5,0)</f>
        <v>179.69327999999985</v>
      </c>
      <c r="P91" s="14">
        <f t="shared" si="87"/>
        <v>45.253939845742266</v>
      </c>
      <c r="Q91" s="22">
        <f t="shared" si="54"/>
        <v>391.78307456466746</v>
      </c>
      <c r="R91" s="62">
        <f t="shared" si="55"/>
        <v>665.46480693386115</v>
      </c>
      <c r="S91" s="62">
        <f ca="1">AVERAGE(OFFSET($R$3,0,0,'Données projet'!$E$9+1,1))-AVERAGE(OFFSET($H$3,0,0,'Données projet'!$E$9+1,1))</f>
        <v>316.32768907844184</v>
      </c>
      <c r="T91" s="62">
        <f t="shared" si="88"/>
        <v>165.80901858372513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4.2</v>
      </c>
      <c r="N92" s="14">
        <f>IF('Données projet'!$A$36&gt;35,N91+M92-V91,IF(A92&lt;'Données projet'!$A$36,$K$205^A92,IF(A92='Données projet'!$A$36,'Données projet'!$B$36,N91+M92-V91)))</f>
        <v>202.79999999999981</v>
      </c>
      <c r="O92" s="14">
        <f>N92*VLOOKUP('Données projet'!$B$9,Paramètres!$A$1:$I$89,3,0)*VLOOKUP('Données projet'!$B$9,Paramètres!$A$1:$I$89,5,0)</f>
        <v>183.49343999999982</v>
      </c>
      <c r="P92" s="14">
        <f t="shared" si="87"/>
        <v>46.098540567769184</v>
      </c>
      <c r="Q92" s="22">
        <f t="shared" si="54"/>
        <v>399.87269948886433</v>
      </c>
      <c r="R92" s="62">
        <f t="shared" si="55"/>
        <v>673.89534320038797</v>
      </c>
      <c r="S92" s="62">
        <f ca="1">AVERAGE(OFFSET($R$3,0,0,'Données projet'!$E$9+1,1))-AVERAGE(OFFSET($H$3,0,0,'Données projet'!$E$9+1,1))</f>
        <v>316.32768907844184</v>
      </c>
      <c r="T92" s="62">
        <f t="shared" si="88"/>
        <v>165.80901858372513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207</v>
      </c>
      <c r="L93" s="13">
        <f>VLOOKUP(A93,'Données projet'!$A$35:$I$55,9,0)</f>
        <v>4.2</v>
      </c>
      <c r="M93" s="13">
        <f t="array" ref="M93">INDEX(L:L,MIN(IF(ISNUMBER(L93:L289),ROW(L93:L289),"")))</f>
        <v>4.2</v>
      </c>
      <c r="N93" s="14">
        <f>IF('Données projet'!$A$36&gt;35,N92+M93-V92,IF(A93&lt;'Données projet'!$A$36,$K$205^A93,IF(A93='Données projet'!$A$36,'Données projet'!$B$36,N92+M93-V92)))</f>
        <v>206.9999999999998</v>
      </c>
      <c r="O93" s="14">
        <f>N93*VLOOKUP('Données projet'!$B$9,Paramètres!$A$1:$I$89,3,0)*VLOOKUP('Données projet'!$B$9,Paramètres!$A$1:$I$89,5,0)</f>
        <v>187.2935999999998</v>
      </c>
      <c r="P93" s="14">
        <f t="shared" si="87"/>
        <v>46.941107550760378</v>
      </c>
      <c r="Q93" s="22">
        <f t="shared" si="54"/>
        <v>407.95878231757393</v>
      </c>
      <c r="R93" s="62">
        <f t="shared" si="55"/>
        <v>682.31642332180161</v>
      </c>
      <c r="S93" s="62">
        <f ca="1">AVERAGE(OFFSET($R$3,0,0,'Données projet'!$E$9+1,1))-AVERAGE(OFFSET($H$3,0,0,'Données projet'!$E$9+1,1))</f>
        <v>316.32768907844184</v>
      </c>
      <c r="T93" s="62">
        <f t="shared" si="88"/>
        <v>165.80901858372513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14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3.8</v>
      </c>
      <c r="N94" s="14">
        <f>IF('Données projet'!$A$36&gt;35,N93+M94-V93,IF(A94&lt;'Données projet'!$A$36,$K$205^A94,IF(A94='Données projet'!$A$36,'Données projet'!$B$36,N93+M94-V93)))</f>
        <v>196.79999999999981</v>
      </c>
      <c r="O94" s="14">
        <f>N94*VLOOKUP('Données projet'!$B$9,Paramètres!$A$1:$I$89,3,0)*VLOOKUP('Données projet'!$B$9,Paramètres!$A$1:$I$89,5,0)</f>
        <v>178.06463999999983</v>
      </c>
      <c r="P94" s="14">
        <f t="shared" si="87"/>
        <v>44.891333695477108</v>
      </c>
      <c r="Q94" s="22">
        <f t="shared" si="54"/>
        <v>388.31498751962232</v>
      </c>
      <c r="R94" s="62">
        <f t="shared" si="55"/>
        <v>663.00181436246737</v>
      </c>
      <c r="S94" s="62">
        <f ca="1">AVERAGE(OFFSET($R$3,0,0,'Données projet'!$E$9+1,1))-AVERAGE(OFFSET($H$3,0,0,'Données projet'!$E$9+1,1))</f>
        <v>316.32768907844184</v>
      </c>
      <c r="T94" s="62">
        <f t="shared" si="88"/>
        <v>165.80901858372513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3.8</v>
      </c>
      <c r="N95" s="14">
        <f>IF('Données projet'!$A$36&gt;35,N94+M95-V94,IF(A95&lt;'Données projet'!$A$36,$K$205^A95,IF(A95='Données projet'!$A$36,'Données projet'!$B$36,N94+M95-V94)))</f>
        <v>200.59999999999982</v>
      </c>
      <c r="O95" s="14">
        <f>N95*VLOOKUP('Données projet'!$B$9,Paramètres!$A$1:$I$89,3,0)*VLOOKUP('Données projet'!$B$9,Paramètres!$A$1:$I$89,5,0)</f>
        <v>181.50287999999983</v>
      </c>
      <c r="P95" s="14">
        <f t="shared" si="87"/>
        <v>45.656387302784616</v>
      </c>
      <c r="Q95" s="22">
        <f t="shared" si="54"/>
        <v>395.63572388568292</v>
      </c>
      <c r="R95" s="62">
        <f t="shared" si="55"/>
        <v>670.64602592879464</v>
      </c>
      <c r="S95" s="62">
        <f ca="1">AVERAGE(OFFSET($R$3,0,0,'Données projet'!$E$9+1,1))-AVERAGE(OFFSET($H$3,0,0,'Données projet'!$E$9+1,1))</f>
        <v>316.32768907844184</v>
      </c>
      <c r="T95" s="62">
        <f t="shared" si="88"/>
        <v>165.80901858372513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3.8</v>
      </c>
      <c r="N96" s="14">
        <f>IF('Données projet'!$A$36&gt;35,N95+M96-V95,IF(A96&lt;'Données projet'!$A$36,$K$205^A96,IF(A96='Données projet'!$A$36,'Données projet'!$B$36,N95+M96-V95)))</f>
        <v>204.39999999999984</v>
      </c>
      <c r="O96" s="14">
        <f>N96*VLOOKUP('Données projet'!$B$9,Paramètres!$A$1:$I$89,3,0)*VLOOKUP('Données projet'!$B$9,Paramètres!$A$1:$I$89,5,0)</f>
        <v>184.94111999999984</v>
      </c>
      <c r="P96" s="14">
        <f t="shared" si="87"/>
        <v>46.419755730249435</v>
      </c>
      <c r="Q96" s="22">
        <f t="shared" si="54"/>
        <v>402.95352523018414</v>
      </c>
      <c r="R96" s="62">
        <f t="shared" si="55"/>
        <v>678.28169090202005</v>
      </c>
      <c r="S96" s="62">
        <f ca="1">AVERAGE(OFFSET($R$3,0,0,'Données projet'!$E$9+1,1))-AVERAGE(OFFSET($H$3,0,0,'Données projet'!$E$9+1,1))</f>
        <v>316.32768907844184</v>
      </c>
      <c r="T96" s="62">
        <f t="shared" si="88"/>
        <v>165.80901858372513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3.8</v>
      </c>
      <c r="N97" s="14">
        <f>IF('Données projet'!$A$36&gt;35,N96+M97-V96,IF(A97&lt;'Données projet'!$A$36,$K$205^A97,IF(A97='Données projet'!$A$36,'Données projet'!$B$36,N96+M97-V96)))</f>
        <v>208.19999999999985</v>
      </c>
      <c r="O97" s="14">
        <f>N97*VLOOKUP('Données projet'!$B$9,Paramètres!$A$1:$I$89,3,0)*VLOOKUP('Données projet'!$B$9,Paramètres!$A$1:$I$89,5,0)</f>
        <v>188.37935999999985</v>
      </c>
      <c r="P97" s="14">
        <f t="shared" si="87"/>
        <v>47.181473920005871</v>
      </c>
      <c r="Q97" s="22">
        <f t="shared" si="54"/>
        <v>410.26845241067667</v>
      </c>
      <c r="R97" s="62">
        <f t="shared" si="55"/>
        <v>685.90896748791511</v>
      </c>
      <c r="S97" s="62">
        <f ca="1">AVERAGE(OFFSET($R$3,0,0,'Données projet'!$E$9+1,1))-AVERAGE(OFFSET($H$3,0,0,'Données projet'!$E$9+1,1))</f>
        <v>316.32768907844184</v>
      </c>
      <c r="T97" s="62">
        <f t="shared" si="88"/>
        <v>165.80901858372513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212</v>
      </c>
      <c r="L98" s="13">
        <f>VLOOKUP(A98,'Données projet'!$A$35:$I$55,9,0)</f>
        <v>3.8</v>
      </c>
      <c r="M98" s="13">
        <f t="array" ref="M98">INDEX(L:L,MIN(IF(ISNUMBER(L98:L294),ROW(L98:L294),"")))</f>
        <v>3.8</v>
      </c>
      <c r="N98" s="14">
        <f>IF('Données projet'!$A$36&gt;35,N97+M98-V97,IF(A98&lt;'Données projet'!$A$36,$K$205^A98,IF(A98='Données projet'!$A$36,'Données projet'!$B$36,N97+M98-V97)))</f>
        <v>211.99999999999986</v>
      </c>
      <c r="O98" s="14">
        <f>N98*VLOOKUP('Données projet'!$B$9,Paramètres!$A$1:$I$89,3,0)*VLOOKUP('Données projet'!$B$9,Paramètres!$A$1:$I$89,5,0)</f>
        <v>191.81759999999986</v>
      </c>
      <c r="P98" s="14">
        <f t="shared" si="87"/>
        <v>47.941575465657095</v>
      </c>
      <c r="Q98" s="22">
        <f t="shared" si="54"/>
        <v>417.58056393601919</v>
      </c>
      <c r="R98" s="62">
        <f t="shared" si="55"/>
        <v>693.52800985478507</v>
      </c>
      <c r="S98" s="62">
        <f ca="1">AVERAGE(OFFSET($R$3,0,0,'Données projet'!$E$9+1,1))-AVERAGE(OFFSET($H$3,0,0,'Données projet'!$E$9+1,1))</f>
        <v>316.32768907844184</v>
      </c>
      <c r="T98" s="62">
        <f t="shared" si="88"/>
        <v>165.80901858372513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14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3.6</v>
      </c>
      <c r="N99" s="14">
        <f>IF('Données projet'!$A$36&gt;35,N98+M99-V98,IF(A99&lt;'Données projet'!$A$36,$K$205^A99,IF(A99='Données projet'!$A$36,'Données projet'!$B$36,N98+M99-V98)))</f>
        <v>201.59999999999985</v>
      </c>
      <c r="O99" s="14">
        <f>N99*VLOOKUP('Données projet'!$B$9,Paramètres!$A$1:$I$89,3,0)*VLOOKUP('Données projet'!$B$9,Paramètres!$A$1:$I$89,5,0)</f>
        <v>182.40767999999986</v>
      </c>
      <c r="P99" s="14">
        <f t="shared" si="87"/>
        <v>45.857435663065878</v>
      </c>
      <c r="Q99" s="22">
        <f t="shared" ref="Q99:Q130" si="107">(O99+P99)*0.475*44/12</f>
        <v>397.56174311317278</v>
      </c>
      <c r="R99" s="62">
        <f t="shared" si="55"/>
        <v>673.81079530956026</v>
      </c>
      <c r="S99" s="62">
        <f ca="1">AVERAGE(OFFSET($R$3,0,0,'Données projet'!$E$9+1,1))-AVERAGE(OFFSET($H$3,0,0,'Données projet'!$E$9+1,1))</f>
        <v>316.32768907844184</v>
      </c>
      <c r="T99" s="62">
        <f t="shared" si="88"/>
        <v>165.80901858372513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3.6</v>
      </c>
      <c r="N100" s="14">
        <f>IF('Données projet'!$A$36&gt;35,N99+M100-V99,IF(A100&lt;'Données projet'!$A$36,$K$205^A100,IF(A100='Données projet'!$A$36,'Données projet'!$B$36,N99+M100-V99)))</f>
        <v>205.19999999999985</v>
      </c>
      <c r="O100" s="14">
        <f>N100*VLOOKUP('Données projet'!$B$9,Paramètres!$A$1:$I$89,3,0)*VLOOKUP('Données projet'!$B$9,Paramètres!$A$1:$I$89,5,0)</f>
        <v>185.66495999999987</v>
      </c>
      <c r="P100" s="14">
        <f t="shared" si="87"/>
        <v>46.580253447083031</v>
      </c>
      <c r="Q100" s="22">
        <f t="shared" si="107"/>
        <v>404.49374675366943</v>
      </c>
      <c r="R100" s="62">
        <f t="shared" si="55"/>
        <v>681.03917303305229</v>
      </c>
      <c r="S100" s="62">
        <f ca="1">AVERAGE(OFFSET($R$3,0,0,'Données projet'!$E$9+1,1))-AVERAGE(OFFSET($H$3,0,0,'Données projet'!$E$9+1,1))</f>
        <v>316.32768907844184</v>
      </c>
      <c r="T100" s="62">
        <f t="shared" si="88"/>
        <v>165.80901858372513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3.6</v>
      </c>
      <c r="N101" s="14">
        <f>IF('Données projet'!$A$36&gt;35,N100+M101-V100,IF(A101&lt;'Données projet'!$A$36,$K$205^A101,IF(A101='Données projet'!$A$36,'Données projet'!$B$36,N100+M101-V100)))</f>
        <v>208.79999999999984</v>
      </c>
      <c r="O101" s="14">
        <f>N101*VLOOKUP('Données projet'!$B$9,Paramètres!$A$1:$I$89,3,0)*VLOOKUP('Données projet'!$B$9,Paramètres!$A$1:$I$89,5,0)</f>
        <v>188.92223999999985</v>
      </c>
      <c r="P101" s="14">
        <f t="shared" si="87"/>
        <v>47.301596587245974</v>
      </c>
      <c r="Q101" s="22">
        <f t="shared" si="107"/>
        <v>411.42318205611974</v>
      </c>
      <c r="R101" s="62">
        <f t="shared" si="55"/>
        <v>688.25984099075117</v>
      </c>
      <c r="S101" s="62">
        <f ca="1">AVERAGE(OFFSET($R$3,0,0,'Données projet'!$E$9+1,1))-AVERAGE(OFFSET($H$3,0,0,'Données projet'!$E$9+1,1))</f>
        <v>316.32768907844184</v>
      </c>
      <c r="T101" s="62">
        <f t="shared" si="88"/>
        <v>165.80901858372513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3.6</v>
      </c>
      <c r="N102" s="14">
        <f>IF('Données projet'!$A$36&gt;35,N101+M102-V101,IF(A102&lt;'Données projet'!$A$36,$K$205^A102,IF(A102='Données projet'!$A$36,'Données projet'!$B$36,N101+M102-V101)))</f>
        <v>212.39999999999984</v>
      </c>
      <c r="O102" s="14">
        <f>N102*VLOOKUP('Données projet'!$B$9,Paramètres!$A$1:$I$89,3,0)*VLOOKUP('Données projet'!$B$9,Paramètres!$A$1:$I$89,5,0)</f>
        <v>192.17951999999985</v>
      </c>
      <c r="P102" s="14">
        <f t="shared" si="87"/>
        <v>48.021493442275272</v>
      </c>
      <c r="Q102" s="22">
        <f t="shared" si="107"/>
        <v>418.35009841196251</v>
      </c>
      <c r="R102" s="62">
        <f t="shared" si="55"/>
        <v>695.47293776637264</v>
      </c>
      <c r="S102" s="62">
        <f ca="1">AVERAGE(OFFSET($R$3,0,0,'Données projet'!$E$9+1,1))-AVERAGE(OFFSET($H$3,0,0,'Données projet'!$E$9+1,1))</f>
        <v>316.32768907844184</v>
      </c>
      <c r="T102" s="62">
        <f t="shared" si="88"/>
        <v>165.80901858372513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216</v>
      </c>
      <c r="L103" s="13">
        <f>VLOOKUP(A103,'Données projet'!$A$35:$I$55,9,0)</f>
        <v>3.6</v>
      </c>
      <c r="M103" s="13">
        <f t="array" ref="M103">INDEX(L:L,MIN(IF(ISNUMBER(L103:L299),ROW(L103:L299),"")))</f>
        <v>3.6</v>
      </c>
      <c r="N103" s="14">
        <f>IF('Données projet'!$A$36&gt;35,N102+M103-V102,IF(A103&lt;'Données projet'!$A$36,$K$205^A103,IF(A103='Données projet'!$A$36,'Données projet'!$B$36,N102+M103-V102)))</f>
        <v>215.99999999999983</v>
      </c>
      <c r="O103" s="14">
        <f>N103*VLOOKUP('Données projet'!$B$9,Paramètres!$A$1:$I$89,3,0)*VLOOKUP('Données projet'!$B$9,Paramètres!$A$1:$I$89,5,0)</f>
        <v>195.43679999999983</v>
      </c>
      <c r="P103" s="14">
        <f t="shared" si="87"/>
        <v>48.739971354487849</v>
      </c>
      <c r="Q103" s="22">
        <f t="shared" si="107"/>
        <v>425.27454344239936</v>
      </c>
      <c r="R103" s="62">
        <f t="shared" si="55"/>
        <v>702.67859862610862</v>
      </c>
      <c r="S103" s="62">
        <f ca="1">AVERAGE(OFFSET($R$3,0,0,'Données projet'!$E$9+1,1))-AVERAGE(OFFSET($H$3,0,0,'Données projet'!$E$9+1,1))</f>
        <v>316.32768907844184</v>
      </c>
      <c r="T103" s="62">
        <f t="shared" si="88"/>
        <v>165.80901858372513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13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3.4</v>
      </c>
      <c r="N104" s="14">
        <f>IF('Données projet'!$A$36&gt;35,N103+M104-V103,IF(A104&lt;'Données projet'!$A$36,$K$205^A104,IF(A104='Données projet'!$A$36,'Données projet'!$B$36,N103+M104-V103)))</f>
        <v>206.39999999999984</v>
      </c>
      <c r="O104" s="14">
        <f>N104*VLOOKUP('Données projet'!$B$9,Paramètres!$A$1:$I$89,3,0)*VLOOKUP('Données projet'!$B$9,Paramètres!$A$1:$I$89,5,0)</f>
        <v>186.75071999999983</v>
      </c>
      <c r="P104" s="14">
        <f t="shared" si="87"/>
        <v>46.820863587839355</v>
      </c>
      <c r="Q104" s="22">
        <f t="shared" si="107"/>
        <v>406.8038414154866</v>
      </c>
      <c r="R104" s="62">
        <f t="shared" si="55"/>
        <v>684.48423396256101</v>
      </c>
      <c r="S104" s="62">
        <f ca="1">AVERAGE(OFFSET($R$3,0,0,'Données projet'!$E$9+1,1))-AVERAGE(OFFSET($H$3,0,0,'Données projet'!$E$9+1,1))</f>
        <v>316.32768907844184</v>
      </c>
      <c r="T104" s="62">
        <f t="shared" si="88"/>
        <v>165.80901858372513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3.4</v>
      </c>
      <c r="N105" s="14">
        <f>IF('Données projet'!$A$36&gt;35,N104+M105-V104,IF(A105&lt;'Données projet'!$A$36,$K$205^A105,IF(A105='Données projet'!$A$36,'Données projet'!$B$36,N104+M105-V104)))</f>
        <v>209.79999999999984</v>
      </c>
      <c r="O105" s="14">
        <f>N105*VLOOKUP('Données projet'!$B$9,Paramètres!$A$1:$I$89,3,0)*VLOOKUP('Données projet'!$B$9,Paramètres!$A$1:$I$89,5,0)</f>
        <v>189.82703999999984</v>
      </c>
      <c r="P105" s="14">
        <f t="shared" si="87"/>
        <v>47.50171182434773</v>
      </c>
      <c r="Q105" s="22">
        <f t="shared" si="107"/>
        <v>413.34757609407194</v>
      </c>
      <c r="R105" s="62">
        <f t="shared" si="55"/>
        <v>691.29951216905488</v>
      </c>
      <c r="S105" s="62">
        <f ca="1">AVERAGE(OFFSET($R$3,0,0,'Données projet'!$E$9+1,1))-AVERAGE(OFFSET($H$3,0,0,'Données projet'!$E$9+1,1))</f>
        <v>316.32768907844184</v>
      </c>
      <c r="T105" s="62">
        <f t="shared" si="88"/>
        <v>165.80901858372513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3.4</v>
      </c>
      <c r="N106" s="14">
        <f>IF('Données projet'!$A$36&gt;35,N105+M106-V105,IF(A106&lt;'Données projet'!$A$36,$K$205^A106,IF(A106='Données projet'!$A$36,'Données projet'!$B$36,N105+M106-V105)))</f>
        <v>213.19999999999985</v>
      </c>
      <c r="O106" s="14">
        <f>N106*VLOOKUP('Données projet'!$B$9,Paramètres!$A$1:$I$89,3,0)*VLOOKUP('Données projet'!$B$9,Paramètres!$A$1:$I$89,5,0)</f>
        <v>192.90335999999985</v>
      </c>
      <c r="P106" s="14">
        <f t="shared" si="87"/>
        <v>48.181276881765257</v>
      </c>
      <c r="Q106" s="22">
        <f t="shared" si="107"/>
        <v>419.88907590240751</v>
      </c>
      <c r="R106" s="62">
        <f t="shared" si="55"/>
        <v>698.10784483217026</v>
      </c>
      <c r="S106" s="62">
        <f ca="1">AVERAGE(OFFSET($R$3,0,0,'Données projet'!$E$9+1,1))-AVERAGE(OFFSET($H$3,0,0,'Données projet'!$E$9+1,1))</f>
        <v>316.32768907844184</v>
      </c>
      <c r="T106" s="62">
        <f t="shared" si="88"/>
        <v>165.80901858372513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3.4</v>
      </c>
      <c r="N107" s="14">
        <f>IF('Données projet'!$A$36&gt;35,N106+M107-V106,IF(A107&lt;'Données projet'!$A$36,$K$205^A107,IF(A107='Données projet'!$A$36,'Données projet'!$B$36,N106+M107-V106)))</f>
        <v>216.59999999999985</v>
      </c>
      <c r="O107" s="14">
        <f>N107*VLOOKUP('Données projet'!$B$9,Paramètres!$A$1:$I$89,3,0)*VLOOKUP('Données projet'!$B$9,Paramètres!$A$1:$I$89,5,0)</f>
        <v>195.97967999999986</v>
      </c>
      <c r="P107" s="14">
        <f t="shared" si="87"/>
        <v>48.859581586252943</v>
      </c>
      <c r="Q107" s="22">
        <f t="shared" si="107"/>
        <v>426.42838059605697</v>
      </c>
      <c r="R107" s="62">
        <f t="shared" si="55"/>
        <v>704.90935342711782</v>
      </c>
      <c r="S107" s="62">
        <f ca="1">AVERAGE(OFFSET($R$3,0,0,'Données projet'!$E$9+1,1))-AVERAGE(OFFSET($H$3,0,0,'Données projet'!$E$9+1,1))</f>
        <v>316.32768907844184</v>
      </c>
      <c r="T107" s="62">
        <f t="shared" si="88"/>
        <v>165.80901858372513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220</v>
      </c>
      <c r="L108" s="13">
        <f>VLOOKUP(A108,'Données projet'!$A$35:$I$55,9,0)</f>
        <v>3.4</v>
      </c>
      <c r="M108" s="13">
        <f t="array" ref="M108">INDEX(L:L,MIN(IF(ISNUMBER(L108:L304),ROW(L108:L304),"")))</f>
        <v>3.4</v>
      </c>
      <c r="N108" s="14">
        <f>IF('Données projet'!$A$36&gt;35,N107+M108-V107,IF(A108&lt;'Données projet'!$A$36,$K$205^A108,IF(A108='Données projet'!$A$36,'Données projet'!$B$36,N107+M108-V107)))</f>
        <v>219.99999999999986</v>
      </c>
      <c r="O108" s="14">
        <f>N108*VLOOKUP('Données projet'!$B$9,Paramètres!$A$1:$I$89,3,0)*VLOOKUP('Données projet'!$B$9,Paramètres!$A$1:$I$89,5,0)</f>
        <v>199.05599999999987</v>
      </c>
      <c r="P108" s="14">
        <f t="shared" si="87"/>
        <v>49.536648006253891</v>
      </c>
      <c r="Q108" s="22">
        <f t="shared" si="107"/>
        <v>432.96552861089191</v>
      </c>
      <c r="R108" s="62">
        <f t="shared" si="55"/>
        <v>711.70415669176373</v>
      </c>
      <c r="S108" s="62">
        <f ca="1">AVERAGE(OFFSET($R$3,0,0,'Données projet'!$E$9+1,1))-AVERAGE(OFFSET($H$3,0,0,'Données projet'!$E$9+1,1))</f>
        <v>316.32768907844184</v>
      </c>
      <c r="T108" s="62">
        <f t="shared" si="88"/>
        <v>165.80901858372513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13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3</v>
      </c>
      <c r="N109" s="14">
        <f>IF('Données projet'!$A$36&gt;35,N108+M109-V108,IF(A109&lt;'Données projet'!$A$36,$K$205^A109,IF(A109='Données projet'!$A$36,'Données projet'!$B$36,N108+M109-V108)))</f>
        <v>209.99999999999986</v>
      </c>
      <c r="O109" s="14">
        <f>N109*VLOOKUP('Données projet'!$B$9,Paramètres!$A$1:$I$89,3,0)*VLOOKUP('Données projet'!$B$9,Paramètres!$A$1:$I$89,5,0)</f>
        <v>190.00799999999987</v>
      </c>
      <c r="P109" s="14">
        <f t="shared" si="87"/>
        <v>47.541721533308163</v>
      </c>
      <c r="Q109" s="22">
        <f t="shared" si="107"/>
        <v>413.73243167051146</v>
      </c>
      <c r="R109" s="62">
        <f t="shared" si="55"/>
        <v>692.72424525864062</v>
      </c>
      <c r="S109" s="62">
        <f ca="1">AVERAGE(OFFSET($R$3,0,0,'Données projet'!$E$9+1,1))-AVERAGE(OFFSET($H$3,0,0,'Données projet'!$E$9+1,1))</f>
        <v>316.32768907844184</v>
      </c>
      <c r="T109" s="62">
        <f t="shared" si="88"/>
        <v>165.80901858372513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3</v>
      </c>
      <c r="N110" s="14">
        <f>IF('Données projet'!$A$36&gt;35,N109+M110-V109,IF(A110&lt;'Données projet'!$A$36,$K$205^A110,IF(A110='Données projet'!$A$36,'Données projet'!$B$36,N109+M110-V109)))</f>
        <v>212.99999999999986</v>
      </c>
      <c r="O110" s="14">
        <f>N110*VLOOKUP('Données projet'!$B$9,Paramètres!$A$1:$I$89,3,0)*VLOOKUP('Données projet'!$B$9,Paramètres!$A$1:$I$89,5,0)</f>
        <v>192.72239999999985</v>
      </c>
      <c r="P110" s="14">
        <f t="shared" si="87"/>
        <v>48.141337574630832</v>
      </c>
      <c r="Q110" s="22">
        <f t="shared" si="107"/>
        <v>419.50434294248174</v>
      </c>
      <c r="R110" s="62">
        <f t="shared" si="55"/>
        <v>698.74494983535533</v>
      </c>
      <c r="S110" s="62">
        <f ca="1">AVERAGE(OFFSET($R$3,0,0,'Données projet'!$E$9+1,1))-AVERAGE(OFFSET($H$3,0,0,'Données projet'!$E$9+1,1))</f>
        <v>316.32768907844184</v>
      </c>
      <c r="T110" s="62">
        <f t="shared" si="88"/>
        <v>165.80901858372513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3</v>
      </c>
      <c r="N111" s="14">
        <f>IF('Données projet'!$A$36&gt;35,N110+M111-V110,IF(A111&lt;'Données projet'!$A$36,$K$205^A111,IF(A111='Données projet'!$A$36,'Données projet'!$B$36,N110+M111-V110)))</f>
        <v>215.99999999999986</v>
      </c>
      <c r="O111" s="14">
        <f>N111*VLOOKUP('Données projet'!$B$9,Paramètres!$A$1:$I$89,3,0)*VLOOKUP('Données projet'!$B$9,Paramètres!$A$1:$I$89,5,0)</f>
        <v>195.43679999999986</v>
      </c>
      <c r="P111" s="14">
        <f t="shared" si="87"/>
        <v>48.739971354487849</v>
      </c>
      <c r="Q111" s="22">
        <f t="shared" si="107"/>
        <v>425.27454344239936</v>
      </c>
      <c r="R111" s="62">
        <f t="shared" si="55"/>
        <v>704.75962763239863</v>
      </c>
      <c r="S111" s="62">
        <f ca="1">AVERAGE(OFFSET($R$3,0,0,'Données projet'!$E$9+1,1))-AVERAGE(OFFSET($H$3,0,0,'Données projet'!$E$9+1,1))</f>
        <v>316.32768907844184</v>
      </c>
      <c r="T111" s="62">
        <f t="shared" si="88"/>
        <v>165.80901858372513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3</v>
      </c>
      <c r="N112" s="14">
        <f>IF('Données projet'!$A$36&gt;35,N111+M112-V111,IF(A112&lt;'Données projet'!$A$36,$K$205^A112,IF(A112='Données projet'!$A$36,'Données projet'!$B$36,N111+M112-V111)))</f>
        <v>218.99999999999986</v>
      </c>
      <c r="O112" s="14">
        <f>N112*VLOOKUP('Données projet'!$B$9,Paramètres!$A$1:$I$89,3,0)*VLOOKUP('Données projet'!$B$9,Paramètres!$A$1:$I$89,5,0)</f>
        <v>198.15119999999987</v>
      </c>
      <c r="P112" s="14">
        <f t="shared" si="87"/>
        <v>49.337638092068914</v>
      </c>
      <c r="Q112" s="22">
        <f t="shared" si="107"/>
        <v>431.04305967701976</v>
      </c>
      <c r="R112" s="62">
        <f t="shared" si="55"/>
        <v>710.76838002960903</v>
      </c>
      <c r="S112" s="62">
        <f ca="1">AVERAGE(OFFSET($R$3,0,0,'Données projet'!$E$9+1,1))-AVERAGE(OFFSET($H$3,0,0,'Données projet'!$E$9+1,1))</f>
        <v>316.32768907844184</v>
      </c>
      <c r="T112" s="62">
        <f t="shared" si="88"/>
        <v>165.80901858372513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222</v>
      </c>
      <c r="L113" s="13">
        <f>VLOOKUP(A113,'Données projet'!$A$35:$I$55,9,0)</f>
        <v>3</v>
      </c>
      <c r="M113" s="13">
        <f t="array" ref="M113">INDEX(L:L,MIN(IF(ISNUMBER(L113:L309),ROW(L113:L309),"")))</f>
        <v>3</v>
      </c>
      <c r="N113" s="14">
        <f>IF('Données projet'!$A$36&gt;35,N112+M113-V112,IF(A113&lt;'Données projet'!$A$36,$K$205^A113,IF(A113='Données projet'!$A$36,'Données projet'!$B$36,N112+M113-V112)))</f>
        <v>221.99999999999986</v>
      </c>
      <c r="O113" s="14">
        <f>N113*VLOOKUP('Données projet'!$B$9,Paramètres!$A$1:$I$89,3,0)*VLOOKUP('Données projet'!$B$9,Paramètres!$A$1:$I$89,5,0)</f>
        <v>200.86559999999986</v>
      </c>
      <c r="P113" s="14">
        <f t="shared" si="87"/>
        <v>49.934352565642911</v>
      </c>
      <c r="Q113" s="22">
        <f t="shared" si="107"/>
        <v>436.8099173851611</v>
      </c>
      <c r="R113" s="62">
        <f t="shared" si="55"/>
        <v>716.77130634000696</v>
      </c>
      <c r="S113" s="62">
        <f ca="1">AVERAGE(OFFSET($R$3,0,0,'Données projet'!$E$9+1,1))-AVERAGE(OFFSET($H$3,0,0,'Données projet'!$E$9+1,1))</f>
        <v>316.32768907844184</v>
      </c>
      <c r="T113" s="62">
        <f t="shared" si="88"/>
        <v>165.80901858372513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13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2.8</v>
      </c>
      <c r="N114" s="14">
        <f>IF('Données projet'!$A$36&gt;35,N113+M114-V113,IF(A114&lt;'Données projet'!$A$36,$K$205^A114,IF(A114='Données projet'!$A$36,'Données projet'!$B$36,N113+M114-V113)))</f>
        <v>211.79999999999987</v>
      </c>
      <c r="O114" s="14">
        <f>N114*VLOOKUP('Données projet'!$B$9,Paramètres!$A$1:$I$89,3,0)*VLOOKUP('Données projet'!$B$9,Paramètres!$A$1:$I$89,5,0)</f>
        <v>191.63663999999986</v>
      </c>
      <c r="P114" s="14">
        <f t="shared" si="87"/>
        <v>47.901609897009187</v>
      </c>
      <c r="Q114" s="22">
        <f t="shared" si="107"/>
        <v>417.19578523729075</v>
      </c>
      <c r="R114" s="62">
        <f t="shared" si="55"/>
        <v>697.38914753191432</v>
      </c>
      <c r="S114" s="62">
        <f ca="1">AVERAGE(OFFSET($R$3,0,0,'Données projet'!$E$9+1,1))-AVERAGE(OFFSET($H$3,0,0,'Données projet'!$E$9+1,1))</f>
        <v>316.32768907844184</v>
      </c>
      <c r="T114" s="62">
        <f t="shared" si="88"/>
        <v>165.80901858372513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2.8</v>
      </c>
      <c r="N115" s="14">
        <f>IF('Données projet'!$A$36&gt;35,N114+M115-V114,IF(A115&lt;'Données projet'!$A$36,$K$205^A115,IF(A115='Données projet'!$A$36,'Données projet'!$B$36,N114+M115-V114)))</f>
        <v>214.59999999999988</v>
      </c>
      <c r="O115" s="14">
        <f>N115*VLOOKUP('Données projet'!$B$9,Paramètres!$A$1:$I$89,3,0)*VLOOKUP('Données projet'!$B$9,Paramètres!$A$1:$I$89,5,0)</f>
        <v>194.17007999999987</v>
      </c>
      <c r="P115" s="14">
        <f t="shared" si="87"/>
        <v>48.460730182351035</v>
      </c>
      <c r="Q115" s="22">
        <f t="shared" si="107"/>
        <v>422.58199440092784</v>
      </c>
      <c r="R115" s="62">
        <f t="shared" si="55"/>
        <v>703.00330581649871</v>
      </c>
      <c r="S115" s="62">
        <f ca="1">AVERAGE(OFFSET($R$3,0,0,'Données projet'!$E$9+1,1))-AVERAGE(OFFSET($H$3,0,0,'Données projet'!$E$9+1,1))</f>
        <v>316.32768907844184</v>
      </c>
      <c r="T115" s="62">
        <f t="shared" si="88"/>
        <v>165.80901858372513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2.8</v>
      </c>
      <c r="N116" s="14">
        <f>IF('Données projet'!$A$36&gt;35,N115+M116-V115,IF(A116&lt;'Données projet'!$A$36,$K$205^A116,IF(A116='Données projet'!$A$36,'Données projet'!$B$36,N115+M116-V115)))</f>
        <v>217.39999999999989</v>
      </c>
      <c r="O116" s="14">
        <f>N116*VLOOKUP('Données projet'!$B$9,Paramètres!$A$1:$I$89,3,0)*VLOOKUP('Données projet'!$B$9,Paramètres!$A$1:$I$89,5,0)</f>
        <v>196.70351999999988</v>
      </c>
      <c r="P116" s="14">
        <f t="shared" si="87"/>
        <v>49.019001932564066</v>
      </c>
      <c r="Q116" s="22">
        <f t="shared" si="107"/>
        <v>427.96672569921549</v>
      </c>
      <c r="R116" s="62">
        <f t="shared" si="55"/>
        <v>708.61203182810311</v>
      </c>
      <c r="S116" s="62">
        <f ca="1">AVERAGE(OFFSET($R$3,0,0,'Données projet'!$E$9+1,1))-AVERAGE(OFFSET($H$3,0,0,'Données projet'!$E$9+1,1))</f>
        <v>316.32768907844184</v>
      </c>
      <c r="T116" s="62">
        <f t="shared" si="88"/>
        <v>165.80901858372513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2.8</v>
      </c>
      <c r="N117" s="14">
        <f>IF('Données projet'!$A$36&gt;35,N116+M117-V116,IF(A117&lt;'Données projet'!$A$36,$K$205^A117,IF(A117='Données projet'!$A$36,'Données projet'!$B$36,N116+M117-V116)))</f>
        <v>220.1999999999999</v>
      </c>
      <c r="O117" s="14">
        <f>N117*VLOOKUP('Données projet'!$B$9,Paramètres!$A$1:$I$89,3,0)*VLOOKUP('Données projet'!$B$9,Paramètres!$A$1:$I$89,5,0)</f>
        <v>199.2369599999999</v>
      </c>
      <c r="P117" s="14">
        <f t="shared" si="87"/>
        <v>49.576437339980899</v>
      </c>
      <c r="Q117" s="22">
        <f t="shared" si="107"/>
        <v>433.35000036713313</v>
      </c>
      <c r="R117" s="62">
        <f t="shared" si="55"/>
        <v>714.21541540183853</v>
      </c>
      <c r="S117" s="62">
        <f ca="1">AVERAGE(OFFSET($R$3,0,0,'Données projet'!$E$9+1,1))-AVERAGE(OFFSET($H$3,0,0,'Données projet'!$E$9+1,1))</f>
        <v>316.32768907844184</v>
      </c>
      <c r="T117" s="62">
        <f t="shared" si="88"/>
        <v>165.80901858372513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223</v>
      </c>
      <c r="L118" s="13">
        <f>VLOOKUP(A118,'Données projet'!$A$35:$I$55,9,0)</f>
        <v>2.8</v>
      </c>
      <c r="M118" s="13">
        <f t="array" ref="M118">INDEX(L:L,MIN(IF(ISNUMBER(L118:L314),ROW(L118:L314),"")))</f>
        <v>2.8</v>
      </c>
      <c r="N118" s="14">
        <f>IF('Données projet'!$A$36&gt;35,N117+M118-V117,IF(A118&lt;'Données projet'!$A$36,$K$205^A118,IF(A118='Données projet'!$A$36,'Données projet'!$B$36,N117+M118-V117)))</f>
        <v>222.99999999999991</v>
      </c>
      <c r="O118" s="14">
        <f>N118*VLOOKUP('Données projet'!$B$9,Paramètres!$A$1:$I$89,3,0)*VLOOKUP('Données projet'!$B$9,Paramètres!$A$1:$I$89,5,0)</f>
        <v>201.77039999999991</v>
      </c>
      <c r="P118" s="14">
        <f t="shared" si="87"/>
        <v>50.133048269036053</v>
      </c>
      <c r="Q118" s="22">
        <f t="shared" si="107"/>
        <v>438.73183906857093</v>
      </c>
      <c r="R118" s="62">
        <f t="shared" si="55"/>
        <v>719.81354461166825</v>
      </c>
      <c r="S118" s="62">
        <f ca="1">AVERAGE(OFFSET($R$3,0,0,'Données projet'!$E$9+1,1))-AVERAGE(OFFSET($H$3,0,0,'Données projet'!$E$9+1,1))</f>
        <v>316.32768907844184</v>
      </c>
      <c r="T118" s="62">
        <f t="shared" si="88"/>
        <v>165.80901858372513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13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2.4</v>
      </c>
      <c r="N119" s="14">
        <f>IF('Données projet'!$A$36&gt;35,N118+M119-V118,IF(A119&lt;'Données projet'!$A$36,$K$205^A119,IF(A119='Données projet'!$A$36,'Données projet'!$B$36,N118+M119-V118)))</f>
        <v>212.39999999999992</v>
      </c>
      <c r="O119" s="14">
        <f>N119*VLOOKUP('Données projet'!$B$9,Paramètres!$A$1:$I$89,3,0)*VLOOKUP('Données projet'!$B$9,Paramètres!$A$1:$I$89,5,0)</f>
        <v>192.17951999999994</v>
      </c>
      <c r="P119" s="14">
        <f t="shared" si="87"/>
        <v>48.021493442275315</v>
      </c>
      <c r="Q119" s="22">
        <f t="shared" si="107"/>
        <v>418.35009841196273</v>
      </c>
      <c r="R119" s="62">
        <f t="shared" si="55"/>
        <v>699.64434230668417</v>
      </c>
      <c r="S119" s="62">
        <f ca="1">AVERAGE(OFFSET($R$3,0,0,'Données projet'!$E$9+1,1))-AVERAGE(OFFSET($H$3,0,0,'Données projet'!$E$9+1,1))</f>
        <v>316.32768907844184</v>
      </c>
      <c r="T119" s="62">
        <f t="shared" si="88"/>
        <v>165.80901858372513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2.4</v>
      </c>
      <c r="N120" s="14">
        <f>IF('Données projet'!$A$36&gt;35,N119+M120-V119,IF(A120&lt;'Données projet'!$A$36,$K$205^A120,IF(A120='Données projet'!$A$36,'Données projet'!$B$36,N119+M120-V119)))</f>
        <v>214.79999999999993</v>
      </c>
      <c r="O120" s="14">
        <f>N120*VLOOKUP('Données projet'!$B$9,Paramètres!$A$1:$I$89,3,0)*VLOOKUP('Données projet'!$B$9,Paramètres!$A$1:$I$89,5,0)</f>
        <v>194.35103999999993</v>
      </c>
      <c r="P120" s="14">
        <f t="shared" si="87"/>
        <v>48.500634729810159</v>
      </c>
      <c r="Q120" s="22">
        <f t="shared" si="107"/>
        <v>422.96666682108594</v>
      </c>
      <c r="R120" s="62">
        <f t="shared" si="55"/>
        <v>704.46976200219558</v>
      </c>
      <c r="S120" s="62">
        <f ca="1">AVERAGE(OFFSET($R$3,0,0,'Données projet'!$E$9+1,1))-AVERAGE(OFFSET($H$3,0,0,'Données projet'!$E$9+1,1))</f>
        <v>316.32768907844184</v>
      </c>
      <c r="T120" s="62">
        <f t="shared" si="88"/>
        <v>165.80901858372513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2.4</v>
      </c>
      <c r="N121" s="14">
        <f>IF('Données projet'!$A$36&gt;35,N120+M121-V120,IF(A121&lt;'Données projet'!$A$36,$K$205^A121,IF(A121='Données projet'!$A$36,'Données projet'!$B$36,N120+M121-V120)))</f>
        <v>217.19999999999993</v>
      </c>
      <c r="O121" s="14">
        <f>N121*VLOOKUP('Données projet'!$B$9,Paramètres!$A$1:$I$89,3,0)*VLOOKUP('Données projet'!$B$9,Paramètres!$A$1:$I$89,5,0)</f>
        <v>196.52255999999994</v>
      </c>
      <c r="P121" s="14">
        <f t="shared" si="87"/>
        <v>48.979153257338155</v>
      </c>
      <c r="Q121" s="22">
        <f t="shared" si="107"/>
        <v>427.58215058986383</v>
      </c>
      <c r="R121" s="62">
        <f t="shared" si="55"/>
        <v>709.29047395446423</v>
      </c>
      <c r="S121" s="62">
        <f ca="1">AVERAGE(OFFSET($R$3,0,0,'Données projet'!$E$9+1,1))-AVERAGE(OFFSET($H$3,0,0,'Données projet'!$E$9+1,1))</f>
        <v>316.32768907844184</v>
      </c>
      <c r="T121" s="62">
        <f t="shared" si="88"/>
        <v>165.80901858372513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2.4</v>
      </c>
      <c r="N122" s="14">
        <f>IF('Données projet'!$A$36&gt;35,N121+M122-V121,IF(A122&lt;'Données projet'!$A$36,$K$205^A122,IF(A122='Données projet'!$A$36,'Données projet'!$B$36,N121+M122-V121)))</f>
        <v>219.59999999999994</v>
      </c>
      <c r="O122" s="14">
        <f>N122*VLOOKUP('Données projet'!$B$9,Paramètres!$A$1:$I$89,3,0)*VLOOKUP('Données projet'!$B$9,Paramètres!$A$1:$I$89,5,0)</f>
        <v>198.69407999999993</v>
      </c>
      <c r="P122" s="14">
        <f t="shared" si="87"/>
        <v>49.457056702547348</v>
      </c>
      <c r="Q122" s="22">
        <f t="shared" si="107"/>
        <v>432.19656309026982</v>
      </c>
      <c r="R122" s="62">
        <f t="shared" si="55"/>
        <v>714.1065543881989</v>
      </c>
      <c r="S122" s="62">
        <f ca="1">AVERAGE(OFFSET($R$3,0,0,'Données projet'!$E$9+1,1))-AVERAGE(OFFSET($H$3,0,0,'Données projet'!$E$9+1,1))</f>
        <v>316.32768907844184</v>
      </c>
      <c r="T122" s="62">
        <f t="shared" si="88"/>
        <v>165.80901858372513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222</v>
      </c>
      <c r="L123" s="13">
        <f>VLOOKUP(A123,'Données projet'!$A$35:$I$55,9,0)</f>
        <v>2.4</v>
      </c>
      <c r="M123" s="13">
        <f t="array" ref="M123">INDEX(L:L,MIN(IF(ISNUMBER(L123:L319),ROW(L123:L319),"")))</f>
        <v>2.4</v>
      </c>
      <c r="N123" s="14">
        <f>IF('Données projet'!$A$36&gt;35,N122+M123-V122,IF(A123&lt;'Données projet'!$A$36,$K$205^A123,IF(A123='Données projet'!$A$36,'Données projet'!$B$36,N122+M123-V122)))</f>
        <v>221.99999999999994</v>
      </c>
      <c r="O123" s="14">
        <f>N123*VLOOKUP('Données projet'!$B$9,Paramètres!$A$1:$I$89,3,0)*VLOOKUP('Données projet'!$B$9,Paramètres!$A$1:$I$89,5,0)</f>
        <v>200.86559999999994</v>
      </c>
      <c r="P123" s="14">
        <f t="shared" si="87"/>
        <v>49.934352565642911</v>
      </c>
      <c r="Q123" s="22">
        <f t="shared" si="107"/>
        <v>436.80991738516127</v>
      </c>
      <c r="R123" s="62">
        <f t="shared" si="55"/>
        <v>718.91807812863794</v>
      </c>
      <c r="S123" s="62">
        <f ca="1">AVERAGE(OFFSET($R$3,0,0,'Données projet'!$E$9+1,1))-AVERAGE(OFFSET($H$3,0,0,'Données projet'!$E$9+1,1))</f>
        <v>316.32768907844184</v>
      </c>
      <c r="T123" s="62">
        <f t="shared" si="88"/>
        <v>165.80901858372513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222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-5.1431925385259088E-14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316.32768907844184</v>
      </c>
      <c r="T124" s="62">
        <f t="shared" si="88"/>
        <v>165.80901858372513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-5.1431925385259088E-14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316.32768907844184</v>
      </c>
      <c r="T125" s="62">
        <f t="shared" si="88"/>
        <v>165.80901858372513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-5.1431925385259088E-14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316.32768907844184</v>
      </c>
      <c r="T126" s="62">
        <f t="shared" si="88"/>
        <v>165.80901858372513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-5.1431925385259088E-14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316.32768907844184</v>
      </c>
      <c r="T127" s="62">
        <f t="shared" si="88"/>
        <v>165.80901858372513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-5.1431925385259088E-14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316.32768907844184</v>
      </c>
      <c r="T128" s="62">
        <f t="shared" si="88"/>
        <v>165.80901858372513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-5.1431925385259088E-14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316.32768907844184</v>
      </c>
      <c r="T129" s="62">
        <f t="shared" si="88"/>
        <v>165.80901858372513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-5.1431925385259088E-14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316.32768907844184</v>
      </c>
      <c r="T130" s="62">
        <f t="shared" si="88"/>
        <v>165.80901858372513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-5.1431925385259088E-14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316.32768907844184</v>
      </c>
      <c r="T131" s="62">
        <f t="shared" si="88"/>
        <v>165.80901858372513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-5.1431925385259088E-14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316.32768907844184</v>
      </c>
      <c r="T132" s="62">
        <f t="shared" si="88"/>
        <v>165.80901858372513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-5.1431925385259088E-14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316.32768907844184</v>
      </c>
      <c r="T133" s="62">
        <f t="shared" ref="T133:T196" si="142">$T$3</f>
        <v>165.80901858372513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-5.1431925385259088E-14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316.32768907844184</v>
      </c>
      <c r="T134" s="62">
        <f t="shared" si="142"/>
        <v>165.80901858372513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-5.1431925385259088E-14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316.32768907844184</v>
      </c>
      <c r="T135" s="62">
        <f t="shared" si="142"/>
        <v>165.80901858372513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-5.1431925385259088E-14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316.32768907844184</v>
      </c>
      <c r="T136" s="62">
        <f t="shared" si="142"/>
        <v>165.80901858372513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-5.1431925385259088E-14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316.32768907844184</v>
      </c>
      <c r="T137" s="62">
        <f t="shared" si="142"/>
        <v>165.80901858372513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-5.1431925385259088E-14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316.32768907844184</v>
      </c>
      <c r="T138" s="62">
        <f t="shared" si="142"/>
        <v>165.80901858372513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-5.1431925385259088E-14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316.32768907844184</v>
      </c>
      <c r="T139" s="62">
        <f t="shared" si="142"/>
        <v>165.80901858372513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-5.1431925385259088E-14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316.32768907844184</v>
      </c>
      <c r="T140" s="62">
        <f t="shared" si="142"/>
        <v>165.80901858372513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-5.1431925385259088E-14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316.32768907844184</v>
      </c>
      <c r="T141" s="62">
        <f t="shared" si="142"/>
        <v>165.80901858372513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-5.1431925385259088E-14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316.32768907844184</v>
      </c>
      <c r="T142" s="62">
        <f t="shared" si="142"/>
        <v>165.80901858372513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-5.1431925385259088E-14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316.32768907844184</v>
      </c>
      <c r="T143" s="62">
        <f t="shared" si="142"/>
        <v>165.80901858372513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-5.1431925385259088E-14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316.32768907844184</v>
      </c>
      <c r="T144" s="62">
        <f t="shared" si="142"/>
        <v>165.80901858372513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-5.1431925385259088E-14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316.32768907844184</v>
      </c>
      <c r="T145" s="62">
        <f t="shared" si="142"/>
        <v>165.80901858372513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-5.1431925385259088E-14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316.32768907844184</v>
      </c>
      <c r="T146" s="62">
        <f t="shared" si="142"/>
        <v>165.80901858372513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-5.1431925385259088E-14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316.32768907844184</v>
      </c>
      <c r="T147" s="62">
        <f t="shared" si="142"/>
        <v>165.80901858372513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-5.1431925385259088E-14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316.32768907844184</v>
      </c>
      <c r="T148" s="62">
        <f t="shared" si="142"/>
        <v>165.80901858372513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-5.1431925385259088E-14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316.32768907844184</v>
      </c>
      <c r="T149" s="62">
        <f t="shared" si="142"/>
        <v>165.80901858372513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-5.1431925385259088E-14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316.32768907844184</v>
      </c>
      <c r="T150" s="62">
        <f t="shared" si="142"/>
        <v>165.80901858372513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-5.1431925385259088E-14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316.32768907844184</v>
      </c>
      <c r="T151" s="62">
        <f t="shared" si="142"/>
        <v>165.80901858372513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-5.1431925385259088E-14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316.32768907844184</v>
      </c>
      <c r="T152" s="62">
        <f t="shared" si="142"/>
        <v>165.80901858372513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-5.1431925385259088E-14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316.32768907844184</v>
      </c>
      <c r="T153" s="62">
        <f t="shared" si="142"/>
        <v>165.80901858372513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-5.1431925385259088E-14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316.32768907844184</v>
      </c>
      <c r="T154" s="62">
        <f t="shared" si="142"/>
        <v>165.80901858372513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-5.1431925385259088E-14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316.32768907844184</v>
      </c>
      <c r="T155" s="62">
        <f t="shared" si="142"/>
        <v>165.80901858372513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-5.1431925385259088E-14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316.32768907844184</v>
      </c>
      <c r="T156" s="62">
        <f t="shared" si="142"/>
        <v>165.80901858372513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-5.1431925385259088E-14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316.32768907844184</v>
      </c>
      <c r="T157" s="62">
        <f t="shared" si="142"/>
        <v>165.80901858372513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-5.1431925385259088E-14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316.32768907844184</v>
      </c>
      <c r="T158" s="62">
        <f t="shared" si="142"/>
        <v>165.80901858372513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-5.1431925385259088E-14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316.32768907844184</v>
      </c>
      <c r="T159" s="62">
        <f t="shared" si="142"/>
        <v>165.80901858372513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-5.1431925385259088E-14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316.32768907844184</v>
      </c>
      <c r="T160" s="62">
        <f t="shared" si="142"/>
        <v>165.80901858372513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-5.1431925385259088E-14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316.32768907844184</v>
      </c>
      <c r="T161" s="62">
        <f t="shared" si="142"/>
        <v>165.80901858372513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-5.1431925385259088E-14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316.32768907844184</v>
      </c>
      <c r="T162" s="62">
        <f t="shared" si="142"/>
        <v>165.80901858372513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-5.1431925385259088E-14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316.32768907844184</v>
      </c>
      <c r="T163" s="62">
        <f t="shared" si="142"/>
        <v>165.80901858372513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-5.1431925385259088E-14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316.32768907844184</v>
      </c>
      <c r="T164" s="62">
        <f t="shared" si="142"/>
        <v>165.80901858372513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-5.1431925385259088E-14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316.32768907844184</v>
      </c>
      <c r="T165" s="62">
        <f t="shared" si="142"/>
        <v>165.80901858372513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-5.1431925385259088E-14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316.32768907844184</v>
      </c>
      <c r="T166" s="62">
        <f t="shared" si="142"/>
        <v>165.80901858372513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-5.1431925385259088E-14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316.32768907844184</v>
      </c>
      <c r="T167" s="62">
        <f t="shared" si="142"/>
        <v>165.80901858372513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-5.1431925385259088E-14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316.32768907844184</v>
      </c>
      <c r="T168" s="62">
        <f t="shared" si="142"/>
        <v>165.80901858372513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-5.1431925385259088E-14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316.32768907844184</v>
      </c>
      <c r="T169" s="62">
        <f t="shared" si="142"/>
        <v>165.80901858372513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-5.1431925385259088E-14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316.32768907844184</v>
      </c>
      <c r="T170" s="62">
        <f t="shared" si="142"/>
        <v>165.80901858372513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-5.1431925385259088E-14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316.32768907844184</v>
      </c>
      <c r="T171" s="62">
        <f t="shared" si="142"/>
        <v>165.80901858372513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-5.1431925385259088E-14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316.32768907844184</v>
      </c>
      <c r="T172" s="62">
        <f t="shared" si="142"/>
        <v>165.80901858372513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-5.1431925385259088E-14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316.32768907844184</v>
      </c>
      <c r="T173" s="62">
        <f t="shared" si="142"/>
        <v>165.80901858372513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-5.1431925385259088E-14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316.32768907844184</v>
      </c>
      <c r="T174" s="62">
        <f t="shared" si="142"/>
        <v>165.80901858372513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-5.1431925385259088E-14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316.32768907844184</v>
      </c>
      <c r="T175" s="62">
        <f t="shared" si="142"/>
        <v>165.80901858372513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-5.1431925385259088E-14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316.32768907844184</v>
      </c>
      <c r="T176" s="62">
        <f t="shared" si="142"/>
        <v>165.80901858372513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-5.1431925385259088E-14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316.32768907844184</v>
      </c>
      <c r="T177" s="62">
        <f t="shared" si="142"/>
        <v>165.80901858372513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-5.1431925385259088E-14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316.32768907844184</v>
      </c>
      <c r="T178" s="62">
        <f t="shared" si="142"/>
        <v>165.80901858372513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-5.1431925385259088E-14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316.32768907844184</v>
      </c>
      <c r="T179" s="62">
        <f t="shared" si="142"/>
        <v>165.80901858372513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-5.1431925385259088E-14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316.32768907844184</v>
      </c>
      <c r="T180" s="62">
        <f t="shared" si="142"/>
        <v>165.80901858372513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-5.1431925385259088E-14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316.32768907844184</v>
      </c>
      <c r="T181" s="62">
        <f t="shared" si="142"/>
        <v>165.80901858372513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-5.1431925385259088E-14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316.32768907844184</v>
      </c>
      <c r="T182" s="62">
        <f t="shared" si="142"/>
        <v>165.80901858372513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-5.1431925385259088E-14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316.32768907844184</v>
      </c>
      <c r="T183" s="62">
        <f t="shared" si="142"/>
        <v>165.80901858372513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-5.1431925385259088E-14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316.32768907844184</v>
      </c>
      <c r="T184" s="62">
        <f t="shared" si="142"/>
        <v>165.80901858372513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-5.1431925385259088E-14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316.32768907844184</v>
      </c>
      <c r="T185" s="62">
        <f t="shared" si="142"/>
        <v>165.80901858372513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-5.1431925385259088E-14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316.32768907844184</v>
      </c>
      <c r="T186" s="62">
        <f t="shared" si="142"/>
        <v>165.80901858372513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-5.1431925385259088E-14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316.32768907844184</v>
      </c>
      <c r="T187" s="62">
        <f t="shared" si="142"/>
        <v>165.80901858372513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-5.1431925385259088E-14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316.32768907844184</v>
      </c>
      <c r="T188" s="62">
        <f t="shared" si="142"/>
        <v>165.80901858372513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-5.1431925385259088E-14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316.32768907844184</v>
      </c>
      <c r="T189" s="62">
        <f t="shared" si="142"/>
        <v>165.80901858372513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-5.1431925385259088E-14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316.32768907844184</v>
      </c>
      <c r="T190" s="62">
        <f t="shared" si="142"/>
        <v>165.80901858372513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-5.1431925385259088E-14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316.32768907844184</v>
      </c>
      <c r="T191" s="62">
        <f t="shared" si="142"/>
        <v>165.80901858372513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-5.1431925385259088E-14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316.32768907844184</v>
      </c>
      <c r="T192" s="62">
        <f t="shared" si="142"/>
        <v>165.80901858372513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-5.1431925385259088E-14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316.32768907844184</v>
      </c>
      <c r="T193" s="62">
        <f t="shared" si="142"/>
        <v>165.80901858372513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-5.1431925385259088E-14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316.32768907844184</v>
      </c>
      <c r="T194" s="62">
        <f t="shared" si="142"/>
        <v>165.80901858372513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-5.1431925385259088E-14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316.32768907844184</v>
      </c>
      <c r="T195" s="62">
        <f t="shared" si="142"/>
        <v>165.80901858372513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-5.1431925385259088E-14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316.32768907844184</v>
      </c>
      <c r="T196" s="62">
        <f t="shared" si="142"/>
        <v>165.80901858372513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-5.1431925385259088E-14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316.32768907844184</v>
      </c>
      <c r="T197" s="62">
        <f t="shared" ref="T197:T203" si="204">$T$3</f>
        <v>165.80901858372513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-5.1431925385259088E-14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316.32768907844184</v>
      </c>
      <c r="T198" s="62">
        <f t="shared" si="204"/>
        <v>165.80901858372513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-5.1431925385259088E-14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316.32768907844184</v>
      </c>
      <c r="T199" s="62">
        <f t="shared" si="204"/>
        <v>165.80901858372513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-5.1431925385259088E-14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316.32768907844184</v>
      </c>
      <c r="T200" s="62">
        <f t="shared" si="204"/>
        <v>165.80901858372513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-5.1431925385259088E-14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316.32768907844184</v>
      </c>
      <c r="T201" s="62">
        <f t="shared" si="204"/>
        <v>165.80901858372513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-5.1431925385259088E-14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316.32768907844184</v>
      </c>
      <c r="T202" s="62">
        <f t="shared" si="204"/>
        <v>165.80901858372513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-5.1431925385259088E-14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316.32768907844184</v>
      </c>
      <c r="T203" s="62">
        <f t="shared" si="204"/>
        <v>165.80901858372513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1.1457367676485573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2.4300000000000002</v>
      </c>
      <c r="C6" s="156">
        <f ca="1">IF(OR('Données projet'!B9="",'Données projet'!C9="",'Données projet'!C9=0%),0,Calculateur!S3)</f>
        <v>316.32768907844184</v>
      </c>
      <c r="D6" s="156">
        <f>IF(OR('Données projet'!B9="",'Données projet'!C9="",'Données projet'!C9=0%),0,Calculateur!T3)</f>
        <v>165.80901858372513</v>
      </c>
      <c r="E6" s="156">
        <f ca="1">MIN(C6,D6)</f>
        <v>165.80901858372513</v>
      </c>
      <c r="F6" s="156">
        <f ca="1">E6*B6</f>
        <v>402.91591515845209</v>
      </c>
      <c r="G6" s="156">
        <f ca="1">F6*(100%-'Données projet'!$C$24)*(100%-'Données projet'!$C$25)*(100%-'Données projet'!$C$26)*(100%-'Données projet'!$C$27)</f>
        <v>344.49310746047655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344.49310746047655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402.91591515845209</v>
      </c>
      <c r="G16" s="175">
        <f t="shared" ca="1" si="3"/>
        <v>344.49310746047655</v>
      </c>
      <c r="H16" s="176">
        <f t="shared" si="3"/>
        <v>0</v>
      </c>
      <c r="I16" s="176">
        <f t="shared" si="3"/>
        <v>0</v>
      </c>
      <c r="J16" s="177">
        <f t="shared" si="3"/>
        <v>0</v>
      </c>
      <c r="K16" s="177">
        <f t="shared" si="3"/>
        <v>0</v>
      </c>
      <c r="L16" s="178">
        <f t="shared" ca="1" si="3"/>
        <v>344.49310746047655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E10" zoomScale="90" zoomScaleNormal="90" workbookViewId="0">
      <selection activeCell="L26" sqref="L26:P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697.17681959127503</v>
      </c>
      <c r="U10" s="190">
        <f>'Données projet'!D9</f>
        <v>2.4300000000000002</v>
      </c>
      <c r="V10" s="189">
        <f>U10*T10</f>
        <v>1694.1396716067984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40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80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1753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0</v>
      </c>
      <c r="C23" s="206">
        <v>10</v>
      </c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-2565.6503283932016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>
        <v>10</v>
      </c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7859.1085571313324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13</v>
      </c>
      <c r="C25" s="206">
        <v>10</v>
      </c>
      <c r="D25" s="194">
        <f t="shared" si="2"/>
        <v>130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141</v>
      </c>
      <c r="Q25" s="265"/>
      <c r="R25" s="25"/>
      <c r="S25" s="198" t="s">
        <v>266</v>
      </c>
      <c r="T25" s="336">
        <f ca="1">T23-T24</f>
        <v>-10424.758885524534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14</v>
      </c>
      <c r="C26" s="206">
        <v>10</v>
      </c>
      <c r="D26" s="194">
        <f t="shared" si="2"/>
        <v>140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14</v>
      </c>
      <c r="C27" s="206">
        <v>20</v>
      </c>
      <c r="D27" s="194">
        <f t="shared" si="2"/>
        <v>280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14</v>
      </c>
      <c r="C28" s="206">
        <v>30</v>
      </c>
      <c r="D28" s="194">
        <f t="shared" si="2"/>
        <v>420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14</v>
      </c>
      <c r="C29" s="206">
        <v>30</v>
      </c>
      <c r="D29" s="194">
        <f t="shared" si="2"/>
        <v>420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14</v>
      </c>
      <c r="C30" s="206">
        <v>40</v>
      </c>
      <c r="D30" s="194">
        <f t="shared" si="2"/>
        <v>560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3234.2010523174204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14</v>
      </c>
      <c r="C31" s="206">
        <v>50</v>
      </c>
      <c r="D31" s="194">
        <f t="shared" si="2"/>
        <v>700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14</v>
      </c>
      <c r="C32" s="206">
        <v>60</v>
      </c>
      <c r="D32" s="194">
        <f t="shared" si="2"/>
        <v>840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14</v>
      </c>
      <c r="C33" s="206">
        <v>70</v>
      </c>
      <c r="D33" s="194">
        <f t="shared" si="2"/>
        <v>980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141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14</v>
      </c>
      <c r="C34" s="206">
        <v>70</v>
      </c>
      <c r="D34" s="194">
        <f t="shared" si="2"/>
        <v>980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134.92822966507177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14</v>
      </c>
      <c r="C35" s="206">
        <v>80</v>
      </c>
      <c r="D35" s="194">
        <f t="shared" si="2"/>
        <v>1120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129.11792312447062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14</v>
      </c>
      <c r="C36" s="206">
        <v>80</v>
      </c>
      <c r="D36" s="194">
        <f t="shared" si="2"/>
        <v>1120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123.55782117174222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14</v>
      </c>
      <c r="C37" s="206">
        <v>90</v>
      </c>
      <c r="D37" s="194">
        <f t="shared" si="2"/>
        <v>1260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118.2371494466433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13</v>
      </c>
      <c r="C38" s="206">
        <v>90</v>
      </c>
      <c r="D38" s="194">
        <f t="shared" si="2"/>
        <v>1170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113.14559755659646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13</v>
      </c>
      <c r="C39" s="206">
        <v>100</v>
      </c>
      <c r="D39" s="194">
        <f t="shared" si="2"/>
        <v>1300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108.27329909722152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13</v>
      </c>
      <c r="C40" s="206">
        <v>100</v>
      </c>
      <c r="D40" s="194">
        <f t="shared" si="2"/>
        <v>1300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103.61081253322632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13</v>
      </c>
      <c r="C41" s="206">
        <v>110</v>
      </c>
      <c r="D41" s="194">
        <f t="shared" si="2"/>
        <v>1430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99.149102902608959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222</v>
      </c>
      <c r="C42" s="206">
        <v>200</v>
      </c>
      <c r="D42" s="194">
        <f t="shared" si="2"/>
        <v>44400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94.879524308716711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90.793803166236103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86.884022168646993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83.142604946073689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79.562301383802563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76.136173573016833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72.857582366523275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69.720174513419437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66.717870347769789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63.844852007435222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61.095552160225097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58.464643215526422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55.947027000503745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53.537824880864846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51.2323683070477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49.02618976750977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46.9150141315883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44.894750365156277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42.961483603020362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41.11146756269892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39.341117284879346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37.647002186487427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36.02583941290662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34.474487476465683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32.989940168866688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31.569320735757596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30.209876302160382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28.908972537952522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27.664088553064616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26.472812012502029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25.332834461724431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24.241946853324819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23.198035266339545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22.199076809894304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21.243135703248136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20.328359524639367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19.452975621664468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18.615287676233944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17.81367241744875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17.046576476027518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16.312513374189013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15.610060645156953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14.937857076705219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14.294600073402126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13.679043132442226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13.089993428174383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12.526309500645342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11.986899043679756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11.470716788210293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10.976762476756264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10.504078925125611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10.05175016758432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9.6188996818988688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9.2046886908123184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8.808314536662504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8.429009125992831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8.0660374411414644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7.7186961159248488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7.3863120726553575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7.0682412178520178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6.7638671941167638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6.4726001857576705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6.1938757758446608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5.927153852482931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5.671917562184623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5.4276723083106448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5.1939447926417657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4.9702820982217863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4.7562508116954891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4.5514361834406607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4.3554413238666605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4.1678864343221642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3.9884080711216887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3.8166584412647744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3.6523047284830383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3.4950284483091281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3.3445248309178259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3.2005022305433748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3.062681560328588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2.9307957515106113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2.8045892358953219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2.6838174506175339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2.568246364227305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2.4576520231840244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2.3518201178794489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2.2505455673487558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2.1536321218648373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2.0608919826457788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1.9721454379385448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1.8872205147737271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1.8059526457164852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2024-02-28T09:36:54Z</dcterms:modified>
</cp:coreProperties>
</file>